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0" windowWidth="20115" windowHeight="7935" activeTab="1"/>
  </bookViews>
  <sheets>
    <sheet name="Gen Options" sheetId="1" r:id="rId1"/>
    <sheet name="Resource Plans" sheetId="5" r:id="rId2"/>
  </sheets>
  <definedNames>
    <definedName name="_xlnm.Print_Area" localSheetId="0">'Gen Options'!$A$3:$H$19</definedName>
  </definedNames>
  <calcPr calcId="145621"/>
</workbook>
</file>

<file path=xl/calcChain.xml><?xml version="1.0" encoding="utf-8"?>
<calcChain xmlns="http://schemas.openxmlformats.org/spreadsheetml/2006/main">
  <c r="I48" i="5" l="1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21" i="5"/>
  <c r="I20" i="5"/>
  <c r="I19" i="5"/>
  <c r="I18" i="5"/>
  <c r="I17" i="5"/>
  <c r="I16" i="5"/>
  <c r="I15" i="5"/>
  <c r="I14" i="5"/>
  <c r="J4" i="5"/>
  <c r="F48" i="5" l="1"/>
  <c r="E48" i="5"/>
  <c r="G47" i="5"/>
  <c r="F47" i="5"/>
  <c r="E47" i="5"/>
  <c r="G21" i="5"/>
  <c r="F21" i="5"/>
  <c r="E21" i="5"/>
  <c r="F20" i="5"/>
  <c r="E20" i="5"/>
  <c r="G48" i="5"/>
  <c r="H48" i="5"/>
  <c r="H20" i="5"/>
  <c r="G20" i="5"/>
  <c r="B21" i="5"/>
  <c r="B20" i="5"/>
  <c r="J3" i="5" l="1"/>
  <c r="E18" i="5" l="1"/>
  <c r="F46" i="5"/>
  <c r="F45" i="5"/>
  <c r="F44" i="5"/>
  <c r="F43" i="5"/>
  <c r="F42" i="5"/>
  <c r="F41" i="5"/>
  <c r="F40" i="5"/>
  <c r="F39" i="5"/>
  <c r="F38" i="5"/>
  <c r="E37" i="5"/>
  <c r="F37" i="5"/>
  <c r="F36" i="5"/>
  <c r="F35" i="5"/>
  <c r="F34" i="5"/>
  <c r="F33" i="5"/>
  <c r="F31" i="5"/>
  <c r="F30" i="5"/>
  <c r="F29" i="5"/>
  <c r="F28" i="5"/>
  <c r="F32" i="5"/>
  <c r="F19" i="5"/>
  <c r="F18" i="5"/>
  <c r="F17" i="5"/>
  <c r="F14" i="5"/>
  <c r="F16" i="5"/>
  <c r="F15" i="5"/>
  <c r="E39" i="5"/>
  <c r="G19" i="5"/>
  <c r="B15" i="5" l="1"/>
  <c r="B16" i="5" s="1"/>
  <c r="H47" i="5"/>
  <c r="H21" i="5"/>
  <c r="H18" i="5"/>
  <c r="G18" i="5"/>
  <c r="G17" i="5"/>
  <c r="E17" i="5"/>
  <c r="H17" i="5" s="1"/>
  <c r="G46" i="5"/>
  <c r="E46" i="5"/>
  <c r="H46" i="5" s="1"/>
  <c r="G45" i="5"/>
  <c r="E45" i="5"/>
  <c r="H45" i="5" s="1"/>
  <c r="G43" i="5"/>
  <c r="E43" i="5"/>
  <c r="H43" i="5" s="1"/>
  <c r="G44" i="5"/>
  <c r="E44" i="5"/>
  <c r="H44" i="5" s="1"/>
  <c r="G42" i="5"/>
  <c r="E42" i="5"/>
  <c r="H42" i="5" s="1"/>
  <c r="G41" i="5"/>
  <c r="E41" i="5"/>
  <c r="H41" i="5" s="1"/>
  <c r="G39" i="5"/>
  <c r="H39" i="5"/>
  <c r="G38" i="5"/>
  <c r="E38" i="5"/>
  <c r="H38" i="5" s="1"/>
  <c r="G40" i="5"/>
  <c r="E40" i="5"/>
  <c r="H40" i="5" s="1"/>
  <c r="E32" i="5"/>
  <c r="H32" i="5" s="1"/>
  <c r="G32" i="5"/>
  <c r="G35" i="5"/>
  <c r="G34" i="5"/>
  <c r="G33" i="5"/>
  <c r="G30" i="5"/>
  <c r="I30" i="5" s="1"/>
  <c r="G29" i="5"/>
  <c r="I29" i="5" s="1"/>
  <c r="E29" i="5"/>
  <c r="G28" i="5"/>
  <c r="I28" i="5" s="1"/>
  <c r="E28" i="5"/>
  <c r="H28" i="5" s="1"/>
  <c r="G36" i="5"/>
  <c r="E36" i="5"/>
  <c r="H36" i="5" s="1"/>
  <c r="E35" i="5"/>
  <c r="H35" i="5" s="1"/>
  <c r="E34" i="5"/>
  <c r="H34" i="5" s="1"/>
  <c r="E33" i="5"/>
  <c r="H33" i="5" s="1"/>
  <c r="G31" i="5"/>
  <c r="E31" i="5"/>
  <c r="H31" i="5" s="1"/>
  <c r="E14" i="5"/>
  <c r="H14" i="5" s="1"/>
  <c r="E19" i="5"/>
  <c r="H19" i="5" s="1"/>
  <c r="G16" i="5"/>
  <c r="E16" i="5"/>
  <c r="H16" i="5" s="1"/>
  <c r="G15" i="5"/>
  <c r="E15" i="5"/>
  <c r="H15" i="5" s="1"/>
  <c r="G14" i="5"/>
  <c r="G37" i="5"/>
  <c r="H37" i="5"/>
  <c r="E30" i="5"/>
  <c r="H30" i="5" s="1"/>
  <c r="H29" i="5"/>
</calcChain>
</file>

<file path=xl/sharedStrings.xml><?xml version="1.0" encoding="utf-8"?>
<sst xmlns="http://schemas.openxmlformats.org/spreadsheetml/2006/main" count="201" uniqueCount="89">
  <si>
    <t>Yes</t>
  </si>
  <si>
    <t>Mutually Exclusive to:</t>
  </si>
  <si>
    <t xml:space="preserve"> ---</t>
  </si>
  <si>
    <t>Option Number</t>
  </si>
  <si>
    <t>DRAFT Attorney-Client Work Product</t>
  </si>
  <si>
    <t>Site (County)</t>
  </si>
  <si>
    <t>Technology</t>
  </si>
  <si>
    <t>Turkey Point (Miami-Dade)</t>
  </si>
  <si>
    <t>CC</t>
  </si>
  <si>
    <t xml:space="preserve"> 2 CTs</t>
  </si>
  <si>
    <t>MDLPAS (Miami-Dade)</t>
  </si>
  <si>
    <t>Option 4</t>
  </si>
  <si>
    <t>Andytown (Broward) *</t>
  </si>
  <si>
    <t>Requires New Gas Pipeline from Martin/Hendry ?</t>
  </si>
  <si>
    <t>Not Applicable</t>
  </si>
  <si>
    <t>Hendry CC</t>
  </si>
  <si>
    <t>Andytown CC</t>
  </si>
  <si>
    <t>Turkey Point CC</t>
  </si>
  <si>
    <t>MDLPAS CC</t>
  </si>
  <si>
    <t>Meets 2250 MW Dade Limit?</t>
  </si>
  <si>
    <t>Miami-Dade MW</t>
  </si>
  <si>
    <r>
      <t xml:space="preserve">2 CTs at Andytown </t>
    </r>
    <r>
      <rPr>
        <i/>
        <sz val="10"/>
        <color theme="1"/>
        <rFont val="Arial"/>
        <family val="2"/>
      </rPr>
      <t>(plus 2 FGT-fueled CTs at Pennsuco)</t>
    </r>
  </si>
  <si>
    <t>2 CTs at Andytown and 2 CTs at MDLPAS</t>
  </si>
  <si>
    <r>
      <t xml:space="preserve">2 CTs at MDLPAS </t>
    </r>
    <r>
      <rPr>
        <i/>
        <sz val="10"/>
        <color theme="1"/>
        <rFont val="Arial"/>
        <family val="2"/>
      </rPr>
      <t>(plus 2 FGT-fueld CTs at Pennsuco and 2 Oil-fired CTs at Turkey Point)</t>
    </r>
  </si>
  <si>
    <r>
      <t xml:space="preserve">2 CTs at Hendry </t>
    </r>
    <r>
      <rPr>
        <i/>
        <sz val="10"/>
        <color theme="1"/>
        <rFont val="Arial"/>
        <family val="2"/>
      </rPr>
      <t>(plus 2 FGT-fueled CTs at Pennsuco and 2 oil-fired CTs at Turkey Point)</t>
    </r>
    <r>
      <rPr>
        <sz val="10"/>
        <color theme="1"/>
        <rFont val="Arial"/>
        <family val="2"/>
      </rPr>
      <t xml:space="preserve"> </t>
    </r>
  </si>
  <si>
    <r>
      <t xml:space="preserve">2 CTs at Hendry and 2 CTs at Andytown </t>
    </r>
    <r>
      <rPr>
        <i/>
        <sz val="10"/>
        <color theme="1"/>
        <rFont val="Arial"/>
        <family val="2"/>
      </rPr>
      <t>(plus 2 FGT-fueled CTs at Pennsuco and 2 oil-fired CTs at Turkey Point)</t>
    </r>
    <r>
      <rPr>
        <sz val="10"/>
        <color theme="1"/>
        <rFont val="Arial"/>
        <family val="2"/>
      </rPr>
      <t xml:space="preserve"> </t>
    </r>
  </si>
  <si>
    <r>
      <t xml:space="preserve">2 CTs at Hendry and 2 CTs at MDLPAS </t>
    </r>
    <r>
      <rPr>
        <i/>
        <sz val="10"/>
        <color theme="1"/>
        <rFont val="Arial"/>
        <family val="2"/>
      </rPr>
      <t>(plus 2 FGT-fueled CTs at Pennsuco and 2 oil-fired CTs at Turkey Point)</t>
    </r>
    <r>
      <rPr>
        <sz val="10"/>
        <color theme="1"/>
        <rFont val="Arial"/>
        <family val="2"/>
      </rPr>
      <t xml:space="preserve"> </t>
    </r>
  </si>
  <si>
    <t>Comment / Question</t>
  </si>
  <si>
    <t>Total System MW</t>
  </si>
  <si>
    <t>"</t>
  </si>
  <si>
    <t xml:space="preserve"> "</t>
  </si>
  <si>
    <t>Anchored by Hendry CC</t>
  </si>
  <si>
    <t>Would require ~ 350 MW of PV, battery, CTs, and/or PPA **</t>
  </si>
  <si>
    <t>Would require ~ 850 MW of PV, battery, CTs, and/or PPA **</t>
  </si>
  <si>
    <t xml:space="preserve"> ** Save for Iteration # 3 when we see how much PV and/or batteries are achievable in Miami-Dade and Broward within the 2023 thru 2030 time frame.</t>
  </si>
  <si>
    <t>Assume FPL would not extend pipeline to Broward for 2 CTs. Dismiss plan. *</t>
  </si>
  <si>
    <t>*</t>
  </si>
  <si>
    <t>**</t>
  </si>
  <si>
    <t>Fort Lauderdale</t>
  </si>
  <si>
    <t>Repower existing CCs</t>
  </si>
  <si>
    <t>Net MW</t>
  </si>
  <si>
    <t xml:space="preserve"> --</t>
  </si>
  <si>
    <t>No - Will be oil-fired (except when gas is available from TP Unit 5</t>
  </si>
  <si>
    <t>Broward &amp; Miami-Dade MW</t>
  </si>
  <si>
    <r>
      <t xml:space="preserve">2 CTs at Andytown </t>
    </r>
    <r>
      <rPr>
        <i/>
        <sz val="10"/>
        <color theme="1"/>
        <rFont val="Arial"/>
        <family val="2"/>
      </rPr>
      <t>(and 2 oil-fired CTs at Turkey Point)</t>
    </r>
  </si>
  <si>
    <t>SE Florida Study: Iteration # 2 - Resource Plans To Be Considered</t>
  </si>
  <si>
    <t>(A representative list)</t>
  </si>
  <si>
    <t>SE Florida Study: Iteration # 2 - Generation Options Under Consideration</t>
  </si>
  <si>
    <t>2 CTs at Andytown and 2 gas-fired CTs at Turkey Point</t>
  </si>
  <si>
    <t>Turkey Point CC - centric</t>
  </si>
  <si>
    <t>Andytown CC - centric</t>
  </si>
  <si>
    <t>MDLPAS CC - centric</t>
  </si>
  <si>
    <t xml:space="preserve">Assume FPL would not extend pipeline to Miami-Dade for 2 CTs. Dismiss plan. * </t>
  </si>
  <si>
    <t>Lauderdale Repower - centric</t>
  </si>
  <si>
    <t>Option 3</t>
  </si>
  <si>
    <t>Generation COD (By Date Shown)</t>
  </si>
  <si>
    <t>Andytown CC (2028)</t>
  </si>
  <si>
    <t>Turkey Point CC (2028)</t>
  </si>
  <si>
    <t>MDLPAS CC (2028)</t>
  </si>
  <si>
    <t>Hendry CC (2028)</t>
  </si>
  <si>
    <t xml:space="preserve">   Miami-Dade County. Capacity at Andytown in Broward does not affect this upper limit for Miami-Dade.</t>
  </si>
  <si>
    <t xml:space="preserve"> - Assumption from J. Hampp is that a maximum of approximately 2,250 MW of fossil capacity (CC and/or CT) could be permitted in</t>
  </si>
  <si>
    <t xml:space="preserve">                     years later as shown below.</t>
  </si>
  <si>
    <t xml:space="preserve">EMT  &amp; ENV view this resource option as having at least a reasonable probability of success in permitting &amp; constructing a new pipeline by mid-2022                      </t>
  </si>
  <si>
    <t>Note:</t>
  </si>
  <si>
    <r>
      <t xml:space="preserve"> </t>
    </r>
    <r>
      <rPr>
        <i/>
        <sz val="10"/>
        <color theme="1"/>
        <rFont val="Arial"/>
        <family val="2"/>
      </rPr>
      <t>2 oil-fired CTs at Andytown and 2 oil-fired CTs at Turkey Point ( 2024)</t>
    </r>
    <r>
      <rPr>
        <sz val="10"/>
        <color theme="1"/>
        <rFont val="Arial"/>
        <family val="2"/>
      </rPr>
      <t>, plus smaller repower at Fort Lauderdale CCs (2028), plus 2 CTs at Hendry (2028)</t>
    </r>
  </si>
  <si>
    <t xml:space="preserve"> 867 (for 1,751 MW CC) or 316 (for 1,200 MW CC)</t>
  </si>
  <si>
    <t>Yes for 1,751 MW CC. The 1,200 MW CC repowering may require additional compression on FGT.</t>
  </si>
  <si>
    <r>
      <t xml:space="preserve"> </t>
    </r>
    <r>
      <rPr>
        <i/>
        <sz val="10"/>
        <color theme="1"/>
        <rFont val="Arial"/>
        <family val="2"/>
      </rPr>
      <t>2 CTs at Andytown, and 2 CTs at Turkey Point, running on oil until the new pipeline is built (CT COD in 2023)</t>
    </r>
    <r>
      <rPr>
        <sz val="10"/>
        <color theme="1"/>
        <rFont val="Arial"/>
        <family val="2"/>
      </rPr>
      <t>, plus repower Fort Lauderdale CCs (2026) with the 4 new CTs then switching to gas</t>
    </r>
  </si>
  <si>
    <t>Hendry CC and Hendry 2 CTs (2025)</t>
  </si>
  <si>
    <t xml:space="preserve">E&amp;C and ENV view this resource option as having at least a reasonable probability of success in permitting &amp; constructing new generation by mid-2023                      </t>
  </si>
  <si>
    <t xml:space="preserve"> Yes or No (depending upon the resource plan)</t>
  </si>
  <si>
    <t>Filename: 2016 SE Florida Study Generation Options for Iteration # 2 8 11 2016</t>
  </si>
  <si>
    <t>8 11 2016</t>
  </si>
  <si>
    <r>
      <t xml:space="preserve">Hendry CC  </t>
    </r>
    <r>
      <rPr>
        <i/>
        <sz val="10"/>
        <color theme="1"/>
        <rFont val="Arial"/>
        <family val="2"/>
      </rPr>
      <t>(pipeline stops at Hendry)</t>
    </r>
  </si>
  <si>
    <r>
      <t xml:space="preserve">Hendry CC </t>
    </r>
    <r>
      <rPr>
        <sz val="10"/>
        <color rgb="FFFF0000"/>
        <rFont val="Arial"/>
        <family val="2"/>
      </rPr>
      <t>(2025)</t>
    </r>
  </si>
  <si>
    <r>
      <t xml:space="preserve">Generation COD </t>
    </r>
    <r>
      <rPr>
        <b/>
        <sz val="10"/>
        <color rgb="FFFF0000"/>
        <rFont val="Arial"/>
        <family val="2"/>
      </rPr>
      <t>(By Date Shown)</t>
    </r>
  </si>
  <si>
    <r>
      <t xml:space="preserve">Hendry CC </t>
    </r>
    <r>
      <rPr>
        <sz val="10"/>
        <color rgb="FFFF0000"/>
        <rFont val="Arial"/>
        <family val="2"/>
      </rPr>
      <t>(2025)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(pipeline stops at Hendry)</t>
    </r>
  </si>
  <si>
    <r>
      <t xml:space="preserve">Scenario 2: Assumes no new CC is built at Hendry in </t>
    </r>
    <r>
      <rPr>
        <b/>
        <sz val="10"/>
        <color rgb="FFFF0000"/>
        <rFont val="Arial"/>
        <family val="2"/>
      </rPr>
      <t>2025</t>
    </r>
    <r>
      <rPr>
        <b/>
        <sz val="10"/>
        <color theme="1"/>
        <rFont val="Arial"/>
        <family val="2"/>
      </rPr>
      <t xml:space="preserve"> so a new pipeline would have to start at Martin to serve new gas-fired generation in Broward or Miami-Dade for COD by mid-</t>
    </r>
    <r>
      <rPr>
        <b/>
        <sz val="10"/>
        <color rgb="FFFF0000"/>
        <rFont val="Arial"/>
        <family val="2"/>
      </rPr>
      <t>2024</t>
    </r>
    <r>
      <rPr>
        <b/>
        <sz val="10"/>
        <color theme="1"/>
        <rFont val="Arial"/>
        <family val="2"/>
      </rPr>
      <t>.</t>
    </r>
  </si>
  <si>
    <r>
      <t xml:space="preserve">Scenario 1: Assumes a new CC is built at Hendry in </t>
    </r>
    <r>
      <rPr>
        <b/>
        <sz val="11"/>
        <color rgb="FFFF0000"/>
        <rFont val="Arial"/>
        <family val="2"/>
      </rPr>
      <t>2025</t>
    </r>
    <r>
      <rPr>
        <b/>
        <sz val="11"/>
        <color theme="1"/>
        <rFont val="Arial"/>
        <family val="2"/>
      </rPr>
      <t xml:space="preserve"> with a new pipeline to Hendry by mid-</t>
    </r>
    <r>
      <rPr>
        <b/>
        <sz val="11"/>
        <color rgb="FFFF0000"/>
        <rFont val="Arial"/>
        <family val="2"/>
      </rPr>
      <t>2024</t>
    </r>
    <r>
      <rPr>
        <b/>
        <sz val="11"/>
        <color theme="1"/>
        <rFont val="Arial"/>
        <family val="2"/>
      </rPr>
      <t xml:space="preserve">. In most cases, a pipeline extension is then needed to serve generation several  </t>
    </r>
  </si>
  <si>
    <r>
      <t xml:space="preserve">Turkey Point CC </t>
    </r>
    <r>
      <rPr>
        <sz val="10"/>
        <color rgb="FFFF0000"/>
        <rFont val="Arial"/>
        <family val="2"/>
      </rPr>
      <t>(2025)</t>
    </r>
  </si>
  <si>
    <r>
      <t xml:space="preserve">Andytown CC </t>
    </r>
    <r>
      <rPr>
        <sz val="10"/>
        <color rgb="FFFF0000"/>
        <rFont val="Arial"/>
        <family val="2"/>
      </rPr>
      <t>(2025)</t>
    </r>
  </si>
  <si>
    <r>
      <t xml:space="preserve">MDLPAS CC </t>
    </r>
    <r>
      <rPr>
        <sz val="10"/>
        <color rgb="FFFF0000"/>
        <rFont val="Arial"/>
        <family val="2"/>
      </rPr>
      <t>(2025)</t>
    </r>
  </si>
  <si>
    <r>
      <t xml:space="preserve"> </t>
    </r>
    <r>
      <rPr>
        <i/>
        <sz val="10"/>
        <color theme="1"/>
        <rFont val="Arial"/>
        <family val="2"/>
      </rPr>
      <t xml:space="preserve">2 CTs at Andytown, and 2 CTs at Turkey Point, running on oil until the new pipeline is built (CT COD in </t>
    </r>
    <r>
      <rPr>
        <i/>
        <sz val="10"/>
        <color rgb="FFFF0000"/>
        <rFont val="Arial"/>
        <family val="2"/>
      </rPr>
      <t>2024</t>
    </r>
    <r>
      <rPr>
        <i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, plus repower Fort Lauderdale CCs (2028) with the 4 new CTs then switching to gas</t>
    </r>
  </si>
  <si>
    <r>
      <t xml:space="preserve">Repower  with a 1,751 MW CC </t>
    </r>
    <r>
      <rPr>
        <sz val="10"/>
        <color rgb="FFFF0000"/>
        <rFont val="Arial"/>
        <family val="2"/>
      </rPr>
      <t>(New pipeline from Hendry to Ft. Lauderdale needed by mid-2027)</t>
    </r>
  </si>
  <si>
    <t>Meets 3462 MW System Need?</t>
  </si>
  <si>
    <t xml:space="preserve">Would utilize a smaller 2x1 CC repower of approximately 1,200 MW which may require FGT compression. </t>
  </si>
  <si>
    <r>
      <t xml:space="preserve">New pipeline comes from Martin to Broward only </t>
    </r>
    <r>
      <rPr>
        <sz val="10"/>
        <color rgb="FFFF0000"/>
        <rFont val="Arial"/>
        <family val="2"/>
      </rPr>
      <t>by mid-2025</t>
    </r>
    <r>
      <rPr>
        <sz val="10"/>
        <rFont val="Arial"/>
        <family val="2"/>
      </rPr>
      <t>. Repowering is with a 1,751 MW CC.</t>
    </r>
  </si>
  <si>
    <r>
      <t xml:space="preserve"> </t>
    </r>
    <r>
      <rPr>
        <i/>
        <sz val="10"/>
        <color theme="1"/>
        <rFont val="Arial"/>
        <family val="2"/>
      </rPr>
      <t xml:space="preserve">2 oil-fired CTs at Andytown and 2 oil-fired CTs at Turkey Point ( </t>
    </r>
    <r>
      <rPr>
        <i/>
        <sz val="10"/>
        <color rgb="FFFF0000"/>
        <rFont val="Arial"/>
        <family val="2"/>
      </rPr>
      <t>2024</t>
    </r>
    <r>
      <rPr>
        <i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, plus smaller repower at Fort Lauderdale CCs (2028)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</si>
</sst>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3" fontId="0" fillId="4" borderId="10" xfId="0" applyNumberForma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8" fillId="0" borderId="16" xfId="0" quotePrefix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showGridLines="0" zoomScaleNormal="100" workbookViewId="0">
      <selection sqref="A1:XFD2"/>
    </sheetView>
  </sheetViews>
  <sheetFormatPr defaultRowHeight="12.75" x14ac:dyDescent="0.2"/>
  <cols>
    <col min="1" max="1" width="8" customWidth="1"/>
    <col min="2" max="2" width="11.140625" customWidth="1"/>
    <col min="3" max="3" width="16.28515625" customWidth="1"/>
    <col min="4" max="4" width="11.7109375" customWidth="1"/>
    <col min="5" max="5" width="9.140625" customWidth="1"/>
    <col min="6" max="6" width="23" customWidth="1"/>
    <col min="7" max="7" width="21.28515625" customWidth="1"/>
    <col min="8" max="8" width="21.42578125" customWidth="1"/>
  </cols>
  <sheetData>
    <row r="3" spans="1:8" x14ac:dyDescent="0.2">
      <c r="A3" s="56" t="s">
        <v>4</v>
      </c>
      <c r="H3" s="8" t="s">
        <v>72</v>
      </c>
    </row>
    <row r="4" spans="1:8" ht="15.75" x14ac:dyDescent="0.25">
      <c r="F4" s="7"/>
      <c r="H4" s="117" t="s">
        <v>73</v>
      </c>
    </row>
    <row r="5" spans="1:8" ht="15.75" x14ac:dyDescent="0.25">
      <c r="D5" s="6"/>
      <c r="E5" s="6"/>
      <c r="F5" s="7" t="s">
        <v>47</v>
      </c>
    </row>
    <row r="6" spans="1:8" ht="15.75" x14ac:dyDescent="0.25">
      <c r="D6" s="7"/>
      <c r="E6" s="6"/>
      <c r="F6" s="7"/>
    </row>
    <row r="7" spans="1:8" x14ac:dyDescent="0.2">
      <c r="A7" s="11">
        <v>-1</v>
      </c>
      <c r="B7" s="11">
        <v>-2</v>
      </c>
      <c r="C7" s="11">
        <v>-3</v>
      </c>
      <c r="D7" s="11">
        <v>-4</v>
      </c>
      <c r="E7" s="11">
        <v>-5</v>
      </c>
      <c r="F7" s="11">
        <v>-6</v>
      </c>
      <c r="G7" s="11">
        <v>-7</v>
      </c>
      <c r="H7" s="11">
        <v>-8</v>
      </c>
    </row>
    <row r="8" spans="1:8" ht="92.25" customHeight="1" x14ac:dyDescent="0.2">
      <c r="A8" s="4" t="s">
        <v>3</v>
      </c>
      <c r="B8" s="4" t="s">
        <v>5</v>
      </c>
      <c r="C8" s="5" t="s">
        <v>6</v>
      </c>
      <c r="D8" s="5" t="s">
        <v>40</v>
      </c>
      <c r="E8" s="4" t="s">
        <v>1</v>
      </c>
      <c r="F8" s="4" t="s">
        <v>13</v>
      </c>
      <c r="G8" s="4" t="s">
        <v>63</v>
      </c>
      <c r="H8" s="4" t="s">
        <v>70</v>
      </c>
    </row>
    <row r="9" spans="1:8" ht="40.5" customHeight="1" x14ac:dyDescent="0.2">
      <c r="A9" s="2">
        <v>1</v>
      </c>
      <c r="B9" s="3" t="s">
        <v>7</v>
      </c>
      <c r="C9" s="2" t="s">
        <v>8</v>
      </c>
      <c r="D9" s="2">
        <v>1751</v>
      </c>
      <c r="E9" s="10" t="s">
        <v>2</v>
      </c>
      <c r="F9" s="2" t="s">
        <v>0</v>
      </c>
      <c r="G9" s="10" t="s">
        <v>0</v>
      </c>
      <c r="H9" s="10" t="s">
        <v>0</v>
      </c>
    </row>
    <row r="10" spans="1:8" ht="40.5" customHeight="1" x14ac:dyDescent="0.2">
      <c r="A10" s="2">
        <v>2</v>
      </c>
      <c r="B10" s="3" t="s">
        <v>7</v>
      </c>
      <c r="C10" s="2" t="s">
        <v>9</v>
      </c>
      <c r="D10" s="2">
        <v>469</v>
      </c>
      <c r="E10" s="10" t="s">
        <v>2</v>
      </c>
      <c r="F10" s="3" t="s">
        <v>42</v>
      </c>
      <c r="G10" s="10" t="s">
        <v>14</v>
      </c>
      <c r="H10" s="10" t="s">
        <v>0</v>
      </c>
    </row>
    <row r="11" spans="1:8" ht="37.5" customHeight="1" x14ac:dyDescent="0.2">
      <c r="A11" s="2">
        <v>3</v>
      </c>
      <c r="B11" s="3" t="s">
        <v>12</v>
      </c>
      <c r="C11" s="2" t="s">
        <v>8</v>
      </c>
      <c r="D11" s="2">
        <v>1751</v>
      </c>
      <c r="E11" s="4" t="s">
        <v>11</v>
      </c>
      <c r="F11" s="2" t="s">
        <v>0</v>
      </c>
      <c r="G11" s="10" t="s">
        <v>0</v>
      </c>
      <c r="H11" s="10" t="s">
        <v>0</v>
      </c>
    </row>
    <row r="12" spans="1:8" ht="36.75" customHeight="1" x14ac:dyDescent="0.2">
      <c r="A12" s="2">
        <v>4</v>
      </c>
      <c r="B12" s="3" t="s">
        <v>12</v>
      </c>
      <c r="C12" s="2" t="s">
        <v>9</v>
      </c>
      <c r="D12" s="2">
        <v>469</v>
      </c>
      <c r="E12" s="4" t="s">
        <v>54</v>
      </c>
      <c r="F12" s="3" t="s">
        <v>71</v>
      </c>
      <c r="G12" s="10" t="s">
        <v>0</v>
      </c>
      <c r="H12" s="10" t="s">
        <v>0</v>
      </c>
    </row>
    <row r="13" spans="1:8" ht="40.5" customHeight="1" x14ac:dyDescent="0.2">
      <c r="A13" s="2">
        <v>5</v>
      </c>
      <c r="B13" s="3" t="s">
        <v>10</v>
      </c>
      <c r="C13" s="2" t="s">
        <v>8</v>
      </c>
      <c r="D13" s="2">
        <v>1751</v>
      </c>
      <c r="E13" s="2" t="s">
        <v>2</v>
      </c>
      <c r="F13" s="10" t="s">
        <v>0</v>
      </c>
      <c r="G13" s="10" t="s">
        <v>0</v>
      </c>
      <c r="H13" s="10" t="s">
        <v>0</v>
      </c>
    </row>
    <row r="14" spans="1:8" ht="65.25" customHeight="1" x14ac:dyDescent="0.2">
      <c r="A14" s="2">
        <v>6</v>
      </c>
      <c r="B14" s="3" t="s">
        <v>38</v>
      </c>
      <c r="C14" s="3" t="s">
        <v>39</v>
      </c>
      <c r="D14" s="3" t="s">
        <v>66</v>
      </c>
      <c r="E14" s="10" t="s">
        <v>41</v>
      </c>
      <c r="F14" s="18" t="s">
        <v>67</v>
      </c>
      <c r="G14" s="10" t="s">
        <v>0</v>
      </c>
      <c r="H14" s="10" t="s">
        <v>0</v>
      </c>
    </row>
    <row r="15" spans="1:8" x14ac:dyDescent="0.2">
      <c r="A15" s="70"/>
      <c r="B15" s="16"/>
      <c r="C15" s="16"/>
      <c r="D15" s="70"/>
      <c r="E15" s="15"/>
      <c r="F15" s="15"/>
      <c r="G15" s="15"/>
      <c r="H15" s="15"/>
    </row>
    <row r="16" spans="1:8" x14ac:dyDescent="0.2">
      <c r="A16" s="1" t="s">
        <v>64</v>
      </c>
      <c r="B16" t="s">
        <v>61</v>
      </c>
    </row>
    <row r="17" spans="2:2" x14ac:dyDescent="0.2">
      <c r="B17" s="71" t="s">
        <v>60</v>
      </c>
    </row>
  </sheetData>
  <printOptions horizontalCentered="1" verticalCentered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0"/>
  <sheetViews>
    <sheetView tabSelected="1" zoomScaleNormal="100" workbookViewId="0">
      <selection sqref="A1:XFD2"/>
    </sheetView>
  </sheetViews>
  <sheetFormatPr defaultRowHeight="12.75" x14ac:dyDescent="0.2"/>
  <cols>
    <col min="1" max="1" width="10.28515625" customWidth="1"/>
    <col min="2" max="2" width="6.140625" customWidth="1"/>
    <col min="3" max="3" width="26.85546875" customWidth="1"/>
    <col min="4" max="4" width="40.28515625" customWidth="1"/>
    <col min="5" max="6" width="12.7109375" customWidth="1"/>
    <col min="7" max="7" width="10.85546875" customWidth="1"/>
    <col min="8" max="8" width="15.85546875" customWidth="1"/>
    <col min="9" max="9" width="16.42578125" customWidth="1"/>
    <col min="10" max="10" width="33.42578125" customWidth="1"/>
    <col min="12" max="12" width="15" customWidth="1"/>
  </cols>
  <sheetData>
    <row r="3" spans="1:14" ht="15.75" x14ac:dyDescent="0.25">
      <c r="A3" s="56" t="s">
        <v>4</v>
      </c>
      <c r="C3" s="6"/>
      <c r="D3" s="7"/>
      <c r="I3" s="8"/>
      <c r="J3" s="8" t="str">
        <f>'Gen Options'!$H$3</f>
        <v>Filename: 2016 SE Florida Study Generation Options for Iteration # 2 8 11 2016</v>
      </c>
      <c r="L3" s="8"/>
      <c r="N3" s="8"/>
    </row>
    <row r="4" spans="1:14" ht="15" x14ac:dyDescent="0.25">
      <c r="D4" s="76"/>
      <c r="E4" s="6"/>
      <c r="F4" s="6"/>
      <c r="G4" s="6"/>
      <c r="H4" s="6"/>
      <c r="J4" s="117" t="str">
        <f>'Gen Options'!$H$4</f>
        <v>8 11 2016</v>
      </c>
    </row>
    <row r="5" spans="1:14" ht="15.75" x14ac:dyDescent="0.25">
      <c r="D5" s="7" t="s">
        <v>45</v>
      </c>
      <c r="E5" s="6"/>
      <c r="F5" s="6"/>
      <c r="G5" s="6"/>
      <c r="H5" s="6"/>
      <c r="J5" s="8"/>
    </row>
    <row r="6" spans="1:14" ht="15" x14ac:dyDescent="0.25">
      <c r="D6" s="76" t="s">
        <v>46</v>
      </c>
      <c r="E6" s="6"/>
      <c r="F6" s="6"/>
      <c r="G6" s="6"/>
      <c r="H6" s="6"/>
      <c r="J6" s="8"/>
    </row>
    <row r="7" spans="1:14" x14ac:dyDescent="0.2">
      <c r="A7" s="14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15" x14ac:dyDescent="0.25">
      <c r="A9" s="13" t="s">
        <v>79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4" ht="15" x14ac:dyDescent="0.25">
      <c r="A10" s="13" t="s">
        <v>62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5" x14ac:dyDescent="0.25">
      <c r="A11" s="1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13.5" thickBot="1" x14ac:dyDescent="0.25">
      <c r="A12" s="1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ht="39" thickBot="1" x14ac:dyDescent="0.25">
      <c r="A13" s="12"/>
      <c r="B13" s="105"/>
      <c r="C13" s="106" t="s">
        <v>76</v>
      </c>
      <c r="D13" s="107" t="s">
        <v>55</v>
      </c>
      <c r="E13" s="106" t="s">
        <v>20</v>
      </c>
      <c r="F13" s="106" t="s">
        <v>43</v>
      </c>
      <c r="G13" s="106" t="s">
        <v>28</v>
      </c>
      <c r="H13" s="106" t="s">
        <v>19</v>
      </c>
      <c r="I13" s="106" t="s">
        <v>85</v>
      </c>
      <c r="J13" s="108" t="s">
        <v>27</v>
      </c>
      <c r="K13" s="1"/>
      <c r="L13" s="1"/>
      <c r="M13" s="1"/>
    </row>
    <row r="14" spans="1:14" ht="28.5" customHeight="1" thickBot="1" x14ac:dyDescent="0.25">
      <c r="A14" s="120" t="s">
        <v>31</v>
      </c>
      <c r="B14" s="109">
        <v>1</v>
      </c>
      <c r="C14" s="101" t="s">
        <v>75</v>
      </c>
      <c r="D14" s="57" t="s">
        <v>56</v>
      </c>
      <c r="E14" s="40">
        <f>0*1751+0*469</f>
        <v>0</v>
      </c>
      <c r="F14" s="40">
        <f>1*1751+0*469</f>
        <v>1751</v>
      </c>
      <c r="G14" s="40">
        <f>2*1751+0*469</f>
        <v>3502</v>
      </c>
      <c r="H14" s="39" t="str">
        <f>IF(E14&lt;2250,"Yes","No")</f>
        <v>Yes</v>
      </c>
      <c r="I14" s="39" t="str">
        <f>IF(G14&gt;3462,"Yes","No")</f>
        <v>Yes</v>
      </c>
      <c r="J14" s="58" t="s">
        <v>2</v>
      </c>
      <c r="K14" s="1"/>
      <c r="L14" s="1"/>
      <c r="M14" s="1"/>
    </row>
    <row r="15" spans="1:14" ht="24.75" customHeight="1" thickBot="1" x14ac:dyDescent="0.25">
      <c r="A15" s="121"/>
      <c r="B15" s="110">
        <f>B14+1</f>
        <v>2</v>
      </c>
      <c r="C15" s="92" t="s">
        <v>75</v>
      </c>
      <c r="D15" s="2" t="s">
        <v>57</v>
      </c>
      <c r="E15" s="24">
        <f t="shared" ref="E15:F16" si="0">1*1751+0*469</f>
        <v>1751</v>
      </c>
      <c r="F15" s="24">
        <f t="shared" si="0"/>
        <v>1751</v>
      </c>
      <c r="G15" s="24">
        <f t="shared" ref="G15:G16" si="1">2*1751+0*469</f>
        <v>3502</v>
      </c>
      <c r="H15" s="3" t="str">
        <f t="shared" ref="H15:H20" si="2">IF(E15&lt;2250,"Yes","No")</f>
        <v>Yes</v>
      </c>
      <c r="I15" s="39" t="str">
        <f t="shared" ref="I15:I21" si="3">IF(G15&gt;3462,"Yes","No")</f>
        <v>Yes</v>
      </c>
      <c r="J15" s="59" t="s">
        <v>2</v>
      </c>
      <c r="K15" s="1"/>
      <c r="L15" s="1"/>
      <c r="M15" s="1"/>
    </row>
    <row r="16" spans="1:14" ht="29.25" customHeight="1" thickBot="1" x14ac:dyDescent="0.25">
      <c r="A16" s="60" t="s">
        <v>29</v>
      </c>
      <c r="B16" s="110">
        <f t="shared" ref="B16" si="4">B15+1</f>
        <v>3</v>
      </c>
      <c r="C16" s="92" t="s">
        <v>75</v>
      </c>
      <c r="D16" s="2" t="s">
        <v>58</v>
      </c>
      <c r="E16" s="24">
        <f t="shared" si="0"/>
        <v>1751</v>
      </c>
      <c r="F16" s="24">
        <f t="shared" si="0"/>
        <v>1751</v>
      </c>
      <c r="G16" s="24">
        <f t="shared" si="1"/>
        <v>3502</v>
      </c>
      <c r="H16" s="3" t="str">
        <f t="shared" si="2"/>
        <v>Yes</v>
      </c>
      <c r="I16" s="39" t="str">
        <f t="shared" si="3"/>
        <v>Yes</v>
      </c>
      <c r="J16" s="59" t="s">
        <v>2</v>
      </c>
      <c r="K16" s="1"/>
      <c r="L16" s="1"/>
      <c r="M16" s="1"/>
    </row>
    <row r="17" spans="1:13" ht="39" hidden="1" customHeight="1" x14ac:dyDescent="0.2">
      <c r="A17" s="60" t="s">
        <v>29</v>
      </c>
      <c r="B17" s="111" t="s">
        <v>36</v>
      </c>
      <c r="C17" s="92" t="s">
        <v>15</v>
      </c>
      <c r="D17" s="3" t="s">
        <v>25</v>
      </c>
      <c r="E17" s="24">
        <f>0*1751+2*469</f>
        <v>938</v>
      </c>
      <c r="F17" s="24">
        <f>0*1751+3*469</f>
        <v>1407</v>
      </c>
      <c r="G17" s="24">
        <f>1*1751+4*469</f>
        <v>3627</v>
      </c>
      <c r="H17" s="3" t="str">
        <f t="shared" ref="H17" si="5">IF(E17&lt;2250,"Yes","No")</f>
        <v>Yes</v>
      </c>
      <c r="I17" s="39" t="str">
        <f t="shared" si="3"/>
        <v>Yes</v>
      </c>
      <c r="J17" s="63" t="s">
        <v>35</v>
      </c>
      <c r="K17" s="1"/>
      <c r="L17" s="1"/>
      <c r="M17" s="1"/>
    </row>
    <row r="18" spans="1:13" ht="49.5" hidden="1" customHeight="1" x14ac:dyDescent="0.2">
      <c r="A18" s="60" t="s">
        <v>29</v>
      </c>
      <c r="B18" s="111" t="s">
        <v>36</v>
      </c>
      <c r="C18" s="92" t="s">
        <v>15</v>
      </c>
      <c r="D18" s="3" t="s">
        <v>26</v>
      </c>
      <c r="E18" s="24">
        <f>0*1751+3*469</f>
        <v>1407</v>
      </c>
      <c r="F18" s="24">
        <f>0*1751+3*469</f>
        <v>1407</v>
      </c>
      <c r="G18" s="24">
        <f>1*1751+4*469</f>
        <v>3627</v>
      </c>
      <c r="H18" s="3" t="str">
        <f t="shared" ref="H18" si="6">IF(E18&lt;2250,"Yes","No")</f>
        <v>Yes</v>
      </c>
      <c r="I18" s="39" t="str">
        <f t="shared" si="3"/>
        <v>Yes</v>
      </c>
      <c r="J18" s="63" t="s">
        <v>52</v>
      </c>
      <c r="K18" s="1"/>
      <c r="L18" s="1"/>
      <c r="M18" s="1"/>
    </row>
    <row r="19" spans="1:13" ht="26.25" hidden="1" customHeight="1" x14ac:dyDescent="0.2">
      <c r="A19" s="60" t="s">
        <v>29</v>
      </c>
      <c r="B19" s="111" t="s">
        <v>37</v>
      </c>
      <c r="C19" s="92" t="s">
        <v>74</v>
      </c>
      <c r="D19" s="3" t="s">
        <v>24</v>
      </c>
      <c r="E19" s="24">
        <f>0*1751+2*469</f>
        <v>938</v>
      </c>
      <c r="F19" s="24">
        <f>0*1751+2*469</f>
        <v>938</v>
      </c>
      <c r="G19" s="24">
        <f>1*1751+3*469</f>
        <v>3158</v>
      </c>
      <c r="H19" s="3" t="str">
        <f t="shared" si="2"/>
        <v>Yes</v>
      </c>
      <c r="I19" s="39" t="str">
        <f t="shared" si="3"/>
        <v>No</v>
      </c>
      <c r="J19" s="52" t="s">
        <v>32</v>
      </c>
      <c r="K19" s="1"/>
      <c r="L19" s="1"/>
      <c r="M19" s="1"/>
    </row>
    <row r="20" spans="1:13" ht="66" customHeight="1" thickBot="1" x14ac:dyDescent="0.25">
      <c r="A20" s="60" t="s">
        <v>29</v>
      </c>
      <c r="B20" s="110">
        <f>B16+1</f>
        <v>4</v>
      </c>
      <c r="C20" s="102" t="s">
        <v>75</v>
      </c>
      <c r="D20" s="43" t="s">
        <v>83</v>
      </c>
      <c r="E20" s="44">
        <f>0*1751+1*469</f>
        <v>469</v>
      </c>
      <c r="F20" s="44">
        <f>0*1751+2*469+(1751-884)</f>
        <v>1805</v>
      </c>
      <c r="G20" s="44">
        <f>1*1751+2*469 + (1751-884)</f>
        <v>3556</v>
      </c>
      <c r="H20" s="43" t="str">
        <f t="shared" si="2"/>
        <v>Yes</v>
      </c>
      <c r="I20" s="39" t="str">
        <f t="shared" si="3"/>
        <v>Yes</v>
      </c>
      <c r="J20" s="104" t="s">
        <v>84</v>
      </c>
      <c r="K20" s="1"/>
      <c r="L20" s="1"/>
      <c r="M20" s="1"/>
    </row>
    <row r="21" spans="1:13" ht="54" customHeight="1" thickBot="1" x14ac:dyDescent="0.25">
      <c r="A21" s="61" t="s">
        <v>29</v>
      </c>
      <c r="B21" s="112">
        <f>B20+1</f>
        <v>5</v>
      </c>
      <c r="C21" s="103" t="s">
        <v>77</v>
      </c>
      <c r="D21" s="43" t="s">
        <v>65</v>
      </c>
      <c r="E21" s="44">
        <f>0*1751+1*469</f>
        <v>469</v>
      </c>
      <c r="F21" s="44">
        <f>0*1751+2*469+(1200-884)</f>
        <v>1254</v>
      </c>
      <c r="G21" s="44">
        <f>1*1751+3*469 + (1200-884)</f>
        <v>3474</v>
      </c>
      <c r="H21" s="43" t="str">
        <f t="shared" ref="H21" si="7">IF(E21&lt;2250,"Yes","No")</f>
        <v>Yes</v>
      </c>
      <c r="I21" s="73" t="str">
        <f t="shared" si="3"/>
        <v>Yes</v>
      </c>
      <c r="J21" s="90" t="s">
        <v>86</v>
      </c>
      <c r="K21" s="1"/>
      <c r="L21" s="1"/>
      <c r="M21" s="1"/>
    </row>
    <row r="22" spans="1:13" ht="14.25" customHeight="1" x14ac:dyDescent="0.2">
      <c r="A22" s="70"/>
      <c r="B22" s="70"/>
      <c r="C22" s="96"/>
      <c r="D22" s="16"/>
      <c r="E22" s="97"/>
      <c r="F22" s="97"/>
      <c r="G22" s="97"/>
      <c r="H22" s="16"/>
      <c r="I22" s="16"/>
      <c r="J22" s="98"/>
      <c r="K22" s="1"/>
      <c r="L22" s="1"/>
      <c r="M22" s="1"/>
    </row>
    <row r="23" spans="1:13" ht="13.5" customHeight="1" x14ac:dyDescent="0.2">
      <c r="A23" s="70"/>
      <c r="B23" s="70"/>
      <c r="C23" s="96"/>
      <c r="D23" s="16"/>
      <c r="E23" s="97"/>
      <c r="F23" s="97"/>
      <c r="G23" s="97"/>
      <c r="H23" s="16"/>
      <c r="I23" s="16"/>
      <c r="J23" s="98"/>
      <c r="K23" s="1"/>
      <c r="L23" s="1"/>
      <c r="M23" s="1"/>
    </row>
    <row r="24" spans="1:13" x14ac:dyDescent="0.2">
      <c r="A24" s="12"/>
      <c r="B24" s="1"/>
      <c r="C24" s="22"/>
      <c r="D24" s="16"/>
      <c r="E24" s="16"/>
      <c r="F24" s="16"/>
      <c r="G24" s="16"/>
      <c r="H24" s="16"/>
      <c r="I24" s="16"/>
      <c r="J24" s="1"/>
      <c r="K24" s="1"/>
      <c r="L24" s="1"/>
      <c r="M24" s="1"/>
    </row>
    <row r="25" spans="1:13" ht="21.75" customHeight="1" x14ac:dyDescent="0.2">
      <c r="A25" s="99" t="s">
        <v>78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"/>
      <c r="L25" s="1"/>
      <c r="M25" s="1"/>
    </row>
    <row r="27" spans="1:13" ht="36.75" customHeight="1" thickBot="1" x14ac:dyDescent="0.25">
      <c r="B27" s="28"/>
      <c r="C27" s="30" t="s">
        <v>76</v>
      </c>
      <c r="D27" s="29" t="s">
        <v>55</v>
      </c>
      <c r="E27" s="30" t="s">
        <v>20</v>
      </c>
      <c r="F27" s="30" t="s">
        <v>43</v>
      </c>
      <c r="G27" s="30" t="s">
        <v>28</v>
      </c>
      <c r="H27" s="30" t="s">
        <v>19</v>
      </c>
      <c r="I27" s="30" t="s">
        <v>85</v>
      </c>
      <c r="J27" s="30" t="s">
        <v>27</v>
      </c>
    </row>
    <row r="28" spans="1:13" ht="24" hidden="1" customHeight="1" x14ac:dyDescent="0.2">
      <c r="A28" s="118" t="s">
        <v>49</v>
      </c>
      <c r="B28" s="65" t="s">
        <v>37</v>
      </c>
      <c r="C28" s="31" t="s">
        <v>17</v>
      </c>
      <c r="D28" s="32" t="s">
        <v>48</v>
      </c>
      <c r="E28" s="33">
        <f>1*1751+1*469</f>
        <v>2220</v>
      </c>
      <c r="F28" s="33">
        <f t="shared" ref="F28:G30" si="8">1*1751+2*469</f>
        <v>2689</v>
      </c>
      <c r="G28" s="33">
        <f t="shared" si="8"/>
        <v>2689</v>
      </c>
      <c r="H28" s="32" t="str">
        <f>IF(E28&lt;2250,"Yes","No")</f>
        <v>Yes</v>
      </c>
      <c r="I28" s="34" t="str">
        <f>IF(G28&gt;3500,"Yes","No")</f>
        <v>No</v>
      </c>
      <c r="J28" s="50" t="s">
        <v>33</v>
      </c>
    </row>
    <row r="29" spans="1:13" ht="26.25" hidden="1" customHeight="1" x14ac:dyDescent="0.2">
      <c r="A29" s="119"/>
      <c r="B29" s="64" t="s">
        <v>37</v>
      </c>
      <c r="C29" s="9" t="s">
        <v>17</v>
      </c>
      <c r="D29" s="17" t="s">
        <v>21</v>
      </c>
      <c r="E29" s="25">
        <f>1*1751+1*469</f>
        <v>2220</v>
      </c>
      <c r="F29" s="25">
        <f t="shared" si="8"/>
        <v>2689</v>
      </c>
      <c r="G29" s="25">
        <f t="shared" si="8"/>
        <v>2689</v>
      </c>
      <c r="H29" s="17" t="str">
        <f t="shared" ref="H29:H37" si="9">IF(E29&lt;2250,"Yes","No")</f>
        <v>Yes</v>
      </c>
      <c r="I29" s="23" t="str">
        <f t="shared" ref="I29:I30" si="10">IF(G29&gt;3500,"Yes","No")</f>
        <v>No</v>
      </c>
      <c r="J29" s="51" t="s">
        <v>33</v>
      </c>
    </row>
    <row r="30" spans="1:13" ht="26.25" hidden="1" customHeight="1" thickBot="1" x14ac:dyDescent="0.25">
      <c r="A30" s="35" t="s">
        <v>29</v>
      </c>
      <c r="B30" s="64" t="s">
        <v>37</v>
      </c>
      <c r="C30" s="9" t="s">
        <v>17</v>
      </c>
      <c r="D30" s="17" t="s">
        <v>22</v>
      </c>
      <c r="E30" s="25">
        <f t="shared" ref="E30:E35" si="11">1*1751+1*469</f>
        <v>2220</v>
      </c>
      <c r="F30" s="25">
        <f t="shared" si="8"/>
        <v>2689</v>
      </c>
      <c r="G30" s="25">
        <f t="shared" si="8"/>
        <v>2689</v>
      </c>
      <c r="H30" s="17" t="str">
        <f t="shared" si="9"/>
        <v>Yes</v>
      </c>
      <c r="I30" s="23" t="str">
        <f t="shared" si="10"/>
        <v>No</v>
      </c>
      <c r="J30" s="51" t="s">
        <v>33</v>
      </c>
    </row>
    <row r="31" spans="1:13" ht="29.25" customHeight="1" x14ac:dyDescent="0.2">
      <c r="A31" s="118" t="s">
        <v>49</v>
      </c>
      <c r="B31" s="9">
        <v>6</v>
      </c>
      <c r="C31" s="9" t="s">
        <v>80</v>
      </c>
      <c r="D31" s="17" t="s">
        <v>56</v>
      </c>
      <c r="E31" s="25">
        <f>1*1751+0*469</f>
        <v>1751</v>
      </c>
      <c r="F31" s="25">
        <f>2*1751+0*469</f>
        <v>3502</v>
      </c>
      <c r="G31" s="25">
        <f>2*1751+0*469</f>
        <v>3502</v>
      </c>
      <c r="H31" s="17" t="str">
        <f t="shared" ref="H31" si="12">IF(E31&lt;2250,"Yes","No")</f>
        <v>Yes</v>
      </c>
      <c r="I31" s="17" t="str">
        <f>IF(G31&gt;3462,"Yes","No")</f>
        <v>Yes</v>
      </c>
      <c r="J31" s="36" t="s">
        <v>2</v>
      </c>
    </row>
    <row r="32" spans="1:13" ht="32.25" customHeight="1" thickBot="1" x14ac:dyDescent="0.25">
      <c r="A32" s="119"/>
      <c r="B32" s="9">
        <v>7</v>
      </c>
      <c r="C32" s="9" t="s">
        <v>80</v>
      </c>
      <c r="D32" s="17" t="s">
        <v>59</v>
      </c>
      <c r="E32" s="25">
        <f>1*1751+0*469</f>
        <v>1751</v>
      </c>
      <c r="F32" s="25">
        <f>1*1751+0*469</f>
        <v>1751</v>
      </c>
      <c r="G32" s="25">
        <f>2*1751+0*469</f>
        <v>3502</v>
      </c>
      <c r="H32" s="17" t="str">
        <f t="shared" ref="H32" si="13">IF(E32&lt;2250,"Yes","No")</f>
        <v>Yes</v>
      </c>
      <c r="I32" s="17" t="str">
        <f t="shared" ref="I32:I48" si="14">IF(G32&gt;3462,"Yes","No")</f>
        <v>Yes</v>
      </c>
      <c r="J32" s="36" t="s">
        <v>2</v>
      </c>
    </row>
    <row r="33" spans="1:10" ht="24.75" hidden="1" customHeight="1" x14ac:dyDescent="0.2">
      <c r="A33" s="35" t="s">
        <v>29</v>
      </c>
      <c r="B33" s="64" t="s">
        <v>37</v>
      </c>
      <c r="C33" s="17" t="s">
        <v>48</v>
      </c>
      <c r="D33" s="9" t="s">
        <v>17</v>
      </c>
      <c r="E33" s="25">
        <f>1*1751+1*469</f>
        <v>2220</v>
      </c>
      <c r="F33" s="25">
        <f t="shared" ref="F33:G35" si="15">1*1751+2*469</f>
        <v>2689</v>
      </c>
      <c r="G33" s="25">
        <f t="shared" si="15"/>
        <v>2689</v>
      </c>
      <c r="H33" s="17" t="str">
        <f>IF(E33&lt;2250,"Yes","No")</f>
        <v>Yes</v>
      </c>
      <c r="I33" s="17" t="str">
        <f t="shared" si="14"/>
        <v>No</v>
      </c>
      <c r="J33" s="51" t="s">
        <v>33</v>
      </c>
    </row>
    <row r="34" spans="1:10" ht="26.25" hidden="1" customHeight="1" x14ac:dyDescent="0.2">
      <c r="A34" s="35" t="s">
        <v>29</v>
      </c>
      <c r="B34" s="64" t="s">
        <v>37</v>
      </c>
      <c r="C34" s="17" t="s">
        <v>21</v>
      </c>
      <c r="D34" s="9" t="s">
        <v>17</v>
      </c>
      <c r="E34" s="25">
        <f t="shared" si="11"/>
        <v>2220</v>
      </c>
      <c r="F34" s="25">
        <f t="shared" si="15"/>
        <v>2689</v>
      </c>
      <c r="G34" s="25">
        <f t="shared" si="15"/>
        <v>2689</v>
      </c>
      <c r="H34" s="17" t="str">
        <f t="shared" ref="H34:H36" si="16">IF(E34&lt;2250,"Yes","No")</f>
        <v>Yes</v>
      </c>
      <c r="I34" s="17" t="str">
        <f t="shared" si="14"/>
        <v>No</v>
      </c>
      <c r="J34" s="51" t="s">
        <v>33</v>
      </c>
    </row>
    <row r="35" spans="1:10" ht="27.75" hidden="1" customHeight="1" thickBot="1" x14ac:dyDescent="0.25">
      <c r="A35" s="35" t="s">
        <v>29</v>
      </c>
      <c r="B35" s="77" t="s">
        <v>37</v>
      </c>
      <c r="C35" s="91" t="s">
        <v>22</v>
      </c>
      <c r="D35" s="79" t="s">
        <v>17</v>
      </c>
      <c r="E35" s="80">
        <f t="shared" si="11"/>
        <v>2220</v>
      </c>
      <c r="F35" s="80">
        <f t="shared" si="15"/>
        <v>2689</v>
      </c>
      <c r="G35" s="80">
        <f t="shared" si="15"/>
        <v>2689</v>
      </c>
      <c r="H35" s="78" t="str">
        <f t="shared" si="16"/>
        <v>Yes</v>
      </c>
      <c r="I35" s="17" t="str">
        <f t="shared" si="14"/>
        <v>No</v>
      </c>
      <c r="J35" s="81" t="s">
        <v>33</v>
      </c>
    </row>
    <row r="36" spans="1:10" ht="30" customHeight="1" x14ac:dyDescent="0.2">
      <c r="A36" s="122" t="s">
        <v>50</v>
      </c>
      <c r="B36" s="38">
        <v>8</v>
      </c>
      <c r="C36" s="83" t="s">
        <v>81</v>
      </c>
      <c r="D36" s="38" t="s">
        <v>57</v>
      </c>
      <c r="E36" s="84">
        <f>1*1751+0*469</f>
        <v>1751</v>
      </c>
      <c r="F36" s="84">
        <f>2*1751+0*469</f>
        <v>3502</v>
      </c>
      <c r="G36" s="84">
        <f>2*1751+0*469</f>
        <v>3502</v>
      </c>
      <c r="H36" s="83" t="str">
        <f t="shared" si="16"/>
        <v>Yes</v>
      </c>
      <c r="I36" s="18" t="str">
        <f t="shared" si="14"/>
        <v>Yes</v>
      </c>
      <c r="J36" s="85" t="s">
        <v>2</v>
      </c>
    </row>
    <row r="37" spans="1:10" ht="29.25" customHeight="1" x14ac:dyDescent="0.2">
      <c r="A37" s="123"/>
      <c r="B37" s="10">
        <v>9</v>
      </c>
      <c r="C37" s="10" t="s">
        <v>81</v>
      </c>
      <c r="D37" s="3" t="s">
        <v>58</v>
      </c>
      <c r="E37" s="24">
        <f>1*1751+0*469</f>
        <v>1751</v>
      </c>
      <c r="F37" s="24">
        <f>2*1751+0*469</f>
        <v>3502</v>
      </c>
      <c r="G37" s="24">
        <f>2*1751+0*469</f>
        <v>3502</v>
      </c>
      <c r="H37" s="3" t="str">
        <f t="shared" si="9"/>
        <v>Yes</v>
      </c>
      <c r="I37" s="18" t="str">
        <f t="shared" si="14"/>
        <v>Yes</v>
      </c>
      <c r="J37" s="41" t="s">
        <v>2</v>
      </c>
    </row>
    <row r="38" spans="1:10" ht="30.75" customHeight="1" x14ac:dyDescent="0.2">
      <c r="A38" s="88" t="s">
        <v>30</v>
      </c>
      <c r="B38" s="10">
        <v>10</v>
      </c>
      <c r="C38" s="10" t="s">
        <v>81</v>
      </c>
      <c r="D38" s="3" t="s">
        <v>59</v>
      </c>
      <c r="E38" s="24">
        <f>0*1751+0*469</f>
        <v>0</v>
      </c>
      <c r="F38" s="24">
        <f>1*1751+0*469</f>
        <v>1751</v>
      </c>
      <c r="G38" s="24">
        <f>2*1751+0*469</f>
        <v>3502</v>
      </c>
      <c r="H38" s="3" t="str">
        <f t="shared" ref="H38" si="17">IF(E38&lt;2250,"Yes","No")</f>
        <v>Yes</v>
      </c>
      <c r="I38" s="18" t="str">
        <f t="shared" si="14"/>
        <v>Yes</v>
      </c>
      <c r="J38" s="41" t="s">
        <v>2</v>
      </c>
    </row>
    <row r="39" spans="1:10" ht="26.25" customHeight="1" thickBot="1" x14ac:dyDescent="0.25">
      <c r="A39" s="86" t="s">
        <v>29</v>
      </c>
      <c r="B39" s="10">
        <v>11</v>
      </c>
      <c r="C39" s="3" t="s">
        <v>82</v>
      </c>
      <c r="D39" s="3" t="s">
        <v>56</v>
      </c>
      <c r="E39" s="24">
        <f>1*1751+0*469</f>
        <v>1751</v>
      </c>
      <c r="F39" s="24">
        <f>2*1751+0*469</f>
        <v>3502</v>
      </c>
      <c r="G39" s="24">
        <f>2*1751+0*469</f>
        <v>3502</v>
      </c>
      <c r="H39" s="3" t="str">
        <f t="shared" ref="H39" si="18">IF(E39&lt;2250,"Yes","No")</f>
        <v>Yes</v>
      </c>
      <c r="I39" s="18" t="str">
        <f t="shared" si="14"/>
        <v>Yes</v>
      </c>
      <c r="J39" s="41" t="s">
        <v>2</v>
      </c>
    </row>
    <row r="40" spans="1:10" ht="26.25" hidden="1" customHeight="1" x14ac:dyDescent="0.2">
      <c r="A40" s="86" t="s">
        <v>29</v>
      </c>
      <c r="B40" s="66" t="s">
        <v>37</v>
      </c>
      <c r="C40" s="92" t="s">
        <v>16</v>
      </c>
      <c r="D40" s="3" t="s">
        <v>23</v>
      </c>
      <c r="E40" s="24">
        <f>0*1751+3*469</f>
        <v>1407</v>
      </c>
      <c r="F40" s="24">
        <f>1*1751+3*469</f>
        <v>3158</v>
      </c>
      <c r="G40" s="24">
        <f>1*1751+3*469</f>
        <v>3158</v>
      </c>
      <c r="H40" s="3" t="str">
        <f t="shared" ref="H40" si="19">IF(E40&lt;2250,"Yes","No")</f>
        <v>Yes</v>
      </c>
      <c r="I40" s="17" t="str">
        <f t="shared" si="14"/>
        <v>No</v>
      </c>
      <c r="J40" s="52" t="s">
        <v>32</v>
      </c>
    </row>
    <row r="41" spans="1:10" ht="26.25" hidden="1" customHeight="1" thickBot="1" x14ac:dyDescent="0.25">
      <c r="A41" s="87" t="s">
        <v>29</v>
      </c>
      <c r="B41" s="67" t="s">
        <v>37</v>
      </c>
      <c r="C41" s="93" t="s">
        <v>23</v>
      </c>
      <c r="D41" s="42" t="s">
        <v>16</v>
      </c>
      <c r="E41" s="44">
        <f>0*1751+3*469</f>
        <v>1407</v>
      </c>
      <c r="F41" s="44">
        <f>1*1751+3*469</f>
        <v>3158</v>
      </c>
      <c r="G41" s="44">
        <f>1*1751+3*469</f>
        <v>3158</v>
      </c>
      <c r="H41" s="43" t="str">
        <f t="shared" ref="H41" si="20">IF(E41&lt;2250,"Yes","No")</f>
        <v>Yes</v>
      </c>
      <c r="I41" s="17" t="str">
        <f t="shared" si="14"/>
        <v>No</v>
      </c>
      <c r="J41" s="53" t="s">
        <v>32</v>
      </c>
    </row>
    <row r="42" spans="1:10" ht="45" customHeight="1" thickBot="1" x14ac:dyDescent="0.25">
      <c r="A42" s="95" t="s">
        <v>51</v>
      </c>
      <c r="B42" s="27">
        <v>12</v>
      </c>
      <c r="C42" s="27" t="s">
        <v>82</v>
      </c>
      <c r="D42" s="21" t="s">
        <v>59</v>
      </c>
      <c r="E42" s="37">
        <f>1*1751+0*469</f>
        <v>1751</v>
      </c>
      <c r="F42" s="37">
        <f>1*1751+0*469</f>
        <v>1751</v>
      </c>
      <c r="G42" s="37">
        <f>2*1751+0*469</f>
        <v>3502</v>
      </c>
      <c r="H42" s="21" t="str">
        <f t="shared" ref="H42" si="21">IF(E42&lt;2250,"Yes","No")</f>
        <v>Yes</v>
      </c>
      <c r="I42" s="20" t="str">
        <f t="shared" si="14"/>
        <v>Yes</v>
      </c>
      <c r="J42" s="82" t="s">
        <v>2</v>
      </c>
    </row>
    <row r="43" spans="1:10" ht="26.25" hidden="1" customHeight="1" x14ac:dyDescent="0.2">
      <c r="A43" s="94"/>
      <c r="B43" s="68" t="s">
        <v>37</v>
      </c>
      <c r="C43" s="19" t="s">
        <v>18</v>
      </c>
      <c r="D43" s="20" t="s">
        <v>44</v>
      </c>
      <c r="E43" s="26">
        <f>1*1751+1*469</f>
        <v>2220</v>
      </c>
      <c r="F43" s="26">
        <f t="shared" ref="F43:G46" si="22">1*1751+2*469</f>
        <v>2689</v>
      </c>
      <c r="G43" s="26">
        <f t="shared" si="22"/>
        <v>2689</v>
      </c>
      <c r="H43" s="20" t="str">
        <f>IF(E43&lt;2250,"Yes","No")</f>
        <v>Yes</v>
      </c>
      <c r="I43" s="17" t="str">
        <f t="shared" si="14"/>
        <v>No</v>
      </c>
      <c r="J43" s="54" t="s">
        <v>33</v>
      </c>
    </row>
    <row r="44" spans="1:10" ht="26.25" hidden="1" customHeight="1" x14ac:dyDescent="0.2">
      <c r="A44" s="45" t="s">
        <v>30</v>
      </c>
      <c r="B44" s="68" t="s">
        <v>37</v>
      </c>
      <c r="C44" s="19" t="s">
        <v>18</v>
      </c>
      <c r="D44" s="20" t="s">
        <v>21</v>
      </c>
      <c r="E44" s="26">
        <f>1*1751+1*469</f>
        <v>2220</v>
      </c>
      <c r="F44" s="26">
        <f t="shared" si="22"/>
        <v>2689</v>
      </c>
      <c r="G44" s="26">
        <f t="shared" si="22"/>
        <v>2689</v>
      </c>
      <c r="H44" s="20" t="str">
        <f t="shared" ref="H44" si="23">IF(E44&lt;2250,"Yes","No")</f>
        <v>Yes</v>
      </c>
      <c r="I44" s="17" t="str">
        <f t="shared" si="14"/>
        <v>No</v>
      </c>
      <c r="J44" s="54" t="s">
        <v>33</v>
      </c>
    </row>
    <row r="45" spans="1:10" ht="26.25" hidden="1" customHeight="1" x14ac:dyDescent="0.2">
      <c r="A45" s="45" t="s">
        <v>29</v>
      </c>
      <c r="B45" s="68" t="s">
        <v>37</v>
      </c>
      <c r="C45" s="20" t="s">
        <v>44</v>
      </c>
      <c r="D45" s="19" t="s">
        <v>18</v>
      </c>
      <c r="E45" s="26">
        <f>1*1751+1*469</f>
        <v>2220</v>
      </c>
      <c r="F45" s="26">
        <f t="shared" si="22"/>
        <v>2689</v>
      </c>
      <c r="G45" s="26">
        <f t="shared" si="22"/>
        <v>2689</v>
      </c>
      <c r="H45" s="20" t="str">
        <f>IF(E45&lt;2250,"Yes","No")</f>
        <v>Yes</v>
      </c>
      <c r="I45" s="17" t="str">
        <f t="shared" si="14"/>
        <v>No</v>
      </c>
      <c r="J45" s="54" t="s">
        <v>33</v>
      </c>
    </row>
    <row r="46" spans="1:10" ht="26.25" hidden="1" customHeight="1" thickBot="1" x14ac:dyDescent="0.25">
      <c r="A46" s="46" t="s">
        <v>29</v>
      </c>
      <c r="B46" s="69" t="s">
        <v>37</v>
      </c>
      <c r="C46" s="48" t="s">
        <v>21</v>
      </c>
      <c r="D46" s="47" t="s">
        <v>18</v>
      </c>
      <c r="E46" s="49">
        <f>1*1751+1*469</f>
        <v>2220</v>
      </c>
      <c r="F46" s="49">
        <f t="shared" si="22"/>
        <v>2689</v>
      </c>
      <c r="G46" s="49">
        <f t="shared" si="22"/>
        <v>2689</v>
      </c>
      <c r="H46" s="48" t="str">
        <f t="shared" ref="H46" si="24">IF(E46&lt;2250,"Yes","No")</f>
        <v>Yes</v>
      </c>
      <c r="I46" s="17" t="str">
        <f t="shared" si="14"/>
        <v>No</v>
      </c>
      <c r="J46" s="55" t="s">
        <v>33</v>
      </c>
    </row>
    <row r="47" spans="1:10" ht="91.5" customHeight="1" thickBot="1" x14ac:dyDescent="0.25">
      <c r="A47" s="89" t="s">
        <v>53</v>
      </c>
      <c r="B47" s="72">
        <v>13</v>
      </c>
      <c r="C47" s="43" t="s">
        <v>68</v>
      </c>
      <c r="D47" s="73" t="s">
        <v>59</v>
      </c>
      <c r="E47" s="74">
        <f>0*1751+1*469</f>
        <v>469</v>
      </c>
      <c r="F47" s="74">
        <f>0*1751+2*469+(1751-884)</f>
        <v>1805</v>
      </c>
      <c r="G47" s="74">
        <f>1*1751+2*469+(1751-884)</f>
        <v>3556</v>
      </c>
      <c r="H47" s="75" t="str">
        <f t="shared" ref="H47:H48" si="25">IF(E47&lt;2250,"Yes","No")</f>
        <v>Yes</v>
      </c>
      <c r="I47" s="115" t="str">
        <f t="shared" si="14"/>
        <v>Yes</v>
      </c>
      <c r="J47" s="90" t="s">
        <v>87</v>
      </c>
    </row>
    <row r="48" spans="1:10" ht="64.5" thickBot="1" x14ac:dyDescent="0.25">
      <c r="A48" s="89" t="s">
        <v>29</v>
      </c>
      <c r="B48" s="72">
        <v>14</v>
      </c>
      <c r="C48" s="43" t="s">
        <v>88</v>
      </c>
      <c r="D48" s="73" t="s">
        <v>69</v>
      </c>
      <c r="E48" s="44">
        <f>0*1751+1*469</f>
        <v>469</v>
      </c>
      <c r="F48" s="44">
        <f>0*1751+2*469+(1200-884)</f>
        <v>1254</v>
      </c>
      <c r="G48" s="44">
        <f>1*1751+3*469 + (1200-884)</f>
        <v>3474</v>
      </c>
      <c r="H48" s="113" t="str">
        <f t="shared" si="25"/>
        <v>Yes</v>
      </c>
      <c r="I48" s="116" t="str">
        <f t="shared" si="14"/>
        <v>Yes</v>
      </c>
      <c r="J48" s="114" t="s">
        <v>86</v>
      </c>
    </row>
    <row r="49" spans="3:10" x14ac:dyDescent="0.2">
      <c r="C49" s="62"/>
    </row>
    <row r="50" spans="3:10" hidden="1" x14ac:dyDescent="0.2">
      <c r="C50" s="56" t="s">
        <v>34</v>
      </c>
      <c r="D50" s="12"/>
      <c r="E50" s="12"/>
      <c r="F50" s="12"/>
      <c r="G50" s="12"/>
      <c r="H50" s="12"/>
      <c r="I50" s="12"/>
      <c r="J50" s="12"/>
    </row>
  </sheetData>
  <mergeCells count="4">
    <mergeCell ref="A28:A29"/>
    <mergeCell ref="A14:A15"/>
    <mergeCell ref="A36:A37"/>
    <mergeCell ref="A31:A32"/>
  </mergeCells>
  <printOptions horizontalCentered="1"/>
  <pageMargins left="0.2" right="0.2" top="0.25" bottom="0.2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35B90E51-9B79-47F4-809C-5807F4E3710C}"/>
</file>

<file path=customXml/itemProps2.xml><?xml version="1.0" encoding="utf-8"?>
<ds:datastoreItem xmlns:ds="http://schemas.openxmlformats.org/officeDocument/2006/customXml" ds:itemID="{E83A174D-FB21-4244-A763-C3C4391CEF19}"/>
</file>

<file path=customXml/itemProps3.xml><?xml version="1.0" encoding="utf-8"?>
<ds:datastoreItem xmlns:ds="http://schemas.openxmlformats.org/officeDocument/2006/customXml" ds:itemID="{A38868F1-0F2F-44D2-A478-EE462B7FA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 Options</vt:lpstr>
      <vt:lpstr>Resource Plans</vt:lpstr>
      <vt:lpstr>'Gen Options'!Print_Area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2017-11-17T18:00:38Z</dcterms:created>
  <dcterms:modified xsi:type="dcterms:W3CDTF">2017-11-17T18:00:48Z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