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Default Extension="jpeg" ContentType="image/jpeg"/>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3.xml" ContentType="application/vnd.openxmlformats-officedocument.drawing+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4.xml" ContentType="application/vnd.openxmlformats-officedocument.drawing+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drawings/drawing5.xml" ContentType="application/vnd.openxmlformats-officedocument.drawing+xml"/>
  <Override PartName="/xl/worksheets/sheet52.xml" ContentType="application/vnd.openxmlformats-officedocument.spreadsheetml.worksheet+xml"/>
  <Override PartName="/xl/drawings/drawing6.xml" ContentType="application/vnd.openxmlformats-officedocument.drawing+xml"/>
  <Override PartName="/xl/worksheets/sheet53.xml" ContentType="application/vnd.openxmlformats-officedocument.spreadsheetml.worksheet+xml"/>
  <Override PartName="/xl/drawings/drawing7.xml" ContentType="application/vnd.openxmlformats-officedocument.drawing+xml"/>
  <Override PartName="/xl/worksheets/sheet54.xml" ContentType="application/vnd.openxmlformats-officedocument.spreadsheetml.worksheet+xml"/>
  <Override PartName="/xl/drawings/drawing8.xml" ContentType="application/vnd.openxmlformats-officedocument.drawing+xml"/>
  <Override PartName="/xl/worksheets/sheet55.xml" ContentType="application/vnd.openxmlformats-officedocument.spreadsheetml.worksheet+xml"/>
  <Override PartName="/xl/drawings/drawing9.xml" ContentType="application/vnd.openxmlformats-officedocument.drawing+xml"/>
  <Override PartName="/xl/worksheets/sheet56.xml" ContentType="application/vnd.openxmlformats-officedocument.spreadsheetml.worksheet+xml"/>
  <Override PartName="/xl/drawings/drawing10.xml" ContentType="application/vnd.openxmlformats-officedocument.drawing+xml"/>
  <Override PartName="/xl/worksheets/sheet57.xml" ContentType="application/vnd.openxmlformats-officedocument.spreadsheetml.worksheet+xml"/>
  <Override PartName="/xl/drawings/drawing11.xml" ContentType="application/vnd.openxmlformats-officedocument.drawing+xml"/>
  <Override PartName="/xl/worksheets/sheet58.xml" ContentType="application/vnd.openxmlformats-officedocument.spreadsheetml.worksheet+xml"/>
  <Override PartName="/xl/drawings/drawing12.xml" ContentType="application/vnd.openxmlformats-officedocument.drawing+xml"/>
  <Override PartName="/xl/worksheets/sheet59.xml" ContentType="application/vnd.openxmlformats-officedocument.spreadsheetml.worksheet+xml"/>
  <Override PartName="/xl/drawings/drawing13.xml" ContentType="application/vnd.openxmlformats-officedocument.drawing+xml"/>
  <Override PartName="/xl/worksheets/sheet60.xml" ContentType="application/vnd.openxmlformats-officedocument.spreadsheetml.worksheet+xml"/>
  <Override PartName="/xl/drawings/drawing14.xml" ContentType="application/vnd.openxmlformats-officedocument.drawing+xml"/>
  <Override PartName="/xl/worksheets/sheet61.xml" ContentType="application/vnd.openxmlformats-officedocument.spreadsheetml.worksheet+xml"/>
  <Override PartName="/xl/worksheets/sheet62.xml" ContentType="application/vnd.openxmlformats-officedocument.spreadsheetml.worksheet+xml"/>
  <Override PartName="/xl/drawings/drawing15.xml" ContentType="application/vnd.openxmlformats-officedocument.drawing+xml"/>
  <Override PartName="/xl/worksheets/sheet63.xml" ContentType="application/vnd.openxmlformats-officedocument.spreadsheetml.worksheet+xml"/>
  <Override PartName="/xl/drawings/drawing16.xml" ContentType="application/vnd.openxmlformats-officedocument.drawing+xml"/>
  <Override PartName="/xl/worksheets/sheet64.xml" ContentType="application/vnd.openxmlformats-officedocument.spreadsheetml.worksheet+xml"/>
  <Override PartName="/xl/drawings/drawing17.xml" ContentType="application/vnd.openxmlformats-officedocument.drawing+xml"/>
  <Override PartName="/xl/worksheets/sheet65.xml" ContentType="application/vnd.openxmlformats-officedocument.spreadsheetml.worksheet+xml"/>
  <Override PartName="/xl/drawings/drawing18.xml" ContentType="application/vnd.openxmlformats-officedocument.drawing+xml"/>
  <Override PartName="/xl/worksheets/sheet66.xml" ContentType="application/vnd.openxmlformats-officedocument.spreadsheetml.worksheet+xml"/>
  <Override PartName="/xl/drawings/drawing19.xml" ContentType="application/vnd.openxmlformats-officedocument.drawing+xml"/>
  <Override PartName="/xl/worksheets/sheet67.xml" ContentType="application/vnd.openxmlformats-officedocument.spreadsheetml.worksheet+xml"/>
  <Override PartName="/xl/drawings/drawing20.xml" ContentType="application/vnd.openxmlformats-officedocument.drawing+xml"/>
  <Override PartName="/xl/worksheets/sheet68.xml" ContentType="application/vnd.openxmlformats-officedocument.spreadsheetml.worksheet+xml"/>
  <Override PartName="/xl/drawings/drawing21.xml" ContentType="application/vnd.openxmlformats-officedocument.drawing+xml"/>
  <Override PartName="/xl/worksheets/sheet69.xml" ContentType="application/vnd.openxmlformats-officedocument.spreadsheetml.worksheet+xml"/>
  <Override PartName="/xl/drawings/drawing22.xml" ContentType="application/vnd.openxmlformats-officedocument.drawing+xml"/>
  <Override PartName="/xl/worksheets/sheet70.xml" ContentType="application/vnd.openxmlformats-officedocument.spreadsheetml.worksheet+xml"/>
  <Override PartName="/xl/drawings/drawing23.xml" ContentType="application/vnd.openxmlformats-officedocument.drawing+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drawings/drawing2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sharedStrings.xml" ContentType="application/vnd.openxmlformats-officedocument.spreadsheetml.sharedStrings+xml"/>
  <Override PartName="/docProps/core.xml" ContentType="application/vnd.openxmlformats-package.core-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harts/colors17.xml" ContentType="application/vnd.openxmlformats-officedocument.drawingml.chart+xml"/>
  <Override PartName="/xl/charts/style16.xml" ContentType="application/vnd.openxmlformats-officedocument.drawingml.chart+xml"/>
  <Override PartName="/xl/charts/style1.xml" ContentType="application/vnd.openxmlformats-officedocument.drawingml.chart+xml"/>
  <Override PartName="/xl/charts/colors27.xml" ContentType="application/vnd.openxmlformats-officedocument.drawingml.chart+xml"/>
  <Override PartName="/xl/charts/style26.xml" ContentType="application/vnd.openxmlformats-officedocument.drawingml.chart+xml"/>
  <Override PartName="/xl/charts/colors26.xml" ContentType="application/vnd.openxmlformats-officedocument.drawingml.chart+xml"/>
  <Override PartName="/xl/charts/style25.xml" ContentType="application/vnd.openxmlformats-officedocument.drawingml.chart+xml"/>
  <Override PartName="/xl/charts/colors25.xml" ContentType="application/vnd.openxmlformats-officedocument.drawingml.chart+xml"/>
  <Override PartName="/xl/charts/style27.xml" ContentType="application/vnd.openxmlformats-officedocument.drawingml.chart+xml"/>
  <Override PartName="/xl/charts/colors28.xml" ContentType="application/vnd.openxmlformats-officedocument.drawingml.chart+xml"/>
  <Override PartName="/xl/charts/style28.xml" ContentType="application/vnd.openxmlformats-officedocument.drawingml.chart+xml"/>
  <Override PartName="/xl/charts/style30.xml" ContentType="application/vnd.openxmlformats-officedocument.drawingml.chart+xml"/>
  <Override PartName="/xl/charts/colors30.xml" ContentType="application/vnd.openxmlformats-officedocument.drawingml.chart+xml"/>
  <Override PartName="/xl/charts/style29.xml" ContentType="application/vnd.openxmlformats-officedocument.drawingml.chart+xml"/>
  <Override PartName="/xl/charts/colors29.xml" ContentType="application/vnd.openxmlformats-officedocument.drawingml.chart+xml"/>
  <Override PartName="/xl/charts/style24.xml" ContentType="application/vnd.openxmlformats-officedocument.drawingml.chart+xml"/>
  <Override PartName="/xl/charts/colors24.xml" ContentType="application/vnd.openxmlformats-officedocument.drawingml.chart+xml"/>
  <Override PartName="/xl/charts/style23.xml" ContentType="application/vnd.openxmlformats-officedocument.drawingml.chart+xml"/>
  <Override PartName="/xl/charts/style19.xml" ContentType="application/vnd.openxmlformats-officedocument.drawingml.chart+xml"/>
  <Override PartName="/xl/charts/colors19.xml" ContentType="application/vnd.openxmlformats-officedocument.drawingml.chart+xml"/>
  <Override PartName="/xl/charts/style18.xml" ContentType="application/vnd.openxmlformats-officedocument.drawingml.chart+xml"/>
  <Override PartName="/xl/charts/colors18.xml" ContentType="application/vnd.openxmlformats-officedocument.drawingml.chart+xml"/>
  <Override PartName="/xl/charts/style17.xml" ContentType="application/vnd.openxmlformats-officedocument.drawingml.chart+xml"/>
  <Override PartName="/xl/charts/colors20.xml" ContentType="application/vnd.openxmlformats-officedocument.drawingml.chart+xml"/>
  <Override PartName="/xl/charts/style20.xml" ContentType="application/vnd.openxmlformats-officedocument.drawingml.chart+xml"/>
  <Override PartName="/xl/charts/colors21.xml" ContentType="application/vnd.openxmlformats-officedocument.drawingml.chart+xml"/>
  <Override PartName="/xl/charts/colors23.xml" ContentType="application/vnd.openxmlformats-officedocument.drawingml.chart+xml"/>
  <Override PartName="/xl/charts/style22.xml" ContentType="application/vnd.openxmlformats-officedocument.drawingml.chart+xml"/>
  <Override PartName="/xl/charts/colors22.xml" ContentType="application/vnd.openxmlformats-officedocument.drawingml.chart+xml"/>
  <Override PartName="/xl/charts/style21.xml" ContentType="application/vnd.openxmlformats-officedocument.drawingml.chart+xml"/>
  <Override PartName="/xl/charts/colors16.xml" ContentType="application/vnd.openxmlformats-officedocument.drawingml.chart+xml"/>
  <Override PartName="/xl/charts/style15.xml" ContentType="application/vnd.openxmlformats-officedocument.drawingml.chart+xml"/>
  <Override PartName="/xl/charts/colors15.xml" ContentType="application/vnd.openxmlformats-officedocument.drawingml.chart+xml"/>
  <Override PartName="/xl/charts/style5.xml" ContentType="application/vnd.openxmlformats-officedocument.drawingml.chart+xml"/>
  <Override PartName="/xl/charts/colors6.xml" ContentType="application/vnd.openxmlformats-officedocument.drawingml.chart+xml"/>
  <Override PartName="/xl/charts/style6.xml" ContentType="application/vnd.openxmlformats-officedocument.drawingml.chart+xml"/>
  <Override PartName="/xl/charts/colors7.xml" ContentType="application/vnd.openxmlformats-officedocument.drawingml.chart+xml"/>
  <Override PartName="/xl/charts/style7.xml" ContentType="application/vnd.openxmlformats-officedocument.drawingml.chart+xml"/>
  <Override PartName="/xl/charts/colors5.xml" ContentType="application/vnd.openxmlformats-officedocument.drawingml.chart+xml"/>
  <Override PartName="/xl/charts/style4.xml" ContentType="application/vnd.openxmlformats-officedocument.drawingml.chart+xml"/>
  <Override PartName="/xl/charts/colors4.xml" ContentType="application/vnd.openxmlformats-officedocument.drawingml.chart+xml"/>
  <Override PartName="/xl/charts/colors2.xml" ContentType="application/vnd.openxmlformats-officedocument.drawingml.chart+xml"/>
  <Override PartName="/xl/charts/style2.xml" ContentType="application/vnd.openxmlformats-officedocument.drawingml.chart+xml"/>
  <Override PartName="/xl/charts/colors3.xml" ContentType="application/vnd.openxmlformats-officedocument.drawingml.chart+xml"/>
  <Override PartName="/xl/charts/style3.xml" ContentType="application/vnd.openxmlformats-officedocument.drawingml.chart+xml"/>
  <Override PartName="/xl/charts/colors8.xml" ContentType="application/vnd.openxmlformats-officedocument.drawingml.chart+xml"/>
  <Override PartName="/xl/charts/style8.xml" ContentType="application/vnd.openxmlformats-officedocument.drawingml.chart+xml"/>
  <Override PartName="/xl/charts/colors9.xml" ContentType="application/vnd.openxmlformats-officedocument.drawingml.chart+xml"/>
  <Override PartName="/xl/charts/colors13.xml" ContentType="application/vnd.openxmlformats-officedocument.drawingml.chart+xml"/>
  <Override PartName="/xl/charts/style13.xml" ContentType="application/vnd.openxmlformats-officedocument.drawingml.chart+xml"/>
  <Override PartName="/xl/charts/colors14.xml" ContentType="application/vnd.openxmlformats-officedocument.drawingml.chart+xml"/>
  <Override PartName="/xl/charts/style14.xml" ContentType="application/vnd.openxmlformats-officedocument.drawingml.chart+xml"/>
  <Override PartName="/xl/charts/style12.xml" ContentType="application/vnd.openxmlformats-officedocument.drawingml.chart+xml"/>
  <Override PartName="/xl/charts/colors12.xml" ContentType="application/vnd.openxmlformats-officedocument.drawingml.chart+xml"/>
  <Override PartName="/xl/charts/style11.xml" ContentType="application/vnd.openxmlformats-officedocument.drawingml.chart+xml"/>
  <Override PartName="/xl/charts/style9.xml" ContentType="application/vnd.openxmlformats-officedocument.drawingml.chart+xml"/>
  <Override PartName="/xl/charts/colors10.xml" ContentType="application/vnd.openxmlformats-officedocument.drawingml.chart+xml"/>
  <Override PartName="/xl/charts/style10.xml" ContentType="application/vnd.openxmlformats-officedocument.drawingml.chart+xml"/>
  <Override PartName="/xl/charts/colors11.xml" ContentType="application/vnd.openxmlformats-officedocument.drawingml.chart+xml"/>
  <Override PartName="/xl/charts/colors1.xml" ContentType="application/vnd.openxmlformats-officedocument.drawingml.chart+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filterPrivacy="1"/>
  <bookViews>
    <workbookView xWindow="0" yWindow="0" windowWidth="14928" windowHeight="7188" tabRatio="882" firstSheet="43" activeTab="48"/>
  </bookViews>
  <sheets>
    <sheet name="Instructions" sheetId="48" r:id="rId1"/>
    <sheet name="Save Spend Summary" sheetId="49" r:id="rId2"/>
    <sheet name="Detailed Save Spend Tables" sheetId="51" r:id="rId3"/>
    <sheet name="Measure Impact Source Data" sheetId="76" r:id="rId4"/>
    <sheet name="Portfolio Cost Effectiveness" sheetId="75" r:id="rId5"/>
    <sheet name="Voltage Reduction" sheetId="78" r:id="rId6"/>
    <sheet name="3rd Response" sheetId="80" r:id="rId7"/>
    <sheet name="&gt;&gt;&gt; Program Worksheets &gt;&gt;&gt;" sheetId="44" r:id="rId8"/>
    <sheet name="Summary for Commission" sheetId="79" r:id="rId9"/>
    <sheet name="Seminole 2015" sheetId="73" r:id="rId10"/>
    <sheet name="Talquin 2015" sheetId="34" r:id="rId11"/>
    <sheet name="Tri-County 2015" sheetId="38" r:id="rId12"/>
    <sheet name="Suwannee 2015" sheetId="31" r:id="rId13"/>
    <sheet name="Clay 2015 without Resizing" sheetId="2" r:id="rId14"/>
    <sheet name="Clay 2015 with Resizing" sheetId="55" r:id="rId15"/>
    <sheet name="Central Florida 2015" sheetId="15" r:id="rId16"/>
    <sheet name="Sumter 2015" sheetId="28" r:id="rId17"/>
    <sheet name="Withlacoochee 2015" sheetId="41" r:id="rId18"/>
    <sheet name="Peace River 2015" sheetId="25" r:id="rId19"/>
    <sheet name="Glades 2015" sheetId="20" r:id="rId20"/>
    <sheet name="&gt;&gt;&gt; Input Assumptions &gt;&gt;&gt;" sheetId="60" r:id="rId21"/>
    <sheet name="Seminole Avoided Cost" sheetId="46" r:id="rId22"/>
    <sheet name="T&amp;D Loss Factors" sheetId="70" r:id="rId23"/>
    <sheet name="2015 Annual Sales and Revenue " sheetId="57" r:id="rId24"/>
    <sheet name="Seminole Savings Questionnaire" sheetId="74" r:id="rId25"/>
    <sheet name="System Savings Questionnaire" sheetId="62" r:id="rId26"/>
    <sheet name="&gt;&gt;&gt; Savings Analysis &gt;&gt;&gt;" sheetId="43" r:id="rId27"/>
    <sheet name="Residential PrePay Metering" sheetId="17" r:id="rId28"/>
    <sheet name="Residential Energy Audits" sheetId="36" r:id="rId29"/>
    <sheet name="General Lighting Calculations" sheetId="66" r:id="rId30"/>
    <sheet name="General Lighting Factors" sheetId="67" r:id="rId31"/>
    <sheet name="10W LED Giveaway Savings" sheetId="3" r:id="rId32"/>
    <sheet name="13W CFL Giveaway Savings" sheetId="18" r:id="rId33"/>
    <sheet name="40W Streetlight" sheetId="22" r:id="rId34"/>
    <sheet name="48W Streetlight" sheetId="68" r:id="rId35"/>
    <sheet name="70W Streetlight" sheetId="23" r:id="rId36"/>
    <sheet name="72W Streetlight" sheetId="69" r:id="rId37"/>
    <sheet name="107W Streetlight" sheetId="65" r:id="rId38"/>
    <sheet name="283W Parking Lighting" sheetId="63" r:id="rId39"/>
    <sheet name="316W Streetlight" sheetId="64" r:id="rId40"/>
    <sheet name="Clay Heat Pumps" sheetId="6" r:id="rId41"/>
    <sheet name="EStar EFLH" sheetId="12" r:id="rId42"/>
    <sheet name="Clay Heat Pump Water Heaters" sheetId="4" r:id="rId43"/>
    <sheet name="Clay Solar Water Heaters" sheetId="5" r:id="rId44"/>
    <sheet name="Clay Insulation" sheetId="7" r:id="rId45"/>
    <sheet name="Insulation Demand Review" sheetId="8" r:id="rId46"/>
    <sheet name="Clay Spray Foam Insulation" sheetId="9" r:id="rId47"/>
    <sheet name="Clay Window Film" sheetId="10" r:id="rId48"/>
    <sheet name="Window Film Demand Review" sheetId="11" r:id="rId49"/>
    <sheet name="&gt;&gt;&gt; EIA Forms &gt;&gt;&gt;" sheetId="59" r:id="rId50"/>
    <sheet name="2015 EIA-861 Talquin" sheetId="33" r:id="rId51"/>
    <sheet name="2015 EIA-861 Tri-County" sheetId="37" r:id="rId52"/>
    <sheet name="2015 EIA-861 Suwannee" sheetId="30" r:id="rId53"/>
    <sheet name="2015 EIA-861 Clay No Resizing" sheetId="1" r:id="rId54"/>
    <sheet name="2015 EIA-861 Clay Resizing" sheetId="56" r:id="rId55"/>
    <sheet name="2015 EIA-861 Central Florida" sheetId="14" r:id="rId56"/>
    <sheet name="2015 EIA-861 Sumter" sheetId="27" r:id="rId57"/>
    <sheet name="2015 EIA-861 Withlacoochee" sheetId="40" r:id="rId58"/>
    <sheet name="2015 EIA-861 Peace River" sheetId="24" r:id="rId59"/>
    <sheet name="2015 EIA-861 Glades" sheetId="19" r:id="rId60"/>
    <sheet name="&gt;&gt;&gt; Lifetime Worksheets &gt;&gt;&gt;" sheetId="45" r:id="rId61"/>
    <sheet name="2015 Talquin Life" sheetId="35" r:id="rId62"/>
    <sheet name="2015 Tri-County Life" sheetId="39" r:id="rId63"/>
    <sheet name="2015 Suwannee Life" sheetId="32" r:id="rId64"/>
    <sheet name="2015 Clay Life" sheetId="13" r:id="rId65"/>
    <sheet name="2015 Central Florida Life" sheetId="16" r:id="rId66"/>
    <sheet name="2015 Sumter Life" sheetId="29" r:id="rId67"/>
    <sheet name="2015 Withlacoochee Life" sheetId="42" r:id="rId68"/>
    <sheet name="2015 Peace River Life" sheetId="26" r:id="rId69"/>
    <sheet name="2015 Glades Life" sheetId="21" r:id="rId70"/>
    <sheet name="&gt;&gt;&gt; References &gt;&gt;&gt;" sheetId="72" r:id="rId71"/>
    <sheet name="BEopt Results" sheetId="54" r:id="rId72"/>
    <sheet name="BEopt Demand Results" sheetId="77" r:id="rId73"/>
    <sheet name="BEopt Characteristics" sheetId="53" r:id="rId74"/>
    <sheet name="Avg Member Wholesale Rate" sheetId="58" r:id="rId75"/>
    <sheet name="Service Territory Map" sheetId="61" r:id="rId76"/>
  </sheets>
  <externalReferences>
    <externalReference r:id="rId80"/>
    <externalReference r:id="rId81"/>
    <externalReference r:id="rId82"/>
  </externalReferences>
  <definedNames>
    <definedName name="_xlnm._FilterDatabase" localSheetId="40" hidden="1">'Clay Heat Pumps'!$B$59:$AE$690</definedName>
    <definedName name="_xlnm._FilterDatabase" localSheetId="44" hidden="1">'Clay Insulation'!$B$19:$S$111</definedName>
    <definedName name="_xlnm._FilterDatabase" localSheetId="29" hidden="1">'General Lighting Calculations'!$B$3:$AG$37</definedName>
    <definedName name="AvgLife" localSheetId="37">'[1]Percentages and Costs'!$B$8</definedName>
    <definedName name="AvgLife" localSheetId="31">'[2]Percentages and Costs'!$B$8</definedName>
    <definedName name="AvgLife" localSheetId="38">'[1]Percentages and Costs'!$B$8</definedName>
    <definedName name="AvgLife" localSheetId="39">'[1]Percentages and Costs'!$B$8</definedName>
    <definedName name="AvgLife" localSheetId="33">'[1]Percentages and Costs'!$B$8</definedName>
    <definedName name="AvgLife" localSheetId="34">'[1]Percentages and Costs'!$B$8</definedName>
    <definedName name="AvgLife" localSheetId="35">'[1]Percentages and Costs'!$B$8</definedName>
    <definedName name="AvgLife" localSheetId="36">'[1]Percentages and Costs'!$B$8</definedName>
    <definedName name="AvgLife">'[3]Percentages and Costs'!$B$8</definedName>
    <definedName name="BudgetHigh" localSheetId="37">'[1]Percentages and Costs'!$B$6</definedName>
    <definedName name="BudgetHigh" localSheetId="31">'[2]Percentages and Costs'!$B$6</definedName>
    <definedName name="BudgetHigh" localSheetId="38">'[1]Percentages and Costs'!$B$6</definedName>
    <definedName name="BudgetHigh" localSheetId="39">'[1]Percentages and Costs'!$B$6</definedName>
    <definedName name="BudgetHigh" localSheetId="33">'[1]Percentages and Costs'!$B$6</definedName>
    <definedName name="BudgetHigh" localSheetId="34">'[1]Percentages and Costs'!$B$6</definedName>
    <definedName name="BudgetHigh" localSheetId="35">'[1]Percentages and Costs'!$B$6</definedName>
    <definedName name="BudgetHigh" localSheetId="36">'[1]Percentages and Costs'!$B$6</definedName>
    <definedName name="BudgetHigh">'[3]Percentages and Costs'!$B$6</definedName>
    <definedName name="BudgetLow" localSheetId="37">'[1]Percentages and Costs'!$B$5</definedName>
    <definedName name="BudgetLow" localSheetId="31">'[2]Percentages and Costs'!$B$5</definedName>
    <definedName name="BudgetLow" localSheetId="38">'[1]Percentages and Costs'!$B$5</definedName>
    <definedName name="BudgetLow" localSheetId="39">'[1]Percentages and Costs'!$B$5</definedName>
    <definedName name="BudgetLow" localSheetId="33">'[1]Percentages and Costs'!$B$5</definedName>
    <definedName name="BudgetLow" localSheetId="34">'[1]Percentages and Costs'!$B$5</definedName>
    <definedName name="BudgetLow" localSheetId="35">'[1]Percentages and Costs'!$B$5</definedName>
    <definedName name="BudgetLow" localSheetId="36">'[1]Percentages and Costs'!$B$5</definedName>
    <definedName name="BudgetLow">'[3]Percentages and Costs'!$B$5</definedName>
    <definedName name="COM_Measures" localSheetId="37">#REF!</definedName>
    <definedName name="COM_Measures" localSheetId="31">#REF!</definedName>
    <definedName name="COM_Measures" localSheetId="65">#REF!</definedName>
    <definedName name="COM_Measures" localSheetId="55">#REF!</definedName>
    <definedName name="COM_Measures" localSheetId="53">#REF!</definedName>
    <definedName name="COM_Measures" localSheetId="54">#REF!</definedName>
    <definedName name="COM_Measures" localSheetId="59">#REF!</definedName>
    <definedName name="COM_Measures" localSheetId="58">#REF!</definedName>
    <definedName name="COM_Measures" localSheetId="56">#REF!</definedName>
    <definedName name="COM_Measures" localSheetId="50">#REF!</definedName>
    <definedName name="COM_Measures" localSheetId="51">#REF!</definedName>
    <definedName name="COM_Measures" localSheetId="57">#REF!</definedName>
    <definedName name="COM_Measures" localSheetId="69">#REF!</definedName>
    <definedName name="COM_Measures" localSheetId="68">#REF!</definedName>
    <definedName name="COM_Measures" localSheetId="66">#REF!</definedName>
    <definedName name="COM_Measures" localSheetId="63">#REF!</definedName>
    <definedName name="COM_Measures" localSheetId="61">#REF!</definedName>
    <definedName name="COM_Measures" localSheetId="62">#REF!</definedName>
    <definedName name="COM_Measures" localSheetId="67">#REF!</definedName>
    <definedName name="COM_Measures" localSheetId="38">#REF!</definedName>
    <definedName name="COM_Measures" localSheetId="39">#REF!</definedName>
    <definedName name="COM_Measures" localSheetId="33">#REF!</definedName>
    <definedName name="COM_Measures" localSheetId="34">#REF!</definedName>
    <definedName name="COM_Measures" localSheetId="35">#REF!</definedName>
    <definedName name="COM_Measures" localSheetId="36">#REF!</definedName>
    <definedName name="COM_Measures" localSheetId="15">#REF!</definedName>
    <definedName name="COM_Measures" localSheetId="14">#REF!</definedName>
    <definedName name="COM_Measures" localSheetId="13">#REF!</definedName>
    <definedName name="COM_Measures" localSheetId="19">#REF!</definedName>
    <definedName name="COM_Measures" localSheetId="18">#REF!</definedName>
    <definedName name="COM_Measures" localSheetId="28">#REF!</definedName>
    <definedName name="COM_Measures" localSheetId="27">#REF!</definedName>
    <definedName name="COM_Measures" localSheetId="9">#REF!</definedName>
    <definedName name="COM_Measures" localSheetId="16">#REF!</definedName>
    <definedName name="COM_Measures" localSheetId="12">#REF!</definedName>
    <definedName name="COM_Measures" localSheetId="10">#REF!</definedName>
    <definedName name="COM_Measures" localSheetId="11">#REF!</definedName>
    <definedName name="COM_Measures" localSheetId="48">#REF!</definedName>
    <definedName name="COM_Measures" localSheetId="17">#REF!</definedName>
    <definedName name="DR_Measures" localSheetId="37">#REF!</definedName>
    <definedName name="DR_Measures" localSheetId="31">#REF!</definedName>
    <definedName name="DR_Measures" localSheetId="65">#REF!</definedName>
    <definedName name="DR_Measures" localSheetId="55">#REF!</definedName>
    <definedName name="DR_Measures" localSheetId="53">#REF!</definedName>
    <definedName name="DR_Measures" localSheetId="54">#REF!</definedName>
    <definedName name="DR_Measures" localSheetId="59">#REF!</definedName>
    <definedName name="DR_Measures" localSheetId="58">#REF!</definedName>
    <definedName name="DR_Measures" localSheetId="56">#REF!</definedName>
    <definedName name="DR_Measures" localSheetId="52">#REF!</definedName>
    <definedName name="DR_Measures" localSheetId="50">#REF!</definedName>
    <definedName name="DR_Measures" localSheetId="51">#REF!</definedName>
    <definedName name="DR_Measures" localSheetId="57">#REF!</definedName>
    <definedName name="DR_Measures" localSheetId="69">#REF!</definedName>
    <definedName name="DR_Measures" localSheetId="68">#REF!</definedName>
    <definedName name="DR_Measures" localSheetId="66">#REF!</definedName>
    <definedName name="DR_Measures" localSheetId="63">#REF!</definedName>
    <definedName name="DR_Measures" localSheetId="61">#REF!</definedName>
    <definedName name="DR_Measures" localSheetId="62">#REF!</definedName>
    <definedName name="DR_Measures" localSheetId="67">#REF!</definedName>
    <definedName name="DR_Measures" localSheetId="38">#REF!</definedName>
    <definedName name="DR_Measures" localSheetId="39">#REF!</definedName>
    <definedName name="DR_Measures" localSheetId="33">#REF!</definedName>
    <definedName name="DR_Measures" localSheetId="34">#REF!</definedName>
    <definedName name="DR_Measures" localSheetId="35">#REF!</definedName>
    <definedName name="DR_Measures" localSheetId="36">#REF!</definedName>
    <definedName name="DR_Measures" localSheetId="15">#REF!</definedName>
    <definedName name="DR_Measures" localSheetId="14">#REF!</definedName>
    <definedName name="DR_Measures" localSheetId="13">#REF!</definedName>
    <definedName name="DR_Measures" localSheetId="19">#REF!</definedName>
    <definedName name="DR_Measures" localSheetId="18">#REF!</definedName>
    <definedName name="DR_Measures" localSheetId="28">#REF!</definedName>
    <definedName name="DR_Measures" localSheetId="27">#REF!</definedName>
    <definedName name="DR_Measures" localSheetId="9">#REF!</definedName>
    <definedName name="DR_Measures" localSheetId="16">#REF!</definedName>
    <definedName name="DR_Measures" localSheetId="12">#REF!</definedName>
    <definedName name="DR_Measures" localSheetId="10">#REF!</definedName>
    <definedName name="DR_Measures" localSheetId="11">#REF!</definedName>
    <definedName name="DR_Measures" localSheetId="48">#REF!</definedName>
    <definedName name="DR_Measures" localSheetId="17">#REF!</definedName>
    <definedName name="IND_Measures" localSheetId="37">#REF!</definedName>
    <definedName name="IND_Measures" localSheetId="31">#REF!</definedName>
    <definedName name="IND_Measures" localSheetId="65">#REF!</definedName>
    <definedName name="IND_Measures" localSheetId="55">#REF!</definedName>
    <definedName name="IND_Measures" localSheetId="53">#REF!</definedName>
    <definedName name="IND_Measures" localSheetId="54">#REF!</definedName>
    <definedName name="IND_Measures" localSheetId="59">#REF!</definedName>
    <definedName name="IND_Measures" localSheetId="58">#REF!</definedName>
    <definedName name="IND_Measures" localSheetId="56">#REF!</definedName>
    <definedName name="IND_Measures" localSheetId="52">#REF!</definedName>
    <definedName name="IND_Measures" localSheetId="50">#REF!</definedName>
    <definedName name="IND_Measures" localSheetId="51">#REF!</definedName>
    <definedName name="IND_Measures" localSheetId="57">#REF!</definedName>
    <definedName name="IND_Measures" localSheetId="69">#REF!</definedName>
    <definedName name="IND_Measures" localSheetId="68">#REF!</definedName>
    <definedName name="IND_Measures" localSheetId="66">#REF!</definedName>
    <definedName name="IND_Measures" localSheetId="63">#REF!</definedName>
    <definedName name="IND_Measures" localSheetId="61">#REF!</definedName>
    <definedName name="IND_Measures" localSheetId="62">#REF!</definedName>
    <definedName name="IND_Measures" localSheetId="67">#REF!</definedName>
    <definedName name="IND_Measures" localSheetId="38">#REF!</definedName>
    <definedName name="IND_Measures" localSheetId="39">#REF!</definedName>
    <definedName name="IND_Measures" localSheetId="33">#REF!</definedName>
    <definedName name="IND_Measures" localSheetId="34">#REF!</definedName>
    <definedName name="IND_Measures" localSheetId="35">#REF!</definedName>
    <definedName name="IND_Measures" localSheetId="36">#REF!</definedName>
    <definedName name="IND_Measures" localSheetId="15">#REF!</definedName>
    <definedName name="IND_Measures" localSheetId="14">#REF!</definedName>
    <definedName name="IND_Measures" localSheetId="13">#REF!</definedName>
    <definedName name="IND_Measures" localSheetId="19">#REF!</definedName>
    <definedName name="IND_Measures" localSheetId="18">#REF!</definedName>
    <definedName name="IND_Measures" localSheetId="28">#REF!</definedName>
    <definedName name="IND_Measures" localSheetId="27">#REF!</definedName>
    <definedName name="IND_Measures" localSheetId="9">#REF!</definedName>
    <definedName name="IND_Measures" localSheetId="16">#REF!</definedName>
    <definedName name="IND_Measures" localSheetId="12">#REF!</definedName>
    <definedName name="IND_Measures" localSheetId="10">#REF!</definedName>
    <definedName name="IND_Measures" localSheetId="11">#REF!</definedName>
    <definedName name="IND_Measures" localSheetId="48">#REF!</definedName>
    <definedName name="IND_Measures" localSheetId="17">#REF!</definedName>
    <definedName name="Planning_Options" localSheetId="37">'[1]Tables'!$A$1:$A$2</definedName>
    <definedName name="Planning_Options" localSheetId="31">'[2]Tables'!$A$1:$A$2</definedName>
    <definedName name="Planning_Options" localSheetId="38">'[1]Tables'!$A$1:$A$2</definedName>
    <definedName name="Planning_Options" localSheetId="39">'[1]Tables'!$A$1:$A$2</definedName>
    <definedName name="Planning_Options" localSheetId="33">'[1]Tables'!$A$1:$A$2</definedName>
    <definedName name="Planning_Options" localSheetId="34">'[1]Tables'!$A$1:$A$2</definedName>
    <definedName name="Planning_Options" localSheetId="35">'[1]Tables'!$A$1:$A$2</definedName>
    <definedName name="Planning_Options" localSheetId="36">'[1]Tables'!$A$1:$A$2</definedName>
    <definedName name="Planning_Options">'[3]Tables'!$A$1:$A$2</definedName>
    <definedName name="_xlnm.Print_Area" localSheetId="65">'2015 Central Florida Life'!$A$27:$K$44</definedName>
    <definedName name="_xlnm.Print_Area" localSheetId="64">'2015 Clay Life'!$A$27:$K$44</definedName>
    <definedName name="_xlnm.Print_Area" localSheetId="55">'2015 EIA-861 Central Florida'!$A$1:$N$23</definedName>
    <definedName name="_xlnm.Print_Area" localSheetId="53">'2015 EIA-861 Clay No Resizing'!$A$1:$N$23</definedName>
    <definedName name="_xlnm.Print_Area" localSheetId="54">'2015 EIA-861 Clay Resizing'!$A$1:$N$23</definedName>
    <definedName name="_xlnm.Print_Area" localSheetId="59">'2015 EIA-861 Glades'!$A$1:$N$23</definedName>
    <definedName name="_xlnm.Print_Area" localSheetId="58">'2015 EIA-861 Peace River'!$A$1:$N$23</definedName>
    <definedName name="_xlnm.Print_Area" localSheetId="56">'2015 EIA-861 Sumter'!$A$1:$N$23</definedName>
    <definedName name="_xlnm.Print_Area" localSheetId="52">'2015 EIA-861 Suwannee'!$A$1:$N$23</definedName>
    <definedName name="_xlnm.Print_Area" localSheetId="50">'2015 EIA-861 Talquin'!$A$1:$N$23</definedName>
    <definedName name="_xlnm.Print_Area" localSheetId="51">'2015 EIA-861 Tri-County'!$A$1:$N$23</definedName>
    <definedName name="_xlnm.Print_Area" localSheetId="57">'2015 EIA-861 Withlacoochee'!$A$1:$N$23</definedName>
    <definedName name="_xlnm.Print_Area" localSheetId="69">'2015 Glades Life'!$A$27:$K$44</definedName>
    <definedName name="_xlnm.Print_Area" localSheetId="68">'2015 Peace River Life'!$A$27:$K$44</definedName>
    <definedName name="_xlnm.Print_Area" localSheetId="66">'2015 Sumter Life'!$A$27:$K$44</definedName>
    <definedName name="_xlnm.Print_Area" localSheetId="63">'2015 Suwannee Life'!$A$27:$K$44</definedName>
    <definedName name="_xlnm.Print_Area" localSheetId="61">'2015 Talquin Life'!$A$27:$K$44</definedName>
    <definedName name="_xlnm.Print_Area" localSheetId="62">'2015 Tri-County Life'!$A$27:$K$44</definedName>
    <definedName name="_xlnm.Print_Area" localSheetId="67">'2015 Withlacoochee Life'!$A$27:$K$44</definedName>
    <definedName name="_xlnm.Print_Area" localSheetId="9">'Seminole 2015'!$A$38:$N$45</definedName>
    <definedName name="RES_Measures" localSheetId="37">#REF!</definedName>
    <definedName name="RES_Measures" localSheetId="31">#REF!</definedName>
    <definedName name="RES_Measures" localSheetId="65">#REF!</definedName>
    <definedName name="RES_Measures" localSheetId="55">#REF!</definedName>
    <definedName name="RES_Measures" localSheetId="53">#REF!</definedName>
    <definedName name="RES_Measures" localSheetId="54">#REF!</definedName>
    <definedName name="RES_Measures" localSheetId="59">#REF!</definedName>
    <definedName name="RES_Measures" localSheetId="58">#REF!</definedName>
    <definedName name="RES_Measures" localSheetId="56">#REF!</definedName>
    <definedName name="RES_Measures" localSheetId="52">#REF!</definedName>
    <definedName name="RES_Measures" localSheetId="50">#REF!</definedName>
    <definedName name="RES_Measures" localSheetId="51">#REF!</definedName>
    <definedName name="RES_Measures" localSheetId="57">#REF!</definedName>
    <definedName name="RES_Measures" localSheetId="69">#REF!</definedName>
    <definedName name="RES_Measures" localSheetId="68">#REF!</definedName>
    <definedName name="RES_Measures" localSheetId="66">#REF!</definedName>
    <definedName name="RES_Measures" localSheetId="63">#REF!</definedName>
    <definedName name="RES_Measures" localSheetId="61">#REF!</definedName>
    <definedName name="RES_Measures" localSheetId="62">#REF!</definedName>
    <definedName name="RES_Measures" localSheetId="67">#REF!</definedName>
    <definedName name="RES_Measures" localSheetId="38">#REF!</definedName>
    <definedName name="RES_Measures" localSheetId="39">#REF!</definedName>
    <definedName name="RES_Measures" localSheetId="33">#REF!</definedName>
    <definedName name="RES_Measures" localSheetId="34">#REF!</definedName>
    <definedName name="RES_Measures" localSheetId="35">#REF!</definedName>
    <definedName name="RES_Measures" localSheetId="36">#REF!</definedName>
    <definedName name="RES_Measures" localSheetId="15">#REF!</definedName>
    <definedName name="RES_Measures" localSheetId="14">#REF!</definedName>
    <definedName name="RES_Measures" localSheetId="13">#REF!</definedName>
    <definedName name="RES_Measures" localSheetId="19">#REF!</definedName>
    <definedName name="RES_Measures" localSheetId="18">#REF!</definedName>
    <definedName name="RES_Measures" localSheetId="28">#REF!</definedName>
    <definedName name="RES_Measures" localSheetId="27">#REF!</definedName>
    <definedName name="RES_Measures" localSheetId="9">#REF!</definedName>
    <definedName name="RES_Measures" localSheetId="16">#REF!</definedName>
    <definedName name="RES_Measures" localSheetId="12">#REF!</definedName>
    <definedName name="RES_Measures" localSheetId="10">#REF!</definedName>
    <definedName name="RES_Measures" localSheetId="11">#REF!</definedName>
    <definedName name="RES_Measures" localSheetId="48">#REF!</definedName>
    <definedName name="RES_Measures" localSheetId="17">#REF!</definedName>
    <definedName name="SYS_Measures" localSheetId="37">#REF!</definedName>
    <definedName name="SYS_Measures" localSheetId="31">#REF!</definedName>
    <definedName name="SYS_Measures" localSheetId="65">#REF!</definedName>
    <definedName name="SYS_Measures" localSheetId="55">#REF!</definedName>
    <definedName name="SYS_Measures" localSheetId="53">#REF!</definedName>
    <definedName name="SYS_Measures" localSheetId="54">#REF!</definedName>
    <definedName name="SYS_Measures" localSheetId="59">#REF!</definedName>
    <definedName name="SYS_Measures" localSheetId="58">#REF!</definedName>
    <definedName name="SYS_Measures" localSheetId="56">#REF!</definedName>
    <definedName name="SYS_Measures" localSheetId="52">#REF!</definedName>
    <definedName name="SYS_Measures" localSheetId="50">#REF!</definedName>
    <definedName name="SYS_Measures" localSheetId="51">#REF!</definedName>
    <definedName name="SYS_Measures" localSheetId="57">#REF!</definedName>
    <definedName name="SYS_Measures" localSheetId="69">#REF!</definedName>
    <definedName name="SYS_Measures" localSheetId="68">#REF!</definedName>
    <definedName name="SYS_Measures" localSheetId="66">#REF!</definedName>
    <definedName name="SYS_Measures" localSheetId="63">#REF!</definedName>
    <definedName name="SYS_Measures" localSheetId="61">#REF!</definedName>
    <definedName name="SYS_Measures" localSheetId="62">#REF!</definedName>
    <definedName name="SYS_Measures" localSheetId="67">#REF!</definedName>
    <definedName name="SYS_Measures" localSheetId="38">#REF!</definedName>
    <definedName name="SYS_Measures" localSheetId="39">#REF!</definedName>
    <definedName name="SYS_Measures" localSheetId="33">#REF!</definedName>
    <definedName name="SYS_Measures" localSheetId="34">#REF!</definedName>
    <definedName name="SYS_Measures" localSheetId="35">#REF!</definedName>
    <definedName name="SYS_Measures" localSheetId="36">#REF!</definedName>
    <definedName name="SYS_Measures" localSheetId="15">#REF!</definedName>
    <definedName name="SYS_Measures" localSheetId="14">#REF!</definedName>
    <definedName name="SYS_Measures" localSheetId="13">#REF!</definedName>
    <definedName name="SYS_Measures" localSheetId="19">#REF!</definedName>
    <definedName name="SYS_Measures" localSheetId="18">#REF!</definedName>
    <definedName name="SYS_Measures" localSheetId="28">#REF!</definedName>
    <definedName name="SYS_Measures" localSheetId="27">#REF!</definedName>
    <definedName name="SYS_Measures" localSheetId="9">#REF!</definedName>
    <definedName name="SYS_Measures" localSheetId="16">#REF!</definedName>
    <definedName name="SYS_Measures" localSheetId="10">#REF!</definedName>
    <definedName name="SYS_Measures" localSheetId="11">#REF!</definedName>
    <definedName name="SYS_Measures" localSheetId="48">#REF!</definedName>
    <definedName name="SYS_Measures" localSheetId="17">#REF!</definedName>
  </definedNames>
  <calcPr fullCalcOn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<sst xmlns="http://schemas.openxmlformats.org/spreadsheetml/2006/main" count="9804" uniqueCount="1804">
  <si>
    <t>Number of customers with direct load control</t>
  </si>
  <si>
    <t>Number of Customers able to access daily energy usage through a webportal or other electronic means</t>
  </si>
  <si>
    <t>Energy Served Through AMI</t>
  </si>
  <si>
    <r>
      <t xml:space="preserve">Total Number of Meters (All Types), </t>
    </r>
    <r>
      <rPr>
        <sz val="11"/>
        <rFont val="Calibri"/>
        <family val="2"/>
      </rPr>
      <t>lines 1+2+4</t>
    </r>
  </si>
  <si>
    <t>Number of non AMR/AMI Meters</t>
  </si>
  <si>
    <r>
      <t xml:space="preserve">Number of AMI Meters </t>
    </r>
    <r>
      <rPr>
        <sz val="11"/>
        <rFont val="Calibri"/>
        <family val="2"/>
      </rPr>
      <t>with home area network (HAN) gateway enabled</t>
    </r>
  </si>
  <si>
    <t>Number of AMI Meters</t>
  </si>
  <si>
    <t>Number of AMR Meters</t>
  </si>
  <si>
    <t>TOTAL   (e)</t>
  </si>
  <si>
    <t>TRANSPORTATION   (d)</t>
  </si>
  <si>
    <t>INDUSTRIAL     (c)</t>
  </si>
  <si>
    <t>COMMERCIAL    (b)</t>
  </si>
  <si>
    <t>RESIDENTIAL   (a)</t>
  </si>
  <si>
    <t>Seminole</t>
  </si>
  <si>
    <t>Balancing Authority</t>
  </si>
  <si>
    <t>STATE</t>
  </si>
  <si>
    <r>
      <t xml:space="preserve">Only customers from schedule 4A and 4C need to be reported on this schedule. 
</t>
    </r>
    <r>
      <rPr>
        <b/>
        <sz val="11"/>
        <color theme="1"/>
        <rFont val="Calibri"/>
        <family val="2"/>
        <scheme val="minor"/>
      </rPr>
      <t>Automated Meter Reading (AMR)</t>
    </r>
    <r>
      <rPr>
        <sz val="11"/>
        <color theme="1"/>
        <rFont val="Calibri"/>
        <family val="2"/>
        <scheme val="minor"/>
      </rPr>
      <t xml:space="preserve">- data transmitted one-way, from customer to utility. 
</t>
    </r>
    <r>
      <rPr>
        <b/>
        <sz val="11"/>
        <color theme="1"/>
        <rFont val="Calibri"/>
        <family val="2"/>
        <scheme val="minor"/>
      </rPr>
      <t xml:space="preserve">Advanced Metering Infrastructure (AMI) </t>
    </r>
    <r>
      <rPr>
        <sz val="11"/>
        <color theme="1"/>
        <rFont val="Calibri"/>
        <family val="2"/>
        <scheme val="minor"/>
      </rPr>
      <t>- data can be transmitted in both directions, between the delivery entity and the customer.</t>
    </r>
  </si>
  <si>
    <t>SCHEDULE 6. PART D. ADVANCED METERING</t>
  </si>
  <si>
    <t>Data Year:</t>
  </si>
  <si>
    <t>Entity ID:</t>
  </si>
  <si>
    <t>Entity Name:</t>
  </si>
  <si>
    <t>Burden Hours: 10.97</t>
  </si>
  <si>
    <t>Approval Expires:  05/31/2017</t>
  </si>
  <si>
    <t>ANNUAL ELECTRIC POWER INDUSTRY REPORT</t>
  </si>
  <si>
    <t>OMB No. 1905-0129</t>
  </si>
  <si>
    <t>FORM EIA-861</t>
  </si>
  <si>
    <t>Critical Peak Rebate</t>
  </si>
  <si>
    <t>Critical Peak Pricing</t>
  </si>
  <si>
    <t>Variable Peak Pricing</t>
  </si>
  <si>
    <t>Real Time Pricing</t>
  </si>
  <si>
    <t>Time-of-Use Pricing</t>
  </si>
  <si>
    <t>INSTRUCTIONS: For each customer class, mark the types of dynamic pricing programs in which the customers are participating.</t>
  </si>
  <si>
    <t>Types of Dynamic Pricing Programs</t>
  </si>
  <si>
    <t>Number of Customers enrolled in dynamic pricing programs, by customer class</t>
  </si>
  <si>
    <t>State</t>
  </si>
  <si>
    <t xml:space="preserve">INSTRUCTIONS: Report the number of customers participating in dynamic pricing programs, e.g. Time-of-Use Pricing, Real-Time Pricing, Variable Peak Pricing, Critical Peak Pricing programs. </t>
  </si>
  <si>
    <t>Number of Customers</t>
  </si>
  <si>
    <t>SCHEDULE 6. PART C. DYNAMIC PRICING PROGRAMS</t>
  </si>
  <si>
    <t xml:space="preserve">Clay Electric Co-op, Inc. </t>
  </si>
  <si>
    <t>If you have a demand side management (DSM) program for grid-enabled water heaters (as defined by DOE’s Office of Energy Efficiency and Renewable Energy ), how many grid-enabled water heaters were added to your program this year?</t>
  </si>
  <si>
    <t>All other costs</t>
  </si>
  <si>
    <t>Customer Incentives</t>
  </si>
  <si>
    <t>TOTAL  (e)</t>
  </si>
  <si>
    <t>INDUSTRIAL (c)</t>
  </si>
  <si>
    <t>COMMERCIAL (b)</t>
  </si>
  <si>
    <t>RESIDENTIAL (a)</t>
  </si>
  <si>
    <t>Reporting Year Costs</t>
  </si>
  <si>
    <t>Schedule 6. Part B. Program Costs -- Demand Response (Thousand Dollars)</t>
  </si>
  <si>
    <t>Actual Peak Demand Savings (MW)</t>
  </si>
  <si>
    <t>Potential Peak Demand Savings (MW)</t>
  </si>
  <si>
    <t>Energy Savings (MWh)</t>
  </si>
  <si>
    <t>Number of Customers Enrolled</t>
  </si>
  <si>
    <t>Reporting Year Savings</t>
  </si>
  <si>
    <t>Schedule 6. Part B. Energy and Demand Savings -- Demand Response</t>
  </si>
  <si>
    <t>SCHEDULE 6. PART B. DEMAND RESPONSE PROGRAMS</t>
  </si>
  <si>
    <t>ANNUAL ELECTRIC POWER
 INDUSTRY REPORT</t>
  </si>
  <si>
    <t>Please provide website address to your energy efficiency program reports:</t>
  </si>
  <si>
    <t>Weighted Average Life</t>
  </si>
  <si>
    <t>Transportation</t>
  </si>
  <si>
    <t>Industrial</t>
  </si>
  <si>
    <t>Commercial</t>
  </si>
  <si>
    <t>Residential</t>
  </si>
  <si>
    <t>Weighted Average 
Life Calculator</t>
  </si>
  <si>
    <t>Incremental Life Cycle Costs</t>
  </si>
  <si>
    <t>Reporting Year Incremental Costs</t>
  </si>
  <si>
    <t>Peak Demand Savings (MW)</t>
  </si>
  <si>
    <t>Incremental Life Cycle Savings</t>
  </si>
  <si>
    <t>Reporting Year Incremental Annual Savings</t>
  </si>
  <si>
    <t>Florida</t>
  </si>
  <si>
    <t>Schedule 6. Part A. Adjusted Gross Energy and Demand Savings -- Energy Efficiency</t>
  </si>
  <si>
    <t>SCHEDULE 6. PART A. ENERGY EFFICIENCY PROGRAMS</t>
  </si>
  <si>
    <t xml:space="preserve">Clay Electric Coop, Inc. </t>
  </si>
  <si>
    <t>AMR</t>
  </si>
  <si>
    <t>AMI</t>
  </si>
  <si>
    <t>Sector</t>
  </si>
  <si>
    <t>Advanced Metering</t>
  </si>
  <si>
    <t>All</t>
  </si>
  <si>
    <t xml:space="preserve">TOTAL FOR UTILITY SYSTEM ENERGY EFFICIENCY </t>
  </si>
  <si>
    <t>Notes</t>
  </si>
  <si>
    <t>Total Lifetime MWh</t>
  </si>
  <si>
    <t>Total Annual MWh</t>
  </si>
  <si>
    <t>Est. Measure Life (yrs)</t>
  </si>
  <si>
    <t>Peak Demand Savings Per Unit (kW)</t>
  </si>
  <si>
    <t>Energy Savings Per Unit (kWh)</t>
  </si>
  <si>
    <t>Number of Units</t>
  </si>
  <si>
    <t xml:space="preserve">Unit Definition </t>
  </si>
  <si>
    <t>Total Spending</t>
  </si>
  <si>
    <t>Incentives</t>
  </si>
  <si>
    <t>Co-op's Implementation Costs</t>
  </si>
  <si>
    <t>Measure</t>
  </si>
  <si>
    <t>Energy Efficiency Programs</t>
  </si>
  <si>
    <t>UTILITY SYSTEM EFFICIENCY</t>
  </si>
  <si>
    <t>ALL</t>
  </si>
  <si>
    <t>TOTAL FOR C&amp;I DEMAND RESPONSE</t>
  </si>
  <si>
    <t>n/a</t>
  </si>
  <si>
    <t>Total Coincident Demand (kW)</t>
  </si>
  <si>
    <t>Measure Life (yrs)</t>
  </si>
  <si>
    <t>Annual Energy Savings Per Unit (kWh)</t>
  </si>
  <si>
    <t>Number of Units Enrolled</t>
  </si>
  <si>
    <t>Demand Response Programs</t>
  </si>
  <si>
    <t xml:space="preserve">TOTAL FOR C&amp;I ENERGY EFFICIENCY </t>
  </si>
  <si>
    <t>COMMERCIAL  AND INDUSTRIAL</t>
  </si>
  <si>
    <t>TOTAL FOR RESIDENTIAL DEMAND RESPONSE</t>
  </si>
  <si>
    <t xml:space="preserve">TOTAL FOR RESIDENTIAL ENERGY EFFICIENCY </t>
  </si>
  <si>
    <t>https://www.clayelectric.com/member-information/energy-information/energy-rebates-loans</t>
  </si>
  <si>
    <t>SQFT</t>
  </si>
  <si>
    <t>Window Film</t>
  </si>
  <si>
    <t>Energy Smart Rebate Program</t>
  </si>
  <si>
    <t>Insulation - Spray Foam</t>
  </si>
  <si>
    <t>Insulation - Batt</t>
  </si>
  <si>
    <t>Heat Pump</t>
  </si>
  <si>
    <t>Heat Pump HVAC</t>
  </si>
  <si>
    <t>Water Heater</t>
  </si>
  <si>
    <t>Solar Water Heater</t>
  </si>
  <si>
    <t>Heat Pump Water Heater</t>
  </si>
  <si>
    <t>Assuming 60W incandescent equivalent (~10W LED)</t>
  </si>
  <si>
    <t>Bulb</t>
  </si>
  <si>
    <t>10W LED</t>
  </si>
  <si>
    <t>LED Giveaway</t>
  </si>
  <si>
    <t>Energy Efficiency Program</t>
  </si>
  <si>
    <t>ENERGY SAVINGS</t>
  </si>
  <si>
    <t>PROGRAM EXPENDITURES</t>
  </si>
  <si>
    <t>RESIDENTIAL</t>
  </si>
  <si>
    <t>Total Demand Response</t>
  </si>
  <si>
    <t>C&amp;I Demand Response</t>
  </si>
  <si>
    <t>Commercial Demand Response</t>
  </si>
  <si>
    <t>Residential Demand Response</t>
  </si>
  <si>
    <t>DEMAND RESPONSE</t>
  </si>
  <si>
    <t>Total Energy Efficiency</t>
  </si>
  <si>
    <t>Non-Program Member Education Costs</t>
  </si>
  <si>
    <t xml:space="preserve">Utility System Efficiency </t>
  </si>
  <si>
    <t>Total</t>
  </si>
  <si>
    <t>C&amp;I Energy Efficiency Programs</t>
  </si>
  <si>
    <t>Sans Rebates Paid &amp; Spillover</t>
  </si>
  <si>
    <t>Residential Energy Efficiency Programs</t>
  </si>
  <si>
    <t>Rebate Program</t>
  </si>
  <si>
    <t>ENERGY EFFICIENCY</t>
  </si>
  <si>
    <t>Energy Loan Program</t>
  </si>
  <si>
    <t>CO-OP DSM PORTFOLIO SAVINGS SUMMARY</t>
  </si>
  <si>
    <t>CO-OP DSM PORTFOLIO COSTS SUMMARY</t>
  </si>
  <si>
    <t>Clay Implementation Costs</t>
  </si>
  <si>
    <t>Calculated</t>
  </si>
  <si>
    <t>Per Lamp</t>
  </si>
  <si>
    <t>Source</t>
  </si>
  <si>
    <t>Units Basis</t>
  </si>
  <si>
    <t>Incremental Material Cost</t>
  </si>
  <si>
    <t>Incandescent A-lamp 45W EISA 1500 hrs med brightness, 2014 Itron MCS</t>
  </si>
  <si>
    <t>Local Supplier Price Quote for Bulk Order of 10,000 units, 800 Lumen 3000K Dimmable LED; Item Number: BPOM60/830/LED</t>
  </si>
  <si>
    <t>Material Cost</t>
  </si>
  <si>
    <t>Outdoor</t>
  </si>
  <si>
    <t>Indoor</t>
  </si>
  <si>
    <t>CF</t>
  </si>
  <si>
    <t>Bulb Location</t>
  </si>
  <si>
    <t>Source: Adapted from AR TRM</t>
  </si>
  <si>
    <t>Lamp Type</t>
  </si>
  <si>
    <t>Exterior %</t>
  </si>
  <si>
    <t>Interior %</t>
  </si>
  <si>
    <t>Installation Location</t>
  </si>
  <si>
    <t>Source: http://apps1.eere.energy.gov/buildings/publications/pdfs/ssl/2010-lmc-final-jan-2012.pdf</t>
  </si>
  <si>
    <t>TOTAL</t>
  </si>
  <si>
    <t>Exterior</t>
  </si>
  <si>
    <t>Average</t>
  </si>
  <si>
    <t>Table 4.11 Average Number of Lamps per Household by Residence and Room Type in 2010</t>
  </si>
  <si>
    <t>CFL ISR</t>
  </si>
  <si>
    <t>Program</t>
  </si>
  <si>
    <t>kW</t>
  </si>
  <si>
    <t>Per Lamp Summer Peak Demand Savings</t>
  </si>
  <si>
    <t>Residential Lighting Efficiency – Summer Peak Coincidence Factor</t>
  </si>
  <si>
    <t>AR TRM</t>
  </si>
  <si>
    <t>%</t>
  </si>
  <si>
    <t>Coincidence Factor</t>
  </si>
  <si>
    <t>kWh</t>
  </si>
  <si>
    <t>Adjusted Annual Per Lamp Savings kWh</t>
  </si>
  <si>
    <t>AR TRM, Average 8000 Hr Lifespan Mixed Market Interior Exterior</t>
  </si>
  <si>
    <t>Yrs</t>
  </si>
  <si>
    <t>EUL (Years)</t>
  </si>
  <si>
    <t>Not Considered for Program</t>
  </si>
  <si>
    <t>na</t>
  </si>
  <si>
    <t>Interactive Effects</t>
  </si>
  <si>
    <t>Residential Lighting Efficiency – CFL and A-Shaped LED In Service Rate</t>
  </si>
  <si>
    <t>In Service Rate Yr 1</t>
  </si>
  <si>
    <t>Non-Adjusted Annual Per Lamp Savings kWh</t>
  </si>
  <si>
    <t>EE kWh</t>
  </si>
  <si>
    <t>Hrs</t>
  </si>
  <si>
    <t>EE Annual HOU</t>
  </si>
  <si>
    <t>W</t>
  </si>
  <si>
    <t>EE Wattage</t>
  </si>
  <si>
    <t>Base kWH</t>
  </si>
  <si>
    <t>Base Annual HOU</t>
  </si>
  <si>
    <t>Average Wattage per Lamp by Residence Type and Room Type in 2010</t>
  </si>
  <si>
    <t>DOE Lighting Market Characterization</t>
  </si>
  <si>
    <t>Base Wattage</t>
  </si>
  <si>
    <t>Description</t>
  </si>
  <si>
    <t>Table</t>
  </si>
  <si>
    <t>Value</t>
  </si>
  <si>
    <t>Units</t>
  </si>
  <si>
    <t>Metric</t>
  </si>
  <si>
    <t>10W LED Giveaway</t>
  </si>
  <si>
    <t>NOT A HEAT PUMP</t>
  </si>
  <si>
    <t>NOT HEAT PUMP (STANDARD)</t>
  </si>
  <si>
    <t>N/A</t>
  </si>
  <si>
    <t>Comment</t>
  </si>
  <si>
    <t>Denied</t>
  </si>
  <si>
    <t>Approved</t>
  </si>
  <si>
    <t xml:space="preserve">Est. Annual kWh Saved </t>
  </si>
  <si>
    <t>Rebate</t>
  </si>
  <si>
    <t>Quarter</t>
  </si>
  <si>
    <t>Date Approved</t>
  </si>
  <si>
    <t>Date Denied</t>
  </si>
  <si>
    <t>Installation Cost</t>
  </si>
  <si>
    <t>New Efficiency</t>
  </si>
  <si>
    <t>Old Efficiency</t>
  </si>
  <si>
    <t>New Gallons</t>
  </si>
  <si>
    <t>Old Gallons</t>
  </si>
  <si>
    <t>Install Date</t>
  </si>
  <si>
    <t>Location Number</t>
  </si>
  <si>
    <t>Customer Name</t>
  </si>
  <si>
    <t>Account Number</t>
  </si>
  <si>
    <t>http://www.fsec.ucf.edu/en/Publications/html/FSEC-PF-215-90/</t>
  </si>
  <si>
    <t>Heat Pump Water Heater Rebates</t>
  </si>
  <si>
    <t>Desuperheater Unit</t>
  </si>
  <si>
    <t>Solar Hot Water System</t>
  </si>
  <si>
    <t>Totals:</t>
  </si>
  <si>
    <t>Average Demand Reduction HP over ER</t>
  </si>
  <si>
    <t>HP Demand as % of ER</t>
  </si>
  <si>
    <t>HP Demand as % of ER Sample 2</t>
  </si>
  <si>
    <t>HP Demand as % of ER Sample 1</t>
  </si>
  <si>
    <t>Electric Resistance</t>
  </si>
  <si>
    <t>5-6 P.M.</t>
  </si>
  <si>
    <t>5-6 p.m.</t>
  </si>
  <si>
    <t>Gross Coincident Demand Reduction (Summer kW)</t>
  </si>
  <si>
    <t>DEER 2009-2011; Electric Heat Pump Water Heater</t>
  </si>
  <si>
    <t>Lifetime (Years)</t>
  </si>
  <si>
    <t>Estimated Annual kWh</t>
  </si>
  <si>
    <t>S00170B</t>
  </si>
  <si>
    <t>S1175</t>
  </si>
  <si>
    <t>CFC027524</t>
  </si>
  <si>
    <t>00225C</t>
  </si>
  <si>
    <t>S9191</t>
  </si>
  <si>
    <t>Rated Output (BTU per Hour)</t>
  </si>
  <si>
    <t>Collector Area (square feet)</t>
  </si>
  <si>
    <t>FSEC #</t>
  </si>
  <si>
    <t>Solar Water Heater Rebates</t>
  </si>
  <si>
    <t>http://aceee.org/files/proceedings/2010/data/papers/2197.pdf</t>
  </si>
  <si>
    <t>Rebate per BTU per Hour =</t>
  </si>
  <si>
    <t>https://www.fanniemae.com/content/guide_form/4099f.pdf</t>
  </si>
  <si>
    <t>?</t>
  </si>
  <si>
    <t>Comments</t>
  </si>
  <si>
    <t>Est. Annual kWh Savings</t>
  </si>
  <si>
    <t>Installed Cost</t>
  </si>
  <si>
    <t>New HP SEER</t>
  </si>
  <si>
    <t>New HP BTUs</t>
  </si>
  <si>
    <t>Old HP SEER</t>
  </si>
  <si>
    <t>Old HP BTUs</t>
  </si>
  <si>
    <t>Heat Pump Rebate Summary Sheet</t>
  </si>
  <si>
    <t>A Florida utility monitoring project found air conditioner retrofits can provide large energy savings and significant reductions to summer day peak demand. Two evaluated retrofits had older single-speed AC systems replaced with the same type, but of newer vintage. Here the cooling savings were 29% and 34%, with an average savings of 20.2 kWh/day. The reduction in average daily summer peak demand was 30% and 5% respectively, with an average reduction of 0.30 kW.</t>
  </si>
  <si>
    <t>Average kW Reduction, Single Speed Air Handler (kW)</t>
  </si>
  <si>
    <t>http://www.eceee.org/library/conference_proceedings/ACEEE_buildings/2004/Panel_1/p1_18/paper</t>
  </si>
  <si>
    <t>* Two compressor cooling system</t>
  </si>
  <si>
    <t>NA</t>
  </si>
  <si>
    <t>Savings</t>
  </si>
  <si>
    <t>Lifetime for units remains constant at 12 years per LBNL 2007 study</t>
  </si>
  <si>
    <t>Measure Life</t>
  </si>
  <si>
    <t>Heat Pump Rebate Summary</t>
  </si>
  <si>
    <t xml:space="preserve"> (Post)</t>
  </si>
  <si>
    <t>Programmable Thermostat Discount Rate</t>
  </si>
  <si>
    <t>Site #38 (Pre)*</t>
  </si>
  <si>
    <t>EPA 2002 FL-Gainesville</t>
  </si>
  <si>
    <t>EFLH Heat</t>
  </si>
  <si>
    <t>EFLH Cool</t>
  </si>
  <si>
    <t>NAECA</t>
  </si>
  <si>
    <t>(54,000 to 60,000)</t>
  </si>
  <si>
    <t>Site #75 (Pre)*</t>
  </si>
  <si>
    <t>HSPF New</t>
  </si>
  <si>
    <t>(45,000 to 54,000)</t>
  </si>
  <si>
    <t>(39,000 to 45,000)</t>
  </si>
  <si>
    <t>DELTA kWhannual = CAPY/1000 X (EFLHcool/SEER + EFLHheat/HSPF)</t>
  </si>
  <si>
    <t>(33,000 to 39,000)</t>
  </si>
  <si>
    <t>Site #197 (Pre)</t>
  </si>
  <si>
    <t>EFLH = Annual kWh heat or cool / kW peak heat or cool</t>
  </si>
  <si>
    <t>(27,000 to 33,000)</t>
  </si>
  <si>
    <t>Variable Speed Air Handlers</t>
  </si>
  <si>
    <t>Definitions</t>
  </si>
  <si>
    <t>(21,000 to 27,000)</t>
  </si>
  <si>
    <t>(15,000 to 21,000)</t>
  </si>
  <si>
    <t>per LBNL 2007 study</t>
  </si>
  <si>
    <t>Lifetime for units remains constant at 12 years</t>
  </si>
  <si>
    <t>(0 to 15,000)</t>
  </si>
  <si>
    <t>BTUs</t>
  </si>
  <si>
    <t>Site #26 (Pre)</t>
  </si>
  <si>
    <t>Used standard assumptions from US EPA 2002 study</t>
  </si>
  <si>
    <t>Need to factor in both Cooling and Heating HOU which scales savings to region</t>
  </si>
  <si>
    <t>(&gt; 18.5)</t>
  </si>
  <si>
    <t>(17.5 to 18.5)</t>
  </si>
  <si>
    <t>(16.5 to 17.5)</t>
  </si>
  <si>
    <t>(15.5 to 16.5)</t>
  </si>
  <si>
    <t>(15.0 to 15.5)</t>
  </si>
  <si>
    <t>Range</t>
  </si>
  <si>
    <t>Used standard assumptions from Energy Star for Heating Efficiency gain</t>
  </si>
  <si>
    <t>No HSPF for Heating Savings</t>
  </si>
  <si>
    <t>Need to factor in both Cooling and Heating</t>
  </si>
  <si>
    <t>SEER</t>
  </si>
  <si>
    <t>Site #36 (Pre)</t>
  </si>
  <si>
    <t>Issues found with Clay first order approximation</t>
  </si>
  <si>
    <t>Utility Peak Hour Demand (kW)</t>
  </si>
  <si>
    <t>Daily Avg. Peak Demand (kW)</t>
  </si>
  <si>
    <t>Daily Avg. AC Use (kWh)</t>
  </si>
  <si>
    <t xml:space="preserve">Site </t>
  </si>
  <si>
    <t>Conventional AC Retrofits</t>
  </si>
  <si>
    <t>Note: No Rebates for heat pumps over 60,000 BTUs or under 15 SEER</t>
  </si>
  <si>
    <t>Table 3. Air Conditioner Retrofit Performance Results</t>
  </si>
  <si>
    <t>2015 New Heat Pump Rebate Amounts</t>
  </si>
  <si>
    <t>Please Scroll Down to See The Data Entry Table</t>
  </si>
  <si>
    <t>03/27/215</t>
  </si>
  <si>
    <t>Over 180 days</t>
  </si>
  <si>
    <t>Estimated Peak kW Reduction</t>
  </si>
  <si>
    <t>Energy Savings Based on</t>
  </si>
  <si>
    <t>Sq Ft</t>
  </si>
  <si>
    <t>Finished R Value</t>
  </si>
  <si>
    <t>Inital R Value</t>
  </si>
  <si>
    <t>Insulation Rebate Summary Sheet</t>
  </si>
  <si>
    <t>R19 to R30</t>
  </si>
  <si>
    <t>R11 to R19</t>
  </si>
  <si>
    <t>R11 to R30</t>
  </si>
  <si>
    <t>R0 to R19</t>
  </si>
  <si>
    <t>DEER 2008</t>
  </si>
  <si>
    <t>Est kW Savings</t>
  </si>
  <si>
    <t>Est kWh Savings</t>
  </si>
  <si>
    <t>Rebates</t>
  </si>
  <si>
    <t>Demand Savings (Peak kW/ft^2)</t>
  </si>
  <si>
    <t>Energy Savings (kWh/yr/ft^2)</t>
  </si>
  <si>
    <t>Insulation Upgrade</t>
  </si>
  <si>
    <t>per square foot</t>
  </si>
  <si>
    <t>Rebate Amount:</t>
  </si>
  <si>
    <t>FL-Tampa</t>
  </si>
  <si>
    <t>14651 21st St., Dade City, FL 33523</t>
  </si>
  <si>
    <t>Withlacoochee</t>
  </si>
  <si>
    <t>FL-Tallahassee</t>
  </si>
  <si>
    <t>2862 West U.S. 90 Madison, Florida 32340</t>
  </si>
  <si>
    <t>Tri-County</t>
  </si>
  <si>
    <t>1640 W. Jefferson, Quincy, FL 32351</t>
  </si>
  <si>
    <t>Talquin</t>
  </si>
  <si>
    <t>FL-Gainesville</t>
  </si>
  <si>
    <t>11340 100th Street, Live Oak, FL 32060</t>
  </si>
  <si>
    <t>Suwanee</t>
  </si>
  <si>
    <t>FL-Orlando</t>
  </si>
  <si>
    <t>330 South U.S. Hwy. 301, Sumterville, FL 33585-0301</t>
  </si>
  <si>
    <t>Sumter</t>
  </si>
  <si>
    <t>210 Metheny Road, Wauchula, FL 33873</t>
  </si>
  <si>
    <t>Peace River</t>
  </si>
  <si>
    <t>FL-Fort Myers</t>
  </si>
  <si>
    <t>26733 US Hwy 27 East, Moore Haven, FL 33471</t>
  </si>
  <si>
    <t>Glades</t>
  </si>
  <si>
    <t>225 West Walker Drive SR100, Keystone Heights, Fl 32656</t>
  </si>
  <si>
    <t>Clay</t>
  </si>
  <si>
    <t>11491 NW 50 Avenue, Chiefland, FL 32626</t>
  </si>
  <si>
    <t>Central Florida</t>
  </si>
  <si>
    <t>Annual Hrs</t>
  </si>
  <si>
    <t>Heating</t>
  </si>
  <si>
    <t>Cooling</t>
  </si>
  <si>
    <t>Implied Design EFLH</t>
  </si>
  <si>
    <t>Estar Weather Station</t>
  </si>
  <si>
    <t>Co-op Location</t>
  </si>
  <si>
    <t>Electric Co-op</t>
  </si>
  <si>
    <t>http://www.apscservices.info/EEInfo/TRM.pdf</t>
  </si>
  <si>
    <t>EFLHh</t>
  </si>
  <si>
    <t>EFLHc</t>
  </si>
  <si>
    <t>Loaded Weighting Factor</t>
  </si>
  <si>
    <t>Average Weighting Factor</t>
  </si>
  <si>
    <t>Weighting Factor</t>
  </si>
  <si>
    <t>Weather Zone Location</t>
  </si>
  <si>
    <t>Table 55: Equivalent Full Load Hours for Heating and Cooling</t>
  </si>
  <si>
    <t>15 to 22</t>
  </si>
  <si>
    <t>9 to 14</t>
  </si>
  <si>
    <t>5 to 8</t>
  </si>
  <si>
    <t>0 to 4</t>
  </si>
  <si>
    <t>kW/kWh Ratio</t>
  </si>
  <si>
    <t>Therms</t>
  </si>
  <si>
    <t>Average All Systems with AC</t>
  </si>
  <si>
    <t>Peak Gas Savings</t>
  </si>
  <si>
    <t>AC Peak Savings</t>
  </si>
  <si>
    <t>AC Electric Resistance Heat</t>
  </si>
  <si>
    <t>Gas Heat (No AC)</t>
  </si>
  <si>
    <t>AC/Gas Heat</t>
  </si>
  <si>
    <t>Base R Value</t>
  </si>
  <si>
    <t>Table 65: Ceiling Insulation – Deemed Savings Values - Code Zone 6 South Region</t>
  </si>
  <si>
    <t>Table 64: Ceiling Insulation – Deemed Savings Values - Code Zone 7 Central Region</t>
  </si>
  <si>
    <t>Table 63: Ceiling Insulation – Deemed Savings Values - Code Zone 8 Northeast/North Central Region</t>
  </si>
  <si>
    <t>Table 62: Ceiling Insulation – Deemed Savings Values - Code Zone 9 Northwest Region</t>
  </si>
  <si>
    <t>LEWIS, PEGGY</t>
  </si>
  <si>
    <t>ORR, RONALD</t>
  </si>
  <si>
    <t>KENNARD, ADRA</t>
  </si>
  <si>
    <t>JOHNSON, JEFFERSON</t>
  </si>
  <si>
    <t>VARKOLY, JEANETTE</t>
  </si>
  <si>
    <t>HOWARD, RONALD</t>
  </si>
  <si>
    <t>GOOD, PAUL</t>
  </si>
  <si>
    <t>CARNEY, RANDY</t>
  </si>
  <si>
    <t>ANDERSON, PAULA</t>
  </si>
  <si>
    <t>SCHMIDT,DERK</t>
  </si>
  <si>
    <t>BRANSFORD, WILLIAM</t>
  </si>
  <si>
    <t>SCHNABEL, DANIEL</t>
  </si>
  <si>
    <t>JONES, TRACY</t>
  </si>
  <si>
    <t>TYLER, JOHN</t>
  </si>
  <si>
    <t>FOY, SHARON</t>
  </si>
  <si>
    <t>Oak Ridge National Laboratory research shows that “perfectly installed” batts lose 11% of their labeled R-Value, and that “commonly installed” fiberglass batts lose 28% of their labeled R-value</t>
  </si>
  <si>
    <t>http://nepaenergysmart.com/wp-content/uploads/2016/02/FiberglassBattsPDF.pdf</t>
  </si>
  <si>
    <t xml:space="preserve">Savings Adjustment Factor to account for air infiltration reduction in "commonly installed" fiberglass batt case </t>
  </si>
  <si>
    <t xml:space="preserve">Spray Foam Insulation Rebate Summary </t>
  </si>
  <si>
    <t>SHGC After Film Applied</t>
  </si>
  <si>
    <t># of Panes in Windows (1 or 2)</t>
  </si>
  <si>
    <t>Total Area of All Windows (square feet)</t>
  </si>
  <si>
    <t>Window Film Rebates 2015</t>
  </si>
  <si>
    <t>For a double pane window the initial SHGC is assumed to be 0.65</t>
  </si>
  <si>
    <t>For a single pane window the initial SHGC is assumed to be 1.00</t>
  </si>
  <si>
    <t># of degree hours per year = 17,005</t>
  </si>
  <si>
    <t>SHGC = Solar Heat Gain Coefficient</t>
  </si>
  <si>
    <t>2015 rebate amount is $0.44 per square foot</t>
  </si>
  <si>
    <t>Notes:</t>
  </si>
  <si>
    <t>Window Film Rebate Summary</t>
  </si>
  <si>
    <t>Number of Panes</t>
  </si>
  <si>
    <t>Table 98: Window Film – Deemed Savings Values - Code Zone 6 South Region</t>
  </si>
  <si>
    <t>Table 97: Window Film – Deemed Savings Values - Code Zone 7 Central Region</t>
  </si>
  <si>
    <t>Table 96: Window Film – Deemed Savings Values - Code Zone 8 Northeast/North Central Region</t>
  </si>
  <si>
    <t>Table 95: Window Film – Deemed Savings Values - Code Zone 9 Northwest Region</t>
  </si>
  <si>
    <t>*Absolute value of savings taken</t>
  </si>
  <si>
    <t>kW/kWh Ratio*</t>
  </si>
  <si>
    <t>Source: Energy Star Heat Pump Savings Calculator</t>
  </si>
  <si>
    <t>EPA 2002</t>
  </si>
  <si>
    <t>WY-Sheridan</t>
  </si>
  <si>
    <t>WY-Lander</t>
  </si>
  <si>
    <t>WY-Cheyenne</t>
  </si>
  <si>
    <t>WY-Casper</t>
  </si>
  <si>
    <t>WV-Huntington</t>
  </si>
  <si>
    <t>WV-Elkins</t>
  </si>
  <si>
    <t>WV-Charleston</t>
  </si>
  <si>
    <t>WV-Beckley</t>
  </si>
  <si>
    <t>WI-Milwaukee</t>
  </si>
  <si>
    <t>WI-Madison</t>
  </si>
  <si>
    <t>WI-La Crosse</t>
  </si>
  <si>
    <t>WI-Green Bay</t>
  </si>
  <si>
    <t>WA-Yakima</t>
  </si>
  <si>
    <t>WA-Walla Walla</t>
  </si>
  <si>
    <t>WA-Spokane</t>
  </si>
  <si>
    <t>WA-Seattle</t>
  </si>
  <si>
    <t>WA-Olympia</t>
  </si>
  <si>
    <t>VT-Burlington</t>
  </si>
  <si>
    <t>VA-Roanoke</t>
  </si>
  <si>
    <t>VA-Richmond</t>
  </si>
  <si>
    <t>VA-Norfolk</t>
  </si>
  <si>
    <t>VA-Lynchburg</t>
  </si>
  <si>
    <t>UT-Salt Lake City</t>
  </si>
  <si>
    <t>TX-Wichita Falls</t>
  </si>
  <si>
    <t>TX-Waco</t>
  </si>
  <si>
    <t>TX-Victoria</t>
  </si>
  <si>
    <t>TX-San Antonio</t>
  </si>
  <si>
    <t>TX-San Angelo</t>
  </si>
  <si>
    <t>TX-Port Arthur</t>
  </si>
  <si>
    <t>TX-Midland</t>
  </si>
  <si>
    <t>TX-Lubbock</t>
  </si>
  <si>
    <t>TX-Houston</t>
  </si>
  <si>
    <t>TX-Galveston</t>
  </si>
  <si>
    <t>TX-El Paso</t>
  </si>
  <si>
    <t>TX-Del Rio</t>
  </si>
  <si>
    <t>TX-Dallas</t>
  </si>
  <si>
    <t>TX-Corpus Christi</t>
  </si>
  <si>
    <t>TX-Brownsville</t>
  </si>
  <si>
    <t>TX-Austin</t>
  </si>
  <si>
    <t>TX-Amarillo</t>
  </si>
  <si>
    <t>TX-Abilene</t>
  </si>
  <si>
    <t>TN-Nashville</t>
  </si>
  <si>
    <t>TN-Memphis</t>
  </si>
  <si>
    <t>TN-Knoxville</t>
  </si>
  <si>
    <t>TN-Chattanooga</t>
  </si>
  <si>
    <t>TN-Bristol</t>
  </si>
  <si>
    <t>SD-Sioux Falls</t>
  </si>
  <si>
    <t>SD-Rapid City</t>
  </si>
  <si>
    <t>SD-Huron</t>
  </si>
  <si>
    <t>SD-Aberdeen</t>
  </si>
  <si>
    <t>SC-Greenville</t>
  </si>
  <si>
    <t>SC-Columbia</t>
  </si>
  <si>
    <t>SC-Charleston</t>
  </si>
  <si>
    <t>RI-Providence</t>
  </si>
  <si>
    <t>PA-Williamsport</t>
  </si>
  <si>
    <t>PA-Scranton</t>
  </si>
  <si>
    <t>PA-Pittsburgh</t>
  </si>
  <si>
    <t>PA-Philadelphia</t>
  </si>
  <si>
    <t>PA-Harrisburg</t>
  </si>
  <si>
    <t>PA-Erie</t>
  </si>
  <si>
    <t>PA-Allentown</t>
  </si>
  <si>
    <t>OR-Salem</t>
  </si>
  <si>
    <t>OR-Portland</t>
  </si>
  <si>
    <t>OR-Pendleton</t>
  </si>
  <si>
    <t>OR-Medford</t>
  </si>
  <si>
    <t>OR-Eugene</t>
  </si>
  <si>
    <t>OR-Astoria</t>
  </si>
  <si>
    <t>OK-Tulsa</t>
  </si>
  <si>
    <t>OK-Oklahoma City</t>
  </si>
  <si>
    <t>OH-Youngstown</t>
  </si>
  <si>
    <t>OH-Toledo</t>
  </si>
  <si>
    <t>OH-Mansfield</t>
  </si>
  <si>
    <t>OH-Dayton</t>
  </si>
  <si>
    <t>OH-Columbus</t>
  </si>
  <si>
    <t>OH-Cleveland</t>
  </si>
  <si>
    <t>OH-Cincinnati</t>
  </si>
  <si>
    <t>OH-Akron</t>
  </si>
  <si>
    <t>NY-Syracuse</t>
  </si>
  <si>
    <t>NY-Rochester</t>
  </si>
  <si>
    <t>NY-New York</t>
  </si>
  <si>
    <t>NY-Buffalo</t>
  </si>
  <si>
    <t>NY-Binghamton</t>
  </si>
  <si>
    <t>NY-Albany</t>
  </si>
  <si>
    <t>NV-Winnemucca</t>
  </si>
  <si>
    <t>NV-Reno</t>
  </si>
  <si>
    <t>NV-Las Vegas</t>
  </si>
  <si>
    <t>NV-Ely</t>
  </si>
  <si>
    <t>NV-Elko</t>
  </si>
  <si>
    <t>NM-Roswell</t>
  </si>
  <si>
    <t>NM-Albuquerque</t>
  </si>
  <si>
    <t>NJ-Newark</t>
  </si>
  <si>
    <t>NJ-Atlantic City</t>
  </si>
  <si>
    <t>NH-Concord</t>
  </si>
  <si>
    <t>NE-Scottsbluff</t>
  </si>
  <si>
    <t>NE-Omaha</t>
  </si>
  <si>
    <t>NE-North Platte</t>
  </si>
  <si>
    <t>NE-Norfolk</t>
  </si>
  <si>
    <t>NE-Lincoln</t>
  </si>
  <si>
    <t>NE-Grand Island</t>
  </si>
  <si>
    <t>ND-Williston</t>
  </si>
  <si>
    <t>ND-Fargo</t>
  </si>
  <si>
    <t>ND-Bismarck</t>
  </si>
  <si>
    <t>NC-Wilmington</t>
  </si>
  <si>
    <t>NC-Raleigh</t>
  </si>
  <si>
    <t>NC-Greensboro</t>
  </si>
  <si>
    <t>NC-Charlotte</t>
  </si>
  <si>
    <t>NC-Asheville</t>
  </si>
  <si>
    <t>MT-Missoula</t>
  </si>
  <si>
    <t>MT-Miles city</t>
  </si>
  <si>
    <t>MT-Kalispell</t>
  </si>
  <si>
    <t>MT-Helena</t>
  </si>
  <si>
    <t>MT-Havre</t>
  </si>
  <si>
    <t>MT-Great Falls</t>
  </si>
  <si>
    <t>MT-Glasgow</t>
  </si>
  <si>
    <t>MT-Billings</t>
  </si>
  <si>
    <t>MS-Tupelo</t>
  </si>
  <si>
    <t>MS-Meridian</t>
  </si>
  <si>
    <t>MS-Jackson</t>
  </si>
  <si>
    <t>MO-St. Louis</t>
  </si>
  <si>
    <t>MO-Springfield</t>
  </si>
  <si>
    <t>MO-Kansas City</t>
  </si>
  <si>
    <t>MO-Columbia</t>
  </si>
  <si>
    <t>MN-St. Cloud</t>
  </si>
  <si>
    <t>MN-Rochester</t>
  </si>
  <si>
    <t>MN-Minneapolis</t>
  </si>
  <si>
    <t>MN-International Falls</t>
  </si>
  <si>
    <t>MN-Duluth</t>
  </si>
  <si>
    <t>MI-Sault St Marie</t>
  </si>
  <si>
    <t>MI-Muskegon</t>
  </si>
  <si>
    <t>MI-Marquette</t>
  </si>
  <si>
    <t>MI-Lansing</t>
  </si>
  <si>
    <t>MI-Grand Rapids</t>
  </si>
  <si>
    <t>MI-Flint</t>
  </si>
  <si>
    <t>MI-Detroit</t>
  </si>
  <si>
    <t>MI-Alpena</t>
  </si>
  <si>
    <t>ME-Portland</t>
  </si>
  <si>
    <t>ME-Caribou</t>
  </si>
  <si>
    <t>MD-Baltimore</t>
  </si>
  <si>
    <t>MA-Worcester</t>
  </si>
  <si>
    <t>MA-Boston</t>
  </si>
  <si>
    <t>LA-Shreveport</t>
  </si>
  <si>
    <t>LA-New Orleans</t>
  </si>
  <si>
    <t>LA-Lake Charles</t>
  </si>
  <si>
    <t>LA-Baton Rouge</t>
  </si>
  <si>
    <t>KY-Paducah</t>
  </si>
  <si>
    <t>KY-Louisville</t>
  </si>
  <si>
    <t>KY-Lexington</t>
  </si>
  <si>
    <t>KS-Wichita</t>
  </si>
  <si>
    <t>KS-Topeka</t>
  </si>
  <si>
    <t>KS-Goodland</t>
  </si>
  <si>
    <t>KS-Dodge City</t>
  </si>
  <si>
    <t>IN-South Bend</t>
  </si>
  <si>
    <t>IN-Indianapolis</t>
  </si>
  <si>
    <t>IN-Fort Wayne</t>
  </si>
  <si>
    <t>IN-Evansville</t>
  </si>
  <si>
    <t>IL-Springfield</t>
  </si>
  <si>
    <t>IL-Rockford</t>
  </si>
  <si>
    <t>IL-Peoria</t>
  </si>
  <si>
    <t>IL-Moline</t>
  </si>
  <si>
    <t>IL-Chicago</t>
  </si>
  <si>
    <t>ID-Pocatello</t>
  </si>
  <si>
    <t>ID-Lewiston</t>
  </si>
  <si>
    <t>ID-Boise</t>
  </si>
  <si>
    <t>IA-Waterloo</t>
  </si>
  <si>
    <t>IA-Sioux City</t>
  </si>
  <si>
    <t>IA-Dubuque</t>
  </si>
  <si>
    <t>IA-Des Moines</t>
  </si>
  <si>
    <t>HI-Honolulu</t>
  </si>
  <si>
    <t>HI-Hilo</t>
  </si>
  <si>
    <t>GA-Savannah</t>
  </si>
  <si>
    <t>GA-Macon</t>
  </si>
  <si>
    <t>GA-Columbus</t>
  </si>
  <si>
    <t>GA-Augusta</t>
  </si>
  <si>
    <t>GA-Atlanta</t>
  </si>
  <si>
    <t>GA-Athens</t>
  </si>
  <si>
    <t>FL-W. Palm Beach</t>
  </si>
  <si>
    <t>FL-Pensacola</t>
  </si>
  <si>
    <t>FL-Miami</t>
  </si>
  <si>
    <t>FL-Key West</t>
  </si>
  <si>
    <t>FL-Jacksonville</t>
  </si>
  <si>
    <t>FL-Daytona Beach</t>
  </si>
  <si>
    <t>DE-Wilmington</t>
  </si>
  <si>
    <t>DC-Washington</t>
  </si>
  <si>
    <t>CT-Hartford</t>
  </si>
  <si>
    <t>CT-Bridgeport</t>
  </si>
  <si>
    <t>CO-Pueblo</t>
  </si>
  <si>
    <t>CO-Grand Junction</t>
  </si>
  <si>
    <t>CO-Denver</t>
  </si>
  <si>
    <t>CO-Colorado Springs</t>
  </si>
  <si>
    <t>CO-Alamosa</t>
  </si>
  <si>
    <t>CA-Stockton</t>
  </si>
  <si>
    <t>CA-San Francisco</t>
  </si>
  <si>
    <t>CA-San Diego</t>
  </si>
  <si>
    <t>CA-Sacramento</t>
  </si>
  <si>
    <t>CA-Palm Springs</t>
  </si>
  <si>
    <t>CA-Los Angeles</t>
  </si>
  <si>
    <t>CA-Beverly Hills</t>
  </si>
  <si>
    <t>AZ-Yuma</t>
  </si>
  <si>
    <t>AZ-Winslow</t>
  </si>
  <si>
    <t>AZ-Tucson</t>
  </si>
  <si>
    <t>AZ-Phoenix</t>
  </si>
  <si>
    <t>AZ-Flagstaff</t>
  </si>
  <si>
    <t>AR-Little Rock</t>
  </si>
  <si>
    <t>AR-Fort Smith</t>
  </si>
  <si>
    <t>AL-Montgomery</t>
  </si>
  <si>
    <t>AL-Mobile</t>
  </si>
  <si>
    <t>AL-Huntsville</t>
  </si>
  <si>
    <t>AL-Birmingham</t>
  </si>
  <si>
    <t>AK-Nome</t>
  </si>
  <si>
    <t>AK-Juneau</t>
  </si>
  <si>
    <t>AK-Fairbanks</t>
  </si>
  <si>
    <t>AK-Barrow</t>
  </si>
  <si>
    <t>AK-Anchorage</t>
  </si>
  <si>
    <t xml:space="preserve">Full-Load Cooling/Heating Hours for Selected Location </t>
  </si>
  <si>
    <t>Usage</t>
  </si>
  <si>
    <t xml:space="preserve">Enter this number on line 10 for transportation customers </t>
  </si>
  <si>
    <t xml:space="preserve">Enter this number on line 10 for industrial customers </t>
  </si>
  <si>
    <t xml:space="preserve">Enter this number on line 10 for commercial customers </t>
  </si>
  <si>
    <t xml:space="preserve">Enter this number on line 10 for residential customers </t>
  </si>
  <si>
    <t>Average life of program or measure</t>
  </si>
  <si>
    <t>Ave annual savings MWh</t>
  </si>
  <si>
    <t>Program or Measure</t>
  </si>
  <si>
    <t>Transportation Customers</t>
  </si>
  <si>
    <t>Industrial  Customers</t>
  </si>
  <si>
    <t>Commercial Customers</t>
  </si>
  <si>
    <t>Residential Customers</t>
  </si>
  <si>
    <t>Green</t>
  </si>
  <si>
    <t xml:space="preserve">To calculate the weighted average life of a portfolio of Energy Efficiency Measures enter data for each program or measure into the areas shaded </t>
  </si>
  <si>
    <t>Clay DSM Portfolio</t>
  </si>
  <si>
    <t>X</t>
  </si>
  <si>
    <t xml:space="preserve">Central Florida Electric Coop, Inc. </t>
  </si>
  <si>
    <t>Industrial TOU</t>
  </si>
  <si>
    <t>Commercial TOU</t>
  </si>
  <si>
    <t>Residential TOU</t>
  </si>
  <si>
    <t>-</t>
  </si>
  <si>
    <t>lineal feet - assumption</t>
  </si>
  <si>
    <t>Door Weather Stripping</t>
  </si>
  <si>
    <t>13W CFL</t>
  </si>
  <si>
    <t>CFL Giveaway</t>
  </si>
  <si>
    <t>Meters Enrolled</t>
  </si>
  <si>
    <t>Prepay Standard</t>
  </si>
  <si>
    <t>Residential Prepay Metering</t>
  </si>
  <si>
    <t>Central Florida  DSM Portfolio</t>
  </si>
  <si>
    <t>Water Heating</t>
  </si>
  <si>
    <t>EUL</t>
  </si>
  <si>
    <t>Source: APS DEMAND SIDE MANAGEMENT RESIDENTIAL HOME ENERGY INFORMATION PILOT PROGRAM END OF PILOT REPORT 2015</t>
  </si>
  <si>
    <t>Results of the APS pilot indicate that energy savings from this program can be significant with an average of 7.5% annual savings per participant.</t>
  </si>
  <si>
    <t>Source: https://opower.com/uploads/library/file/4/residential_electricity_use_feedback.pdf</t>
  </si>
  <si>
    <t>As will be discussed next, preliminary results from a dynamic pricing pilot run by Baltimore Gas and Electric, which used the same pricing display device as Martinez and Geltz (2005) for some customers, indicate that the device accounted for an incremental on-peak reduction effect of 6–7% over and above that attributed to price</t>
  </si>
  <si>
    <t>The average incremental on-peak reduction effect of the feedback, over and above the effect attributed to dynamic pricing, ranges from 0 to 2%.</t>
  </si>
  <si>
    <t>Source: http://www.energy.sc.gov/files/view/Saving_Energy_Saving_Money-DSM_2012_0.pdf</t>
  </si>
  <si>
    <t>Similar programs report energy savings from 10%-15%</t>
  </si>
  <si>
    <t>Source: http://beccconference.org/wp-content/uploads/2014/12/presentation_Treadway.pdf</t>
  </si>
  <si>
    <t>Statistical analysis of monthly billing data shows energy savings of 10%-15% by adopters.</t>
  </si>
  <si>
    <t>Source: http://www.srpnet.com/environment/earthwise/pdfx/spp/EPRI_MPower.pdf</t>
  </si>
  <si>
    <t>The constant aspects of the M-Power experience have been a high level of customer satisfaction and an overall conservation effect reported by SRP of approximately 12%. SRP attributes the conservation effect to a variety of factors, noting that M-Power requires consumers to pay attention to when and how they use electricity, allowing them to make immediate adjustments in usage to lower their bills.</t>
  </si>
  <si>
    <t>Paying Upfront: A Review of Salt River Project’s MPower Prepaid Program</t>
  </si>
  <si>
    <t/>
  </si>
  <si>
    <t>Conservative estimate based on lower Tier 0%-2% on-peak reduction from Opower Report</t>
  </si>
  <si>
    <t>Customer kW Savings</t>
  </si>
  <si>
    <t>Conservative estimate based on APS filed Pilot results</t>
  </si>
  <si>
    <t>Customer kWh Savings</t>
  </si>
  <si>
    <t>Whole Building</t>
  </si>
  <si>
    <t>Annual Whole Building Prepay Savings</t>
  </si>
  <si>
    <t>Annual Whole Building Baseline Consumption</t>
  </si>
  <si>
    <t>Electric Coop</t>
  </si>
  <si>
    <t>*http://www.nrel.gov/ap/retrofits/measures.cfm?gId=5&amp;ctId=30&amp;scId=6206&amp;acId=6207</t>
  </si>
  <si>
    <t>NREL, National Residential Efficiency Measures Database*</t>
  </si>
  <si>
    <t>Per Lamp Incandescent 15.0 lm/W to CFL 55.0 lm/W</t>
  </si>
  <si>
    <t>Incremental Cost</t>
  </si>
  <si>
    <t xml:space="preserve">Best judgement used in selecting 13W cfl rated measure life in lieu of more granular program tracking data (e.g. specific model numbers and lamp types). </t>
  </si>
  <si>
    <t>CFL Outdoor Application - Measure Life (Years)</t>
  </si>
  <si>
    <t>CFL Indoor Application - Measure Life (Years)</t>
  </si>
  <si>
    <t>Rated Measure Life (Hours)</t>
  </si>
  <si>
    <t>13W CFL Giveaway</t>
  </si>
  <si>
    <t xml:space="preserve">Glades Electric Coop, Inc. </t>
  </si>
  <si>
    <t>Commerical TOU</t>
  </si>
  <si>
    <t>No demand savings claimed</t>
  </si>
  <si>
    <t>150W HPS to 70W LED</t>
  </si>
  <si>
    <t>LED Streetlight Swapouts</t>
  </si>
  <si>
    <t>100W HPS to 40W LED</t>
  </si>
  <si>
    <t>Glades DSM Portfolio</t>
  </si>
  <si>
    <t>$/year per lamp</t>
  </si>
  <si>
    <t>$/month per lamp</t>
  </si>
  <si>
    <t xml:space="preserve">We do own the lights and I do not know of a better way to calculate that. I was not part of the rate design for the lights but by extrapolating that margin across the number of lights in service that number looks close. </t>
  </si>
  <si>
    <t>Weighted Total Cost based on Failed Replacements</t>
  </si>
  <si>
    <t>Total Weighted</t>
  </si>
  <si>
    <t>Bulb + Control Only</t>
  </si>
  <si>
    <t>Case 2</t>
  </si>
  <si>
    <t>New Fixture + Bulb + Control</t>
  </si>
  <si>
    <t>Case 1</t>
  </si>
  <si>
    <t>Early Failure 100W HPS Material Cost Cases</t>
  </si>
  <si>
    <t>Weighted Total based on Failed Replacements</t>
  </si>
  <si>
    <t>Cost</t>
  </si>
  <si>
    <t>Hours</t>
  </si>
  <si>
    <t>48W LED</t>
  </si>
  <si>
    <t xml:space="preserve"> 100W HPS</t>
  </si>
  <si>
    <t>Early Failure Labor Cost Cases</t>
  </si>
  <si>
    <t>Assume Lower Cost Case LED</t>
  </si>
  <si>
    <t>Control</t>
  </si>
  <si>
    <t>LED Head includes fixture</t>
  </si>
  <si>
    <t>Fixture</t>
  </si>
  <si>
    <t>Item</t>
  </si>
  <si>
    <t xml:space="preserve">100W HPS </t>
  </si>
  <si>
    <t>Early Failure Material Costs</t>
  </si>
  <si>
    <t xml:space="preserve">Early Failure 100W HPS </t>
  </si>
  <si>
    <t>Total Material Cost</t>
  </si>
  <si>
    <t>Photocontrol (Low Case)</t>
  </si>
  <si>
    <t>Photocontrol (High Case)</t>
  </si>
  <si>
    <t>Head Only</t>
  </si>
  <si>
    <t>Cost Cases LED</t>
  </si>
  <si>
    <t>May be raised to $50 if it makes economic sense to do so</t>
  </si>
  <si>
    <t>$/unit</t>
  </si>
  <si>
    <t>Installation Charge</t>
  </si>
  <si>
    <t>Base Case</t>
  </si>
  <si>
    <t>Labor Hrs</t>
  </si>
  <si>
    <t>LED Install</t>
  </si>
  <si>
    <t>Retrofit Case</t>
  </si>
  <si>
    <t>$/hr</t>
  </si>
  <si>
    <t>Labor Rate</t>
  </si>
  <si>
    <t># of Units</t>
  </si>
  <si>
    <t>Quantity of Fixtures</t>
  </si>
  <si>
    <t>$/Unit-lifetime</t>
  </si>
  <si>
    <t>Lifetime Incremental Cost</t>
  </si>
  <si>
    <t>$/Unit</t>
  </si>
  <si>
    <t>$/Month</t>
  </si>
  <si>
    <t>Fixed Monthly Rate</t>
  </si>
  <si>
    <t>40W LED</t>
  </si>
  <si>
    <t>kWh/Month</t>
  </si>
  <si>
    <t>Assumed Monthly Usage</t>
  </si>
  <si>
    <t>kWh/unit</t>
  </si>
  <si>
    <t>Lifetime Consumption</t>
  </si>
  <si>
    <t>kWh/unit-yr</t>
  </si>
  <si>
    <t>Annual Consumption</t>
  </si>
  <si>
    <t>Weighted Total Spending</t>
  </si>
  <si>
    <t>Average Total Installed Cost Through Measure Life</t>
  </si>
  <si>
    <t>Early Failure Material Cost</t>
  </si>
  <si>
    <t>Assume LED Fixture early failure replacement of LED Head AND Photocell</t>
  </si>
  <si>
    <t>Early Failure Rate Labor Hours</t>
  </si>
  <si>
    <t>Early Failure Rate</t>
  </si>
  <si>
    <t>Warranty Period</t>
  </si>
  <si>
    <t>Measure Life @ Early Failure</t>
  </si>
  <si>
    <t>Mean Time Before Early Failure</t>
  </si>
  <si>
    <t>Assume Failed units AFTER warranty will last 75% of design measure life</t>
  </si>
  <si>
    <t>Early Failure Measure Life</t>
  </si>
  <si>
    <t>Hrs/Yr</t>
  </si>
  <si>
    <t>Runtime</t>
  </si>
  <si>
    <t>Total Installed Cost</t>
  </si>
  <si>
    <t>Labor Cost to Install</t>
  </si>
  <si>
    <t>1 hour labor time to install base package</t>
  </si>
  <si>
    <t>Labor Hours to Install</t>
  </si>
  <si>
    <t>Total installed cost including fixture, lamp, and photocell</t>
  </si>
  <si>
    <t>Measure Cost</t>
  </si>
  <si>
    <t>Total Input Wattage</t>
  </si>
  <si>
    <t>Surviving Stock</t>
  </si>
  <si>
    <t>Annual Failure Rate (AFR)</t>
  </si>
  <si>
    <t>Year</t>
  </si>
  <si>
    <t>Ballast Wattage</t>
  </si>
  <si>
    <t>Lamp Wattage</t>
  </si>
  <si>
    <t>AFR</t>
  </si>
  <si>
    <t>Case</t>
  </si>
  <si>
    <t>Index</t>
  </si>
  <si>
    <t>Maintenance is built into this, Environmental Cost and Regulatory is added into the backside</t>
  </si>
  <si>
    <t>$/kWh</t>
  </si>
  <si>
    <t>Energy Cost</t>
  </si>
  <si>
    <t>100W HPS</t>
  </si>
  <si>
    <t>Over the course of 50,000 hours so same basis of comparison to LED's</t>
  </si>
  <si>
    <t>$/unit-lifetime</t>
  </si>
  <si>
    <t>Weighted Lifetime Spending</t>
  </si>
  <si>
    <t>Assume Failed units will last 75% of design measure life</t>
  </si>
  <si>
    <t>70W LED</t>
  </si>
  <si>
    <t>150W HPS</t>
  </si>
  <si>
    <t xml:space="preserve">Peace River Electric Coop, Inc. </t>
  </si>
  <si>
    <t>Peace River DSM Portfolio</t>
  </si>
  <si>
    <t xml:space="preserve">Sumter Electric Coop, Inc. </t>
  </si>
  <si>
    <t>Potential Peak Demand Savings = 18MW, Actual Peak Demand Savings = 17MW</t>
  </si>
  <si>
    <t>Demand Response Call to Customer</t>
  </si>
  <si>
    <t>Commercial Critical Peak Billing Program</t>
  </si>
  <si>
    <t>Commercial TOU Rates</t>
  </si>
  <si>
    <t>Give-away LED's</t>
  </si>
  <si>
    <t>Sumter DSM Portfolio</t>
  </si>
  <si>
    <t xml:space="preserve">Suwanee Electric Coop, Inc. </t>
  </si>
  <si>
    <t xml:space="preserve">Suwannee Electric Coop, Inc. </t>
  </si>
  <si>
    <t>Industrial TOU Rates</t>
  </si>
  <si>
    <t>Suwannee DSM Portfolio</t>
  </si>
  <si>
    <t>Suwanee DSM Portfolio</t>
  </si>
  <si>
    <t xml:space="preserve">Talquin Electric Coop, Inc. </t>
  </si>
  <si>
    <t>Home</t>
  </si>
  <si>
    <t>In-Home Audit</t>
  </si>
  <si>
    <t>Residential Energy Audits</t>
  </si>
  <si>
    <t>Talquin DSM Portfolio</t>
  </si>
  <si>
    <t xml:space="preserve">Note: Talquin is currently the only eligible Member for this rebate due to direct AMI based billing analysis.  </t>
  </si>
  <si>
    <t>No demand savings analysis has been performed per the Talquin Electric Cooperative 2014 EUA Impact study thus as a conservative estimate 0% savings is claimed</t>
  </si>
  <si>
    <t>Estimate based on Talquin Electric Cooperative 2014 EUA Impact Study for Residential for the 4% claimed savings</t>
  </si>
  <si>
    <t xml:space="preserve">Tri-County Electric Coop, Inc. </t>
  </si>
  <si>
    <t>Tri-County DSM Portfolio</t>
  </si>
  <si>
    <t xml:space="preserve">Withlacoochee Electric Coop, Inc. </t>
  </si>
  <si>
    <t>Withlacoochee DSM Portfolio</t>
  </si>
  <si>
    <t>Savings Analysis Contained in Tabs to Right</t>
  </si>
  <si>
    <t>Program Worksheets Contained in Tabs to Right</t>
  </si>
  <si>
    <t>DOE Lifetime Worksheets Contained in Tabs to Right</t>
  </si>
  <si>
    <t>$/kWh Residential Retail Rate</t>
  </si>
  <si>
    <t>Avoided Costs Escalation Rate</t>
  </si>
  <si>
    <t>Program Cost Escalation Rate</t>
  </si>
  <si>
    <t>Billing Rate Escalation Rate</t>
  </si>
  <si>
    <t>IRP Discount Rate</t>
  </si>
  <si>
    <t>Financial Assumptions</t>
  </si>
  <si>
    <t>Full</t>
  </si>
  <si>
    <t>RET</t>
  </si>
  <si>
    <t>Benefit/Cost Ratio</t>
  </si>
  <si>
    <t>NPV</t>
  </si>
  <si>
    <t>PV of Program Costs</t>
  </si>
  <si>
    <t>PV of Program Benefits</t>
  </si>
  <si>
    <t>Measure Incremental Cost ($/Unit)</t>
  </si>
  <si>
    <t>Incentive per Unit ($/Unit)</t>
  </si>
  <si>
    <t>PV of Lost Revenue ($/Unit)</t>
  </si>
  <si>
    <t>Customer Cost Savings ($/Unit)</t>
  </si>
  <si>
    <t>NTG</t>
  </si>
  <si>
    <t>Cost Type</t>
  </si>
  <si>
    <t>Replacement Type</t>
  </si>
  <si>
    <t>Participation Weighting Factor</t>
  </si>
  <si>
    <t>EUL Avoided Cost</t>
  </si>
  <si>
    <t>RIM</t>
  </si>
  <si>
    <t>PCT</t>
  </si>
  <si>
    <t>PAC</t>
  </si>
  <si>
    <t>TRC</t>
  </si>
  <si>
    <t>Benefit/Cost Ratios</t>
  </si>
  <si>
    <t>Financial Calculations</t>
  </si>
  <si>
    <t>$/kWh Commercial Retail Rate</t>
  </si>
  <si>
    <t>Placeholder</t>
  </si>
  <si>
    <t>PA Cost</t>
  </si>
  <si>
    <t>Implementation Cost</t>
  </si>
  <si>
    <t>Total Net Benefits in ($) and Net Benefit Ratio (Benefits/Costs)</t>
  </si>
  <si>
    <t>Does the program benefit non-participants? Does it create short-term rate pressure?</t>
  </si>
  <si>
    <t>RIM - Ratepayer Impact Measure Test Ratio</t>
  </si>
  <si>
    <t>Do benefits outweigh costs for participants?</t>
  </si>
  <si>
    <t>PCT - Participant Cost Test Ratio</t>
  </si>
  <si>
    <t>Does the program reduce revenue requirements?</t>
  </si>
  <si>
    <t>PAC - Program Administrator Cost Ratio</t>
  </si>
  <si>
    <t>TRC - Total Resource Cost Ratio</t>
  </si>
  <si>
    <t>Definition</t>
  </si>
  <si>
    <t>Output</t>
  </si>
  <si>
    <t>($) per Program</t>
  </si>
  <si>
    <t>The incentive costs associated with conservation programs from program participants on a per-program basis</t>
  </si>
  <si>
    <t>Incentive Cost</t>
  </si>
  <si>
    <t>The administrative costs associated with conservation programs from the program administrator on a per-program basis</t>
  </si>
  <si>
    <t>PA Cost - Program Administrative Cost</t>
  </si>
  <si>
    <t>(MWh, kWh, MW, kW) per Unit</t>
  </si>
  <si>
    <t>The savings associated with conservation programs on a per-unit basis</t>
  </si>
  <si>
    <t>UES - Unit Energy Savings</t>
  </si>
  <si>
    <t>Input</t>
  </si>
  <si>
    <t>What is the purpose of this tool?</t>
  </si>
  <si>
    <t>Seminole Goal and Budget Forecast Tool Overview</t>
  </si>
  <si>
    <t>Organization</t>
  </si>
  <si>
    <t>Total Annual MWhs</t>
  </si>
  <si>
    <t>Total Lifetime MWhs</t>
  </si>
  <si>
    <t>Implementation 
Costs</t>
  </si>
  <si>
    <t>Incentive 
Costs</t>
  </si>
  <si>
    <t>Total Program 
Costs</t>
  </si>
  <si>
    <t>Member</t>
  </si>
  <si>
    <t>Demand Response</t>
  </si>
  <si>
    <t>Seminole Total</t>
  </si>
  <si>
    <t xml:space="preserve">Suwannee </t>
  </si>
  <si>
    <t xml:space="preserve">Clay </t>
  </si>
  <si>
    <t xml:space="preserve">Talquin </t>
  </si>
  <si>
    <t xml:space="preserve">Tri-County </t>
  </si>
  <si>
    <t xml:space="preserve">Central Florida </t>
  </si>
  <si>
    <t xml:space="preserve">Sumter </t>
  </si>
  <si>
    <t xml:space="preserve">Withlacoochee </t>
  </si>
  <si>
    <t xml:space="preserve">Peace River </t>
  </si>
  <si>
    <t xml:space="preserve">Glades </t>
  </si>
  <si>
    <t xml:space="preserve">The following are a list of outputs which are readily available from this tool: </t>
  </si>
  <si>
    <t>Commercial &amp; Industrial</t>
  </si>
  <si>
    <t>Utility System Efficiency</t>
  </si>
  <si>
    <t>Total Annual kW</t>
  </si>
  <si>
    <t>2015 Federal Standard</t>
  </si>
  <si>
    <t>Above 2015 Federal Standard 15 SEER 8.5 HSPF applied across sample as conservative estimate in lieu of program tracking data</t>
  </si>
  <si>
    <t>Existing Baseline to Measure (With Resizing)</t>
  </si>
  <si>
    <t>Code Baseline to Measure (With Resizing)</t>
  </si>
  <si>
    <t>Existing Baseline to Measure (Assuming Measure As-Built Sizing)</t>
  </si>
  <si>
    <t>LBNL 2007 (Based on minimum estimated savings) - For reference; can incorporate if there is a program tracking proxy for pre and post programmable thermostat use</t>
  </si>
  <si>
    <t>Same Size</t>
  </si>
  <si>
    <t>Upsize</t>
  </si>
  <si>
    <t>Downsize</t>
  </si>
  <si>
    <t>Frequency</t>
  </si>
  <si>
    <t>Percent Distribution</t>
  </si>
  <si>
    <t>Sizing</t>
  </si>
  <si>
    <t>Summary Sizing Statistics*</t>
  </si>
  <si>
    <t>*Only for Approved Rebates</t>
  </si>
  <si>
    <t>Code Baseline to Measure (Assuming As-Built Sizing)</t>
  </si>
  <si>
    <t>Code Baseline to Measure (Assuming Measure As-Built Sizing)</t>
  </si>
  <si>
    <t>Program Case</t>
  </si>
  <si>
    <t>Per Rebate Impacts (kWh/Year)</t>
  </si>
  <si>
    <t>http://www.puc.state.pa.us/electric/pdf/Act129/Act129_TRM-2013_Redlined.pdf</t>
  </si>
  <si>
    <t>0.97 − (0.00132 × Rated Storage Volume in gallons)</t>
  </si>
  <si>
    <t>For tanks with a Rated Storage Volume at or below 55 gallons: EF = 0.960 − (0.0003 × Rated Storage Volume in gallons). For tanks with a Rated Storage Volume above 55 gallons: EF = 2.057 − (0.00113 × Rated Storage Volume in gallons).</t>
  </si>
  <si>
    <t>https://www.regulations.gov/#!documentDetail;D=EERE-2014-BT-STD-0045-0006</t>
  </si>
  <si>
    <t>Code Level</t>
  </si>
  <si>
    <t>Pre-April 16, 2015 Federal Code Efficiency</t>
  </si>
  <si>
    <t>Post-April 16, 2015 Federal Code Efficiency</t>
  </si>
  <si>
    <t>Heat Pump Water Heater Program Tracking Data</t>
  </si>
  <si>
    <t>EF</t>
  </si>
  <si>
    <t>Original Sizing</t>
  </si>
  <si>
    <t>As-Built Sizing</t>
  </si>
  <si>
    <t>Average of Typically Installed Current Code Conventional</t>
  </si>
  <si>
    <t>Average of Typically Installed As-Found Conventional</t>
  </si>
  <si>
    <t>BEOpt Simulation Results</t>
  </si>
  <si>
    <t>Group Name</t>
  </si>
  <si>
    <t>Category Name</t>
  </si>
  <si>
    <t>Baseline</t>
  </si>
  <si>
    <t>Standard Insulation
 (R-30)</t>
  </si>
  <si>
    <t>Closed Cell 
Spray Foam (R-30)</t>
  </si>
  <si>
    <t>Open Cell 
Spray Foam (R-30)</t>
  </si>
  <si>
    <t>15 SEER/8.5 HSPF 
Heat Pump</t>
  </si>
  <si>
    <t>Heat Pump 
Water Heaters</t>
  </si>
  <si>
    <t>Solar Hot water</t>
  </si>
  <si>
    <t>Building</t>
  </si>
  <si>
    <t>Location</t>
  </si>
  <si>
    <t>Gainesville, Florida</t>
  </si>
  <si>
    <t>Typical of Clay Territory</t>
  </si>
  <si>
    <t>Orientation</t>
  </si>
  <si>
    <t>North</t>
  </si>
  <si>
    <t>Assumed</t>
  </si>
  <si>
    <t>Neighbors</t>
  </si>
  <si>
    <t>Left/Right at 20ft</t>
  </si>
  <si>
    <t>Walls</t>
  </si>
  <si>
    <t>Wood Stud</t>
  </si>
  <si>
    <t>R-19 Fiberglass Batt, 
2x6, 24 in o.c.</t>
  </si>
  <si>
    <t>Value taken from 1986 Baseline Year Home Characteristics Listed in FSEC-CR-1806.pdf</t>
  </si>
  <si>
    <t>Wall Sheathing</t>
  </si>
  <si>
    <t>OSB</t>
  </si>
  <si>
    <t>Exterior Finish</t>
  </si>
  <si>
    <t>Wood, Medium/Dark</t>
  </si>
  <si>
    <t>Ceilings/Roofs</t>
  </si>
  <si>
    <t>Unfinished Attic</t>
  </si>
  <si>
    <t>Ceiling R-11 Cellulose, 
Grade 1 Install, Vented</t>
  </si>
  <si>
    <t>Average of initial R-values listed in column E of Sheet "ClayInsulation" in "2016 Seimnole Goal and Budget Tool ESv03MY.XLSX" workbook</t>
  </si>
  <si>
    <t>Ceiling R-30 Cellulose, 
Grade 1 Install, Vented</t>
  </si>
  <si>
    <t>Ceiling R-30 Closed 
Cell Spray Foam, 
Grade 1 Install, Vented</t>
  </si>
  <si>
    <t>Ceiling R-30 Open 
Cell Spray Foam, 
Grade 1 Install, Vented</t>
  </si>
  <si>
    <t>Roof Material</t>
  </si>
  <si>
    <t>Asphalt Shingles, Medium</t>
  </si>
  <si>
    <t>Radiant Barrier</t>
  </si>
  <si>
    <t>None</t>
  </si>
  <si>
    <t>Foundation/Floors</t>
  </si>
  <si>
    <t>Slab</t>
  </si>
  <si>
    <t>R-3.5</t>
  </si>
  <si>
    <t>Carpet</t>
  </si>
  <si>
    <t>80% Carpet</t>
  </si>
  <si>
    <t>Thermal Mass</t>
  </si>
  <si>
    <t>Exterior Wall Mass</t>
  </si>
  <si>
    <t>1/2 in. Drywall</t>
  </si>
  <si>
    <t>Partition Wall Mass</t>
  </si>
  <si>
    <t>Ceiling Mass</t>
  </si>
  <si>
    <t>Windows &amp; Doors</t>
  </si>
  <si>
    <t>Window Areas</t>
  </si>
  <si>
    <r>
      <t>F34ft</t>
    </r>
    <r>
      <rPr>
        <vertAlign val="superscript"/>
        <sz val="10"/>
        <color theme="1"/>
        <rFont val="Arial"/>
        <family val="2"/>
      </rPr>
      <t>2</t>
    </r>
    <r>
      <rPr>
        <sz val="11"/>
        <color theme="1"/>
        <rFont val="Calibri"/>
        <family val="2"/>
        <scheme val="minor"/>
      </rPr>
      <t xml:space="preserve"> B104ft</t>
    </r>
    <r>
      <rPr>
        <vertAlign val="superscript"/>
        <sz val="10"/>
        <color theme="1"/>
        <rFont val="Arial"/>
        <family val="2"/>
      </rPr>
      <t>2</t>
    </r>
    <r>
      <rPr>
        <sz val="11"/>
        <color theme="1"/>
        <rFont val="Calibri"/>
        <family val="2"/>
        <scheme val="minor"/>
      </rPr>
      <t xml:space="preserve"> L41ft</t>
    </r>
    <r>
      <rPr>
        <vertAlign val="superscript"/>
        <sz val="10"/>
        <color theme="1"/>
        <rFont val="Arial"/>
        <family val="2"/>
      </rPr>
      <t>2</t>
    </r>
    <r>
      <rPr>
        <sz val="11"/>
        <color theme="1"/>
        <rFont val="Calibri"/>
        <family val="2"/>
        <scheme val="minor"/>
      </rPr>
      <t xml:space="preserve"> R18ft</t>
    </r>
    <r>
      <rPr>
        <vertAlign val="superscript"/>
        <sz val="10"/>
        <color theme="1"/>
        <rFont val="Arial"/>
        <family val="2"/>
      </rPr>
      <t>2</t>
    </r>
  </si>
  <si>
    <t>Table 18 pg. 43 in FSEC-CR-2019-16</t>
  </si>
  <si>
    <t>Windows</t>
  </si>
  <si>
    <t>Clear, Double-Pane, Non-Metal Frame, 
Air U-value = 0.5 SHGC = .66</t>
  </si>
  <si>
    <t>Clear, Double, Non-metal, 
Air U-value = 0.49, SHGC = .24</t>
  </si>
  <si>
    <t>Interior Shading</t>
  </si>
  <si>
    <t>Summer = 0.5, Winter = 0.95</t>
  </si>
  <si>
    <t>Door Area</t>
  </si>
  <si>
    <t>20 ft^2</t>
  </si>
  <si>
    <t>Doors</t>
  </si>
  <si>
    <t>Steel U=0.2</t>
  </si>
  <si>
    <t>Eaves</t>
  </si>
  <si>
    <t>2 ft</t>
  </si>
  <si>
    <t>Overhangs</t>
  </si>
  <si>
    <t>Airflow</t>
  </si>
  <si>
    <t>Air Leakage</t>
  </si>
  <si>
    <t>9 ACH50</t>
  </si>
  <si>
    <t>Mechanical Ventilation</t>
  </si>
  <si>
    <t>Natural Ventilation</t>
  </si>
  <si>
    <t>Year-Round, 3 days/wk</t>
  </si>
  <si>
    <t>Space Conditioning</t>
  </si>
  <si>
    <t>Air Source Heat Pump</t>
  </si>
  <si>
    <t>SEER 10, 6.6 HSPF</t>
  </si>
  <si>
    <t>SEER taken from 2016 Seminole Goal and Budget 
Tool ESv03MY.XLSX and HSPF taken from 1
986 Baseline Year Home Characteristics Listed 
in FSEC-CR-1806.pdf</t>
  </si>
  <si>
    <t>Ducts</t>
  </si>
  <si>
    <t>Qn=12% Leakage, R-4.2</t>
  </si>
  <si>
    <t>Ceiling Fan</t>
  </si>
  <si>
    <t>Standard Efficiency, 5 Fans</t>
  </si>
  <si>
    <t>Dehumidifier</t>
  </si>
  <si>
    <t>Space Conditioning 
Schedules</t>
  </si>
  <si>
    <t>Cooling Set Point</t>
  </si>
  <si>
    <t>72 F w/ Setup 80 F Weekday</t>
  </si>
  <si>
    <t>Heating Set Point</t>
  </si>
  <si>
    <t>71 F w/ Setback 65 F (wkdy)</t>
  </si>
  <si>
    <t>Humidity Set Point</t>
  </si>
  <si>
    <t>Water Heater pre-2015 Install</t>
  </si>
  <si>
    <t>Electric Benchmark, 50 gal EF=0.9</t>
  </si>
  <si>
    <t>NAECA standards table</t>
  </si>
  <si>
    <t>Heat Pump 
Water Heater EF=2.35</t>
  </si>
  <si>
    <t>Water Heater post-2015 Install</t>
  </si>
  <si>
    <t>Electric Premium, 50 gal EF=0.95</t>
  </si>
  <si>
    <t>Distribution</t>
  </si>
  <si>
    <t>R-2, TrunkBranch, Copper</t>
  </si>
  <si>
    <t>Solar Water Heating</t>
  </si>
  <si>
    <t>40 ft^2 Collector</t>
  </si>
  <si>
    <t>Solar Water Heating 
Azimuth</t>
  </si>
  <si>
    <t>South Facing</t>
  </si>
  <si>
    <t>Solar Water Heating Tilt</t>
  </si>
  <si>
    <t>Latitude Tilt</t>
  </si>
  <si>
    <t>Lighting</t>
  </si>
  <si>
    <t>80% CFL; 1203 kWh/yr</t>
  </si>
  <si>
    <t>Appliances &amp; Fixtures</t>
  </si>
  <si>
    <t>Miscellaneous</t>
  </si>
  <si>
    <t>2282 kWh/yr</t>
  </si>
  <si>
    <t>Refrigerator</t>
  </si>
  <si>
    <t>Side freezer, EF = 19.6, 574 kWh/yr</t>
  </si>
  <si>
    <t>Cooking Range</t>
  </si>
  <si>
    <t>Electric, 500 kWh/yr</t>
  </si>
  <si>
    <t>Dishwasher</t>
  </si>
  <si>
    <t>318 Rated kWh, 111 kWh/yr</t>
  </si>
  <si>
    <t>Clothes Washer</t>
  </si>
  <si>
    <t>Standard, 42.9 kWh/yr</t>
  </si>
  <si>
    <t>Clothes Dryer</t>
  </si>
  <si>
    <t>Electric, 3.1 lb/kWh</t>
  </si>
  <si>
    <t>Hot Water Fixtures</t>
  </si>
  <si>
    <t>Nominal</t>
  </si>
  <si>
    <t>BEOpt Prototype Characteristics</t>
  </si>
  <si>
    <t>Solar Hot Water Measure Comparions</t>
  </si>
  <si>
    <t>Annual Energy Parameter</t>
  </si>
  <si>
    <t>Baseline (DHW EF=0.9, 50 gal)</t>
  </si>
  <si>
    <r>
      <t>Solar Hot Water Heater (40 ft</t>
    </r>
    <r>
      <rPr>
        <vertAlign val="superscript"/>
        <sz val="10"/>
        <color theme="1"/>
        <rFont val="Arial"/>
        <family val="2"/>
      </rPr>
      <t>2</t>
    </r>
    <r>
      <rPr>
        <sz val="11"/>
        <color theme="1"/>
        <rFont val="Calibri"/>
        <family val="2"/>
        <scheme val="minor"/>
      </rPr>
      <t xml:space="preserve"> collector, EF=0.9, 55 gal)</t>
    </r>
  </si>
  <si>
    <t>Miscellaneous Electrical Loads (kWh/yr)</t>
  </si>
  <si>
    <t>Ventilation Fans (kWh/yr)</t>
  </si>
  <si>
    <t>Large Appliances (kWh/yr)</t>
  </si>
  <si>
    <t>Lights (kWh/yr)</t>
  </si>
  <si>
    <t>Cooling Fan/Pump (kWh/yr)</t>
  </si>
  <si>
    <t>Heating Fan/Pump (kWh/yr)</t>
  </si>
  <si>
    <t>Cooling Plant Energy (kWh/yr)</t>
  </si>
  <si>
    <t>Heating Plant Energy (kWh/yr)</t>
  </si>
  <si>
    <t>Supplemental Heating Energy (kWh/yr)</t>
  </si>
  <si>
    <t>Domestic Hot Water (kWh/yr)</t>
  </si>
  <si>
    <t>Supplemental Hot Water Heating (kWh/yr)</t>
  </si>
  <si>
    <t>Total Home Energy (kWh/yr)</t>
  </si>
  <si>
    <t>Simulated Annual Savings (kWh/yr)</t>
  </si>
  <si>
    <t>Program Estimated Annual Savings (kWh/yr)</t>
  </si>
  <si>
    <t>Simulation as a Percent of Program Estimate (%)</t>
  </si>
  <si>
    <t>Baseline (DHW EF=0.95, 50 gal)</t>
  </si>
  <si>
    <r>
      <t>Solar Hot Water Heater (40 ft</t>
    </r>
    <r>
      <rPr>
        <vertAlign val="superscript"/>
        <sz val="10"/>
        <color theme="1"/>
        <rFont val="Arial"/>
        <family val="2"/>
      </rPr>
      <t>2</t>
    </r>
    <r>
      <rPr>
        <sz val="11"/>
        <color theme="1"/>
        <rFont val="Calibri"/>
        <family val="2"/>
        <scheme val="minor"/>
      </rPr>
      <t xml:space="preserve"> collector, EF=0.95, 55 gal)</t>
    </r>
  </si>
  <si>
    <t>Measure Case</t>
  </si>
  <si>
    <t>Annual Savings (kWh/yr)</t>
  </si>
  <si>
    <t>Gross Coincident Demand Reduction (Winter kW)</t>
  </si>
  <si>
    <t>Standard Insulation Upgrade Measure Comparisons</t>
  </si>
  <si>
    <t>Baseline (Ceiling Insulation = R-0)</t>
  </si>
  <si>
    <t>Insulation Improvement (Ceiling Insulation = R-19)</t>
  </si>
  <si>
    <t>No Similar Upgrades Reported</t>
  </si>
  <si>
    <t>Baseline (Ceiling Insulation = R-11)</t>
  </si>
  <si>
    <t>Insulation Improvement (Ceiling Insulation = R-30)</t>
  </si>
  <si>
    <t>Baseline (Ceiling Insulation = R-19)</t>
  </si>
  <si>
    <t>Window-Film Measure Comparions</t>
  </si>
  <si>
    <t>Baseline (Single-Pane, Metal Frame, U=1.16, SHGC=0.76)</t>
  </si>
  <si>
    <t>Window-Film (Single-Pane, Metal Frame, U=0.88, SHGC=0.41)</t>
  </si>
  <si>
    <t>Baseline (Single-Pane, Non-Metal Frame, U=0.84, SHGC=0.63)</t>
  </si>
  <si>
    <t>Window-Film (Single-Pane, Non-Metal Frame, U=0.63, SHGC=0.34)</t>
  </si>
  <si>
    <t>Baseline (Double-Pane, Metal Frame, U=0.76, SHGC=0.67)</t>
  </si>
  <si>
    <t>Window-Film (Double-Pane, Metal Frame, U=0.57, SHGC=0.36)</t>
  </si>
  <si>
    <t>Baseline (Double-Pane, Non-Metal Frame, U=0.49, SHGC=0.56)</t>
  </si>
  <si>
    <t>Window-Film (Double-Pane, Non-Metal Frame, U=0.37, SHGC=0.3)</t>
  </si>
  <si>
    <t>Prior Values</t>
  </si>
  <si>
    <t>Updated Values</t>
  </si>
  <si>
    <t>Energy Savings (kWh/yr)</t>
  </si>
  <si>
    <t>Insulation Rebate Summary - Prior</t>
  </si>
  <si>
    <t>Insulation Rebate Summary - Current</t>
  </si>
  <si>
    <t>Est kW Savings per Household</t>
  </si>
  <si>
    <t>Insulation Rebate Summary - Updated</t>
  </si>
  <si>
    <t>Demand Savings (Peak kW)</t>
  </si>
  <si>
    <t>Deemed Savings</t>
  </si>
  <si>
    <t>F34ft2 B104ft2 L41ft2 R18ft2</t>
  </si>
  <si>
    <t>Total Modeled Window Area</t>
  </si>
  <si>
    <t>Average Single Pane</t>
  </si>
  <si>
    <t>Average Double Pane</t>
  </si>
  <si>
    <t>Annual Savings (kWh/ft^2/yr)</t>
  </si>
  <si>
    <t>Example</t>
  </si>
  <si>
    <t>Avoided Costs</t>
  </si>
  <si>
    <t>Cooperative</t>
  </si>
  <si>
    <t>Class</t>
  </si>
  <si>
    <t>kWh_Sales</t>
  </si>
  <si>
    <t>Revenue</t>
  </si>
  <si>
    <t>Other</t>
  </si>
  <si>
    <t>Suwannee Valley</t>
  </si>
  <si>
    <t>Withlacoochee River</t>
  </si>
  <si>
    <t>*Source: Financial_Statement 15-0902-01 C00 (2015 Financial Forecast - Final)</t>
  </si>
  <si>
    <t>Rate</t>
  </si>
  <si>
    <t>Estimate</t>
  </si>
  <si>
    <t>Avg. Member Wholesale Rate ($/MWH)</t>
  </si>
  <si>
    <t>Rate ($/kWh)</t>
  </si>
  <si>
    <t>Type</t>
  </si>
  <si>
    <t>SECI Generation Planning Group</t>
  </si>
  <si>
    <t>Intergrated Resource Plan (IRP) Discount Rate %</t>
  </si>
  <si>
    <t>Source:  SECI Generation Planning Group</t>
  </si>
  <si>
    <t xml:space="preserve">IRP = </t>
  </si>
  <si>
    <t>$/kWh Avoided Utility Energy Cost</t>
  </si>
  <si>
    <t>$/kWh Forecasted</t>
  </si>
  <si>
    <t>Natural Gas $/Dth Commodity Price *</t>
  </si>
  <si>
    <t>Natural Gas $/Dth Change</t>
  </si>
  <si>
    <t>$/kWh Based on Gas Price Escalation</t>
  </si>
  <si>
    <t>* 2015 Financial Forecast assumptions</t>
  </si>
  <si>
    <t>$/kW Avoided Utility Capacity Cost *</t>
  </si>
  <si>
    <t>Combustion Turbine</t>
  </si>
  <si>
    <t>Combined Cycle</t>
  </si>
  <si>
    <t>Capacity $/kW-mo</t>
  </si>
  <si>
    <t>Fixed O&amp;M $/kW-mo</t>
  </si>
  <si>
    <t>Total $/kW-mo</t>
  </si>
  <si>
    <t>* P2021 generic assumptions with Levelized Capacity $/kW-mo</t>
  </si>
  <si>
    <t>$/kW Avoided Utility Transmission Cost</t>
  </si>
  <si>
    <t>Average Transmission $/kW-mo</t>
  </si>
  <si>
    <t>* 2015 Financial Forecast assumptions (SUPL) as revised June 2016</t>
  </si>
  <si>
    <t>$/kWh Forecast Blend</t>
  </si>
  <si>
    <t>Lookup ID</t>
  </si>
  <si>
    <t>Talquin Residential</t>
  </si>
  <si>
    <t>Talquin Commercial</t>
  </si>
  <si>
    <t>Tri-County Residential</t>
  </si>
  <si>
    <t>Tri-County Commercial</t>
  </si>
  <si>
    <t>Suwannee Valley Residential</t>
  </si>
  <si>
    <t>Suwannee Valley Commercial</t>
  </si>
  <si>
    <t>Clay Residential</t>
  </si>
  <si>
    <t>Clay Commercial</t>
  </si>
  <si>
    <t>Central Florida Residential</t>
  </si>
  <si>
    <t>Central Florida Commercial</t>
  </si>
  <si>
    <t>Sumter Residential</t>
  </si>
  <si>
    <t>Sumter Commercial</t>
  </si>
  <si>
    <t>Withlacoochee River Residential</t>
  </si>
  <si>
    <t>Withlacoochee River Commercial</t>
  </si>
  <si>
    <t>Peace River Residential</t>
  </si>
  <si>
    <t>Peace River Commercial</t>
  </si>
  <si>
    <t>Glades Residential</t>
  </si>
  <si>
    <t>Glades Commercial</t>
  </si>
  <si>
    <t>Forecast Year</t>
  </si>
  <si>
    <t>Unused</t>
  </si>
  <si>
    <t>EUL Year</t>
  </si>
  <si>
    <t>Forecast Start Year</t>
  </si>
  <si>
    <t>$/kW</t>
  </si>
  <si>
    <t>$/kW-Yr Avoided Capacity</t>
  </si>
  <si>
    <t>Blended</t>
  </si>
  <si>
    <t>The Integrated Resource Plan (IRP) Discount Rate</t>
  </si>
  <si>
    <t>Workbook Tab</t>
  </si>
  <si>
    <t>MEMBER DISTRIBUTION ELECTRIC COOPERATIVES</t>
  </si>
  <si>
    <t>TALQUIN ELECTRIC COOPERATIVE (TEC)</t>
  </si>
  <si>
    <t>TRI-COUNTY ELECTRIC COOPERATIVE (TCEC)</t>
  </si>
  <si>
    <t>SUWANNEE VALLEY ELECTRIC COOPERATIVE (SVEC)</t>
  </si>
  <si>
    <t>CLAY ELECTRIC COOPERATIVE (CEC)</t>
  </si>
  <si>
    <t>CENTRAL FLORIDA ELECTRIC COOPERATIVE (CFEC)</t>
  </si>
  <si>
    <t>SUMTER ELECTRIC COOPERATIVE (SECO)</t>
  </si>
  <si>
    <t>WITHLACOOCHEE RIVER ELECTRIC COOPERATIVE (WREC)</t>
  </si>
  <si>
    <t>PEACE RIVER ELECTRIC COOPERATIVE (PRECO)</t>
  </si>
  <si>
    <t>GLADES ELECTRIC COOPERATIVE (GEC)</t>
  </si>
  <si>
    <t>Energy Efficiency Improvements</t>
  </si>
  <si>
    <t>Co-op</t>
  </si>
  <si>
    <t>Measure Type</t>
  </si>
  <si>
    <t>Baseline Fixture</t>
  </si>
  <si>
    <t xml:space="preserve">Replacement Fixture </t>
  </si>
  <si>
    <t>Quantity</t>
  </si>
  <si>
    <t>Outdoor Security Lighting</t>
  </si>
  <si>
    <t>70 W LED</t>
  </si>
  <si>
    <t>Replace on Burnout</t>
  </si>
  <si>
    <t>100W MH</t>
  </si>
  <si>
    <t>Lighting Retrofits</t>
  </si>
  <si>
    <t>No Specifics Recorded</t>
  </si>
  <si>
    <t>Insualtion Upgrades</t>
  </si>
  <si>
    <t>HVAC Replacement</t>
  </si>
  <si>
    <t>Limited to a few locations</t>
  </si>
  <si>
    <t>Area Lighting</t>
  </si>
  <si>
    <t>Replace</t>
  </si>
  <si>
    <t xml:space="preserve">Install new LEDs instead of installing new 100W HPS </t>
  </si>
  <si>
    <t>Parking Lighting</t>
  </si>
  <si>
    <t>1000W</t>
  </si>
  <si>
    <t>283 W</t>
  </si>
  <si>
    <t>Interior Lighting</t>
  </si>
  <si>
    <t>26W 4' Fluorescent bulbs</t>
  </si>
  <si>
    <t>2'X2' 32W LED fixtures</t>
  </si>
  <si>
    <t>130 baseline bulbsreplaced with 30 LEDs</t>
  </si>
  <si>
    <t>Member Services Area</t>
  </si>
  <si>
    <t>Warehouse Lighting</t>
  </si>
  <si>
    <t>400W Flood</t>
  </si>
  <si>
    <t>32W High-bay</t>
  </si>
  <si>
    <t xml:space="preserve">Wauchula Operations Warehouse </t>
  </si>
  <si>
    <t>400W LED</t>
  </si>
  <si>
    <t>Manatee Operations Warehouse (replacing 400 W Flood with 400 W LED fixture-by-fixture seems odd)</t>
  </si>
  <si>
    <t>200W Flood</t>
  </si>
  <si>
    <t>200W LED Flood</t>
  </si>
  <si>
    <t xml:space="preserve">Wauchula Admin building </t>
  </si>
  <si>
    <t>26 W Fluorescents</t>
  </si>
  <si>
    <t>33 baseline fluorescnts with 11 LED replacements</t>
  </si>
  <si>
    <t xml:space="preserve">Dispatch Department </t>
  </si>
  <si>
    <t>26W CAN Lights</t>
  </si>
  <si>
    <t>13W LED</t>
  </si>
  <si>
    <t>As needed</t>
  </si>
  <si>
    <t>highest SEER rated replaceements available to co-op</t>
  </si>
  <si>
    <t>Thermostat Replacement</t>
  </si>
  <si>
    <t>old dial thermostats</t>
  </si>
  <si>
    <t>programmable digital models</t>
  </si>
  <si>
    <t>to allow for A/C unit shutdown during non-occupied times</t>
  </si>
  <si>
    <t>Street Lighting</t>
  </si>
  <si>
    <t>400W MH</t>
  </si>
  <si>
    <t>80W LED</t>
  </si>
  <si>
    <t>Engineering/Operations Building</t>
  </si>
  <si>
    <t>34W T12</t>
  </si>
  <si>
    <t>18W LED</t>
  </si>
  <si>
    <t>162 baseline lamps replaced with 108 replacement lamps</t>
  </si>
  <si>
    <t xml:space="preserve"> 2x4 recessed fluorescent, 2 lamp, 32W, 4 foot, T8</t>
  </si>
  <si>
    <t xml:space="preserve">Call Center/Print Shop (Building 46) – New lighting </t>
  </si>
  <si>
    <t>2x4 recessed fluorescent, 3 lamp, 32W, 4 foot, T8 lamps</t>
  </si>
  <si>
    <t>Recessed LED downlight, 25 watt, LED Driver</t>
  </si>
  <si>
    <t xml:space="preserve"> 8 foot linear suspended LED, 74 watt, LED driver</t>
  </si>
  <si>
    <t>LED wallpack, 50 watt, LED driver</t>
  </si>
  <si>
    <t>2x4 recessed fluorescent, 2 lamp, 32W, 4 foot, T8 lamps</t>
  </si>
  <si>
    <t xml:space="preserve">Data Center (Building 5) – New lighting </t>
  </si>
  <si>
    <t>Exterior Lighting</t>
  </si>
  <si>
    <t xml:space="preserve"> LED wallpack, 50 watt, LED driver</t>
  </si>
  <si>
    <t xml:space="preserve">Chiller Yard – New lighting </t>
  </si>
  <si>
    <t xml:space="preserve">Building #1 – New lighting </t>
  </si>
  <si>
    <t xml:space="preserve">Building #2 – New lighting </t>
  </si>
  <si>
    <t>72 W LEDs</t>
  </si>
  <si>
    <t>HVAC</t>
  </si>
  <si>
    <t xml:space="preserve">Headquarters Phase 1 and 2 - Higher efficiency units, occupancy controls, efficienct CHW unloading down to10% of capacity, Icynene insulation was and is installed  </t>
  </si>
  <si>
    <t>Envelope</t>
  </si>
  <si>
    <t xml:space="preserve">Icynene insulation was and is installed  </t>
  </si>
  <si>
    <t xml:space="preserve">Headquarters Phase 1 and 2 </t>
  </si>
  <si>
    <t>New LED recessed lighting</t>
  </si>
  <si>
    <t>Central Purchasing Office</t>
  </si>
  <si>
    <t>Higher efficiency AC unit</t>
  </si>
  <si>
    <t>No Occuancy Sensors</t>
  </si>
  <si>
    <t>Occupancy Sensors</t>
  </si>
  <si>
    <t>Palatka District Office</t>
  </si>
  <si>
    <t>40W T12 Lamps</t>
  </si>
  <si>
    <t>28W T8 Lamps</t>
  </si>
  <si>
    <t>AC Units (SEER 12 Estimated)</t>
  </si>
  <si>
    <t>Higher efficiency AC unit (14.5 SEER)</t>
  </si>
  <si>
    <t>Standard Thermostats</t>
  </si>
  <si>
    <t>Programmable Thermostats</t>
  </si>
  <si>
    <t>Wall (R7) and Roof (R20) Insulation</t>
  </si>
  <si>
    <t>Improved Wall (R13) and Roof (R30) Insulation</t>
  </si>
  <si>
    <t>Plumbing</t>
  </si>
  <si>
    <t>Lower Flow Fixtures</t>
  </si>
  <si>
    <t>Gainesville District Office - project simialr to Palatka but completed prior to 2015</t>
  </si>
  <si>
    <t>Lake City District Office - project simialr to Palatka but completed prior to 2015</t>
  </si>
  <si>
    <t xml:space="preserve">Withlacoochee River </t>
  </si>
  <si>
    <t>General Office - Several AC unit replacements</t>
  </si>
  <si>
    <t>1000W MH</t>
  </si>
  <si>
    <t>316W LED</t>
  </si>
  <si>
    <t>WREC Bayonet Point Office</t>
  </si>
  <si>
    <t>250W HPS</t>
  </si>
  <si>
    <t>107W LED</t>
  </si>
  <si>
    <t>WREC General Office</t>
  </si>
  <si>
    <t>New Headquarters Building</t>
  </si>
  <si>
    <t>Fall of 2012</t>
  </si>
  <si>
    <t>Standing Seam Metal Roof</t>
  </si>
  <si>
    <t>ICF Building</t>
  </si>
  <si>
    <t>Chiller w/ EMS</t>
  </si>
  <si>
    <t>Lighting Controls</t>
  </si>
  <si>
    <t>T5/motion controlled (w/ some LED)</t>
  </si>
  <si>
    <t>Year-over-year Energy Reductions</t>
  </si>
  <si>
    <t>2016 (YTD)</t>
  </si>
  <si>
    <t>Unsure how this was measured</t>
  </si>
  <si>
    <t>Year-Over-Year Line Losses</t>
  </si>
  <si>
    <t>2014 (Actual)</t>
  </si>
  <si>
    <t>2015 (Actual)</t>
  </si>
  <si>
    <t>2016 (Predicted)</t>
  </si>
  <si>
    <t>Total Energy Delivered in 2015</t>
  </si>
  <si>
    <t>2015 Energy Delivered (kWh)</t>
  </si>
  <si>
    <t>Transmission/Distribution Efficiency Improvements</t>
  </si>
  <si>
    <t>Upgrade</t>
  </si>
  <si>
    <t>Conservation Voltage Reduction</t>
  </si>
  <si>
    <t>52 feeders</t>
  </si>
  <si>
    <t>Total demand reduction due to CVR efforts is between 1.2% and 2.0%.</t>
  </si>
  <si>
    <t>76% of load served by substations actively implementing CVR</t>
  </si>
  <si>
    <t>voltage reduction varies per substation from 4% to 2%. Not uncommon to see 25-30MW of reduction within 45-60 minutes of implementation</t>
  </si>
  <si>
    <t>Feeder Voltage Conversion</t>
  </si>
  <si>
    <t>15 kV</t>
  </si>
  <si>
    <t>25 kV</t>
  </si>
  <si>
    <t>71 miles</t>
  </si>
  <si>
    <t>5% Voltage decrease during load management calls. Anticipate a 8-10% demand reduction. 1.5MW reduction @ peak. 6 feeders, 4-6 hours @ projected peak day</t>
  </si>
  <si>
    <t>Substation/Feeder Voltage Conversion</t>
  </si>
  <si>
    <t>12.47 kV</t>
  </si>
  <si>
    <t>24.9 kV</t>
  </si>
  <si>
    <t>2 of 5 substations</t>
  </si>
  <si>
    <t>should be near completion for two substations and their feeders in the Fall of 2016</t>
  </si>
  <si>
    <t>Active Capacitor Bank Placement program</t>
  </si>
  <si>
    <t xml:space="preserve">72900 kVAR </t>
  </si>
  <si>
    <t>3000 kVAR addition in 2016 &amp; update controls</t>
  </si>
  <si>
    <t>WREC does use 1% to 3% CVR during peak load events and there are total of  211 feeders</t>
  </si>
  <si>
    <t>New Substation Construction</t>
  </si>
  <si>
    <t>2 new 30 MVA substations</t>
  </si>
  <si>
    <t>Wesley Chapel area</t>
  </si>
  <si>
    <t>3% reduction</t>
  </si>
  <si>
    <t>Switched Capacitor Banks</t>
  </si>
  <si>
    <t>4 out of 16 Substations</t>
  </si>
  <si>
    <t>added one station in 2015.</t>
  </si>
  <si>
    <t>Y</t>
  </si>
  <si>
    <t>Unknown</t>
  </si>
  <si>
    <t>283W</t>
  </si>
  <si>
    <t>107W</t>
  </si>
  <si>
    <t>316W</t>
  </si>
  <si>
    <t>LED Area Swapouts</t>
  </si>
  <si>
    <t>LED Parking Lighting</t>
  </si>
  <si>
    <t>1000W to 283W</t>
  </si>
  <si>
    <t>Costs not reported, No demand savings claimed</t>
  </si>
  <si>
    <t>Pre Qty</t>
  </si>
  <si>
    <t>Post Qty</t>
  </si>
  <si>
    <t>Pre-Fixture Watts</t>
  </si>
  <si>
    <t>Post-Fixture Watts</t>
  </si>
  <si>
    <t>Fixture Delta Watts</t>
  </si>
  <si>
    <t>Space Type</t>
  </si>
  <si>
    <t>Office</t>
  </si>
  <si>
    <t>Warehouse</t>
  </si>
  <si>
    <t>kWh Savings</t>
  </si>
  <si>
    <t>Utility System Efficiency Lighting</t>
  </si>
  <si>
    <t>Include Flag (1 = Yes, 0 = No)</t>
  </si>
  <si>
    <t>No Delta Watts</t>
  </si>
  <si>
    <t xml:space="preserve">Noted as New Lighting but no baseline data. Can calculate savings once data has been received. </t>
  </si>
  <si>
    <t>Post-Fixture Rated HOU</t>
  </si>
  <si>
    <t>Post-Fixture Life (Yrs)</t>
  </si>
  <si>
    <t>DEER 2016</t>
  </si>
  <si>
    <t>Building Type Code</t>
  </si>
  <si>
    <t>Building Type</t>
  </si>
  <si>
    <t>Operating Hours</t>
  </si>
  <si>
    <t>Assembly</t>
  </si>
  <si>
    <t>Primary School</t>
  </si>
  <si>
    <t>Secondary School</t>
  </si>
  <si>
    <t>Community College</t>
  </si>
  <si>
    <t>University</t>
  </si>
  <si>
    <t>Relocatable Classroom</t>
  </si>
  <si>
    <t>Grocery</t>
  </si>
  <si>
    <t>Hospital</t>
  </si>
  <si>
    <t>Nursing Home</t>
  </si>
  <si>
    <t>Hotel</t>
  </si>
  <si>
    <t>Motel</t>
  </si>
  <si>
    <t>Not in Sample</t>
  </si>
  <si>
    <t>Bio/Tech Manuf.</t>
  </si>
  <si>
    <t>Light Industrial Manuf.</t>
  </si>
  <si>
    <t>Large Office</t>
  </si>
  <si>
    <t>Small Office</t>
  </si>
  <si>
    <t>Sit-Down Restaurant</t>
  </si>
  <si>
    <t>Fast-Food Restaurant</t>
  </si>
  <si>
    <t>Department Store</t>
  </si>
  <si>
    <t>Big Box Retail</t>
  </si>
  <si>
    <t>Small Retail</t>
  </si>
  <si>
    <t>Conditioned Storage</t>
  </si>
  <si>
    <t>Unconditioned Storage</t>
  </si>
  <si>
    <t>Refrigerated Warehouse</t>
  </si>
  <si>
    <t>Asm</t>
  </si>
  <si>
    <t>EPr</t>
  </si>
  <si>
    <t>ESe</t>
  </si>
  <si>
    <t>ECC</t>
  </si>
  <si>
    <t>EUn</t>
  </si>
  <si>
    <t>ERC</t>
  </si>
  <si>
    <t>Gro</t>
  </si>
  <si>
    <t>Hsp</t>
  </si>
  <si>
    <t>Nrs</t>
  </si>
  <si>
    <t>Htl</t>
  </si>
  <si>
    <t>Mtl</t>
  </si>
  <si>
    <t>OfL</t>
  </si>
  <si>
    <t>OfS</t>
  </si>
  <si>
    <t>RSD</t>
  </si>
  <si>
    <t>RFF</t>
  </si>
  <si>
    <t>Rt3</t>
  </si>
  <si>
    <t>RtL</t>
  </si>
  <si>
    <t>RtS</t>
  </si>
  <si>
    <t>SCn</t>
  </si>
  <si>
    <t>SUn</t>
  </si>
  <si>
    <t>WRf</t>
  </si>
  <si>
    <t>COT</t>
  </si>
  <si>
    <t>EDU</t>
  </si>
  <si>
    <t>GRO</t>
  </si>
  <si>
    <t>HEA</t>
  </si>
  <si>
    <t>LDG</t>
  </si>
  <si>
    <t>OFF</t>
  </si>
  <si>
    <t>RST</t>
  </si>
  <si>
    <t>WRH</t>
  </si>
  <si>
    <t>RWH</t>
  </si>
  <si>
    <t>Building Type Mapped</t>
  </si>
  <si>
    <t>Education</t>
  </si>
  <si>
    <t>Health</t>
  </si>
  <si>
    <t>Lodging</t>
  </si>
  <si>
    <t>Restaurant</t>
  </si>
  <si>
    <t>Retail</t>
  </si>
  <si>
    <t>Parking Garage</t>
  </si>
  <si>
    <t>Refrigerated Case w/occupancy sensors</t>
  </si>
  <si>
    <t>CMUA TRM</t>
  </si>
  <si>
    <t>Operating Hours Table</t>
  </si>
  <si>
    <t>EUL Table</t>
  </si>
  <si>
    <t>Rated Hours</t>
  </si>
  <si>
    <t>Suggested EUL</t>
  </si>
  <si>
    <t>Halogen</t>
  </si>
  <si>
    <t>HID</t>
  </si>
  <si>
    <t>CCFL</t>
  </si>
  <si>
    <t>CFL</t>
  </si>
  <si>
    <t>LED</t>
  </si>
  <si>
    <t>Integrated Ballast LED</t>
  </si>
  <si>
    <t>T5 or Premium T8 Replacing T12</t>
  </si>
  <si>
    <t>Lamp Type Mapped</t>
  </si>
  <si>
    <t>LF</t>
  </si>
  <si>
    <t>T5 or T8</t>
  </si>
  <si>
    <t>Modular CFL or CCFL</t>
  </si>
  <si>
    <t>Annual HOU</t>
  </si>
  <si>
    <t>HVAC Interactive Effects  (Non-CFL) Updated via DEER 2015 - Existing Vintage</t>
  </si>
  <si>
    <t>HVAC Interactive Effects  (CFL) Updated via DEER 2015 - Existing Vintage</t>
  </si>
  <si>
    <t xml:space="preserve">Peak Coincident Demand Factors (CDF) </t>
  </si>
  <si>
    <t>Interactive Effects (therm/kWh) - Existing Vintage</t>
  </si>
  <si>
    <t>Climate Zone</t>
  </si>
  <si>
    <t>Energy</t>
  </si>
  <si>
    <t>Demand</t>
  </si>
  <si>
    <t>Non-CFLs</t>
  </si>
  <si>
    <t>CFLs</t>
  </si>
  <si>
    <t>DEER Interactive Effects</t>
  </si>
  <si>
    <t>IOU</t>
  </si>
  <si>
    <t>100W HPS to 48W LED</t>
  </si>
  <si>
    <t>1000W MH to 316W LED</t>
  </si>
  <si>
    <t>250W HPS to 107W LED</t>
  </si>
  <si>
    <t>Included in Model</t>
  </si>
  <si>
    <t>100W HPS to 72W LED</t>
  </si>
  <si>
    <t>No demand savings claimed, Use 70W LED as Proxy</t>
  </si>
  <si>
    <t>72W LED</t>
  </si>
  <si>
    <t>High Efficiency Facilities Lighting</t>
  </si>
  <si>
    <t>No Specifics Recorded - Used Seminole Reported Data</t>
  </si>
  <si>
    <t>N</t>
  </si>
  <si>
    <t>Conservation Voltage Reduction (CVR)</t>
  </si>
  <si>
    <t>kWh Delivered</t>
  </si>
  <si>
    <t>CVR Average 2%</t>
  </si>
  <si>
    <t>Actual</t>
  </si>
  <si>
    <t>Total Co-op + Seminole</t>
  </si>
  <si>
    <t>Excluding T&amp;D Losses - Impact at Customer Meter</t>
  </si>
  <si>
    <t>Including T&amp;D Losses - Impact at Generator</t>
  </si>
  <si>
    <t>TBD</t>
  </si>
  <si>
    <t>$/kWh, $/kW</t>
  </si>
  <si>
    <t>Seminole Avoided Cost</t>
  </si>
  <si>
    <t>C8</t>
  </si>
  <si>
    <t>B15:Y51</t>
  </si>
  <si>
    <t>Avoided costs of capacity and generation by by measure life</t>
  </si>
  <si>
    <t>Year of analysis for modeling - singular input which carried through the spreadsheet</t>
  </si>
  <si>
    <t>YYYY</t>
  </si>
  <si>
    <t>Save Spend Summary</t>
  </si>
  <si>
    <t>C2</t>
  </si>
  <si>
    <t>&gt;&gt;&gt; Program Worksheets &gt;&gt;&gt; 'Coop Name 2015'</t>
  </si>
  <si>
    <t>C:C (Starting C:19)</t>
  </si>
  <si>
    <t>H:I (Starting H:19)</t>
  </si>
  <si>
    <t>The Effective Useful Life (EUL) of the measure in years</t>
  </si>
  <si>
    <t>J:J (Starting J:19)</t>
  </si>
  <si>
    <t xml:space="preserve">The following are a general list of user-definable inputs which are housed in this workbook and used to track program metrics: </t>
  </si>
  <si>
    <t>Unit Definition</t>
  </si>
  <si>
    <t>Implementation Costs</t>
  </si>
  <si>
    <t>Incentive Costs</t>
  </si>
  <si>
    <t>Total Program Costs</t>
  </si>
  <si>
    <t>The units basis for which savings are calculated</t>
  </si>
  <si>
    <t>The specific energy efficiency program measure (include baseline from which measure savings are generated as well)</t>
  </si>
  <si>
    <t>Text String</t>
  </si>
  <si>
    <t>Total Annual MWh (Detailed)</t>
  </si>
  <si>
    <t>Total Lifetime MWh (Detailed)</t>
  </si>
  <si>
    <t>Total Coincident Demand (kW) (Detailed)</t>
  </si>
  <si>
    <t>The energy efficiency program from which the specific measures of interest are assigned</t>
  </si>
  <si>
    <t>A:A (Starting A:19)</t>
  </si>
  <si>
    <t>B:B (Starting B:19)</t>
  </si>
  <si>
    <t>Location (Cell and/or Range)</t>
  </si>
  <si>
    <t>F:F (Starting F:19)</t>
  </si>
  <si>
    <t>The number of units corresponding to the Unit Definition</t>
  </si>
  <si>
    <t>Numeric</t>
  </si>
  <si>
    <t>G:G (Starting G:19)</t>
  </si>
  <si>
    <t>The incremental cost of the measure used in cost effectiveness calculations</t>
  </si>
  <si>
    <t>($) per Measure</t>
  </si>
  <si>
    <t>Z:Z (Starting Z:19)</t>
  </si>
  <si>
    <t>Coop specific expected escalation rate of retail rates - Default 0%</t>
  </si>
  <si>
    <t>Coop specific expected escalation rate of program costs - Default 0%</t>
  </si>
  <si>
    <t>Coop specific expected escalation rate of avoided costs - Default 0%</t>
  </si>
  <si>
    <t>T6</t>
  </si>
  <si>
    <t>T7</t>
  </si>
  <si>
    <t>T8</t>
  </si>
  <si>
    <t>Retail Rates of Energy by Sector</t>
  </si>
  <si>
    <t>The retail rates of energy by sector as used in cost effectiveness testing to calculate the customer cost savings per measure unit</t>
  </si>
  <si>
    <t>($) per kWh by Customer Class</t>
  </si>
  <si>
    <t>2015 Annual Sales and Revenue</t>
  </si>
  <si>
    <t>B2:H29</t>
  </si>
  <si>
    <t>Transmission and Distribution Loss Factors</t>
  </si>
  <si>
    <t>T&amp;D Loss Factors</t>
  </si>
  <si>
    <t>B16:AD25</t>
  </si>
  <si>
    <t>Transmission and Distribution Loss Factors from Seminole to Coop and Coop to Customer Meter on a per year basis</t>
  </si>
  <si>
    <t>Total Program Costs by Coop and Seminole Total</t>
  </si>
  <si>
    <t>MWh Lifetime Total</t>
  </si>
  <si>
    <t>kW Coincident Total</t>
  </si>
  <si>
    <t>MWh Total</t>
  </si>
  <si>
    <t>Total Implementation Costs by Coop and Seminole Total</t>
  </si>
  <si>
    <t>Total Incentive Costs by Coop and Seminole Total</t>
  </si>
  <si>
    <t>Total Annual MWh by Coop and Seminole Total - Views provided with and without Transmission and Distribution Losses</t>
  </si>
  <si>
    <t>Total Lifetime MWh by Coop and Seminole Total - Views provided with and without Transmission and Distribution Losses</t>
  </si>
  <si>
    <t>Total Coincident Demand kW by Coop and Seminole Total - Views provided with and without Transmission and Distribution Losses</t>
  </si>
  <si>
    <t>Total Annual MWh by Coop and Seminole Total by Program Type - Views provided with and without Transmission and Distribution Losses</t>
  </si>
  <si>
    <t>Total Lifetime MWh by Coop and Seminole Total by Program Type - Views provided with and without Transmission and Distribution Losses</t>
  </si>
  <si>
    <t>Total Coincident Demand (kW) by Coop and Seminole Total by Program Type - Views provided with and without Transmission and Distribution Losses</t>
  </si>
  <si>
    <t>($) by Program</t>
  </si>
  <si>
    <t>Detailed Save Spend Tables</t>
  </si>
  <si>
    <t>C:C (Starting C6 &amp; C19)</t>
  </si>
  <si>
    <t>D:D (Starting D6 &amp; D19)</t>
  </si>
  <si>
    <t>E:E (Starting E6 &amp; E19)</t>
  </si>
  <si>
    <t>C:C (Starting C31)</t>
  </si>
  <si>
    <t>D:D (Starting D31)</t>
  </si>
  <si>
    <t>E:E (Starting E31)</t>
  </si>
  <si>
    <t>AB:AE (Results Starting AE19)</t>
  </si>
  <si>
    <t>AF:AI (Results Starting AI19)</t>
  </si>
  <si>
    <t>AJ:AM (Results Starting AM19)</t>
  </si>
  <si>
    <t>AN:AQ (Results Starting AQ19)</t>
  </si>
  <si>
    <t>D:M (Starting D7 &amp; D34)</t>
  </si>
  <si>
    <t>D:M (Starting D16 &amp; D43)</t>
  </si>
  <si>
    <t>D:M (Starting D25 &amp; D52)</t>
  </si>
  <si>
    <t xml:space="preserve">The following member service territories are represented in this tool: </t>
  </si>
  <si>
    <t>EIA-861 Forms Contained in Tabs to Right</t>
  </si>
  <si>
    <t>Cost Effectiveness Modeling Input Assumptions Contained in Tabs to Right</t>
  </si>
  <si>
    <t>D:D (Starting D:19)</t>
  </si>
  <si>
    <t>Most comprehensive test that considers all benefits and costs to the service territory (utility + customers)</t>
  </si>
  <si>
    <t>References Not Used Directly in the Model Contained in Tabs to Right</t>
  </si>
  <si>
    <t>QC</t>
  </si>
  <si>
    <t>Building Roof AC Unit Replacements</t>
  </si>
  <si>
    <t>Outdoor Lighting with LEDS</t>
  </si>
  <si>
    <t>\</t>
  </si>
  <si>
    <t>SECI STK #</t>
  </si>
  <si>
    <t>Installed Quantity</t>
  </si>
  <si>
    <t>Unit Price</t>
  </si>
  <si>
    <t>100 watt High Bay</t>
  </si>
  <si>
    <t>4’ 40 watt T12 replacement - 2 bulb</t>
  </si>
  <si>
    <t>100 watt - Boiler Lighting</t>
  </si>
  <si>
    <t>100 watt High Bay - Wet Locations</t>
  </si>
  <si>
    <t>100 watt High Bay - Pancake Style</t>
  </si>
  <si>
    <t xml:space="preserve">Totals </t>
  </si>
  <si>
    <t>* The installed quantity of SECI 270651732 is an estimate due to a change in the product description of the 100-watt Metal Halide to the LED in 2015.  (The 100-watt MH became obsolete).</t>
  </si>
  <si>
    <t>LED light installations at SGS</t>
  </si>
  <si>
    <t xml:space="preserve">At Facilities Headquarters , The Changes we have made starting in 1990 and ending in 2014 have been to Installed a HVAC BAS  Richards Zeta  Control system in 1992 that is running A program called Perfecthost which controls 2 125 ton RTW Trane chillers, cooling towers , air handlers vavs and heat strips it also controls the hot water heaters, and parking lot and outside building lighting, OADampers ,the system also runs and collects data from the 2liebert units in I.S. area and the 6 liebert units and cooling towers  in the EMCC Section of the building ,  it controls over 600 points, This system needs to be replaced  as it is no longer supported, if Seminole approves remolding the Facility this would be a excellent chance for energy saving and incorporating an alternative energy project, 
Seminole is also using the deep well to supply irrigation water to  the cooling towers and save on the water bill 2014 the front towers had a recycling system installed on the water system, replacing the towers and removing the water factor would also now be  possible . 
VFD units on all the 35 year old York Air handlers,  Marley Cooling tower fans, Facilities Equipment has  a mixture of VFD units from square D  to Trane TR1 and TR2 drives. 
All the  inside ceiling 2&amp;3 bulb lighting fixtures were changed  from F40 T 12 Mag ballast to F32 T8 electronic Ballast in 1998 since then 24 fixtures retrofitted To44 Watt LED  , 
2013 Facilities replaced  6, 400w MH lamps with78 Watt LED units and 
9,250 watt fixtures with 28 Watt LED units, also 24 ,30 watt  Emergency light fixtures were replaced with 7  Watt LED,  
Facilities   use to participated in the Green Lights project with Environmental collecting data on the energy savings per year for carbon credits. All Documents  on these upgrades was given to the Facilities Supervisor for file. </t>
  </si>
  <si>
    <t>Pre</t>
  </si>
  <si>
    <t>Post</t>
  </si>
  <si>
    <t>F40T12 Mag Ballast</t>
  </si>
  <si>
    <t>F32 T8 Elec Ballast</t>
  </si>
  <si>
    <t>Qty</t>
  </si>
  <si>
    <t>44W LED</t>
  </si>
  <si>
    <t>400 MH Lamp</t>
  </si>
  <si>
    <t>78W LED</t>
  </si>
  <si>
    <t>250W</t>
  </si>
  <si>
    <t>28W LED</t>
  </si>
  <si>
    <t>30W Emergency Light Fixture</t>
  </si>
  <si>
    <t>7W LED</t>
  </si>
  <si>
    <t>Assume 250W HPS Pre</t>
  </si>
  <si>
    <t>Assume F40T12 Pre</t>
  </si>
  <si>
    <t>SGS</t>
  </si>
  <si>
    <t>HQ</t>
  </si>
  <si>
    <t>Do not know quantity</t>
  </si>
  <si>
    <t>MGS Lighting Efficiency</t>
  </si>
  <si>
    <t>HQ Lighting Efficiency</t>
  </si>
  <si>
    <t>SGS Lighting Efficiency</t>
  </si>
  <si>
    <t>Lamps</t>
  </si>
  <si>
    <t>DSM PORTFOLIO COSTS SUMMARY</t>
  </si>
  <si>
    <t>DSM PORTFOLIO SAVINGS SUMMARY</t>
  </si>
  <si>
    <t>Seminole Facilities</t>
  </si>
  <si>
    <t>Residential Pre-Paid Energy Program</t>
  </si>
  <si>
    <t>Bulb Giveaways (LED and CFL)</t>
  </si>
  <si>
    <t>TOU/Critical Peak Rates</t>
  </si>
  <si>
    <t>Utility System Savings (including CVR and all facilities)</t>
  </si>
  <si>
    <t>Energy Smart Rebates (including all combined measures)</t>
  </si>
  <si>
    <t>Weather stripping</t>
  </si>
  <si>
    <t>LED outdoor lights/streetlights (utility owned/leased)</t>
  </si>
  <si>
    <t>Program Type</t>
  </si>
  <si>
    <t>Including T&amp;D Losses - Impact at Customer Meter</t>
  </si>
  <si>
    <t>Seminole DSM Portfolio</t>
  </si>
  <si>
    <t>Total DSM Portfolio</t>
  </si>
  <si>
    <t>Calculated from Totals</t>
  </si>
  <si>
    <t>Portfolio Lifetime Weighted (by Annual Savings per US EIA Guidance) EUL</t>
  </si>
  <si>
    <t>Weighted EUL (Years)</t>
  </si>
  <si>
    <t>Seminole Portfolio Cost Effectiveness</t>
  </si>
  <si>
    <t>Cost Effectiveness Test</t>
  </si>
  <si>
    <t>Total Resource Cost (TRC)</t>
  </si>
  <si>
    <t>Program Administrator Cost (PAC)</t>
  </si>
  <si>
    <t>Participant Cost Test (PCT)</t>
  </si>
  <si>
    <t>Ratepayer Impact Measure (RIM)</t>
  </si>
  <si>
    <t>PV of Program Benefits ($)</t>
  </si>
  <si>
    <t>PV of Program Costs ($)</t>
  </si>
  <si>
    <t>NPV ($)</t>
  </si>
  <si>
    <t>$/kWh Total Retail Rate</t>
  </si>
  <si>
    <t>All units as kWh and kW</t>
  </si>
  <si>
    <t>Total Portfolio Cost Effectiveness</t>
  </si>
  <si>
    <t>Measure impact source data outlined below</t>
  </si>
  <si>
    <t>Suwannee</t>
  </si>
  <si>
    <t>Peaker Enclosure Light Replacement w/LEDs</t>
  </si>
  <si>
    <t xml:space="preserve">DEER 2016, AR TRM, Engineering Review and Calculations. Details Available in "General Lighting Factors" tab of Goal and Budget Tool. </t>
  </si>
  <si>
    <t xml:space="preserve">APS and SRP Portfolio Filings, Market Research including; Carolinas Efficiency and Opower. </t>
  </si>
  <si>
    <t>Primary Impact Data Source(s)</t>
  </si>
  <si>
    <t xml:space="preserve">Review of Florida Energy Code and Custom NREL BEopt whole house simulation modeling. Housing and efficiency assumptions available in "Beopt Characteristics" tab of Goal and Budget Tool. </t>
  </si>
  <si>
    <t xml:space="preserve">Engineering review of Talquin Electric Cooperative 2014 EUA Impact Study for Residential weather normalized with Cooling and Heating Degree Days (CDD/HDD). </t>
  </si>
  <si>
    <t xml:space="preserve">AR TRM, U.S. DOE Market Data, Engineering Review and Calculations. </t>
  </si>
  <si>
    <t xml:space="preserve">Engineering review of co-op claimed and NEMA Volt/VAR optimization study. </t>
  </si>
  <si>
    <t xml:space="preserve">Engineering review and analysis of provided documentation with provision for avoided O&amp;M from extended lifetime. </t>
  </si>
  <si>
    <t xml:space="preserve">Engineering review and analysis of co-op provided documentation. </t>
  </si>
  <si>
    <t xml:space="preserve">Engineering review of Florida Energy Code and Custom NREL BEopt whole house simulation modeling. Utilized standard deemed savings based on efficiency characteristics from US EPA Energy Star. Housing and efficiency assumptions available in "Beopt Characteristics" tab of Goal and Budget Tool. </t>
  </si>
  <si>
    <t xml:space="preserve">Engineering review of Florida Energy Code and Custom NREL BEopt whole house simulation modeling. Utilized standard deemed savings based on Mid-Atlantic TRM. Housing and efficiency assumptions available in "Beopt Characteristics" tab of Goal and Budget Tool. </t>
  </si>
  <si>
    <r>
      <t>The Goal and Budget Forecast Tool is used to track and report program savings starting from program year (PY) 2015 as a point of reference (EUL Year 0). This tool is also prepared to perform program forecasting based on user definable metrics for savings, program participation, program administrative costs, and incentive costs.</t>
    </r>
    <r>
      <rPr>
        <b/>
        <sz val="11"/>
        <color theme="1"/>
        <rFont val="Calibri"/>
        <family val="2"/>
        <scheme val="minor"/>
      </rPr>
      <t xml:space="preserve">  Instructions for editing for future years: </t>
    </r>
    <r>
      <rPr>
        <sz val="11"/>
        <color theme="1"/>
        <rFont val="Calibri"/>
        <family val="2"/>
        <scheme val="minor"/>
      </rPr>
      <t xml:space="preserve">some tabs on this spreadsheet should be updated annually with current information while other tabs are outputs, reference, or for use by engineers/EM&amp;V only. Please see the top of each tab for instructions for editing. </t>
    </r>
  </si>
  <si>
    <t>Instructions: Output only; DO NOT MODIFY</t>
  </si>
  <si>
    <t>Instructions: Cells that do not include formulas in the Program Worksheets tabs can be edited annually; see instructions at the top of each tab for specifics.</t>
  </si>
  <si>
    <t>Instructions: Top table is for reference only; Do NOT edit rows 6-17. In the remaining tables (starting in row 19), edit only implementation costs, incentives, and # of units (columns C, D, and G) annually with new figures. For the CVR measure, enter the calculated number of kWh in cell G42.</t>
  </si>
  <si>
    <t>Instructions: Top table is for reference only; Do NOT edit rows 6-17. In the remaining tables (starting in row 19), edit only implementation costs, incentives, and # of units (columns C, D, and G) annually with new figures.</t>
  </si>
  <si>
    <t>Instructions: Top table is for reference only; Do NOT edit rows 6-17. In the remaining tables (starting in row 19), edit only implementation costs, incentives, and # of units (columns C, D, and G) annually with new figures. For the CVR measure, enter the calculated number of kWh in cell G44.</t>
  </si>
  <si>
    <t>Instructions: Avoided Cost and T&amp;D Loss Factor Data can be edited annually or as data becomes available. However, Annual S&amp;R and Questionnaire Tabs are for Reference Only and should not be edited.</t>
  </si>
  <si>
    <t>Instructions: Update avoided cost data annually or as it becomes available.</t>
  </si>
  <si>
    <t>Instructions: Update T&amp;D lost factors data annually or as it becomes available.</t>
  </si>
  <si>
    <t>Instructions: For reference only . Do not edit.</t>
  </si>
  <si>
    <t>Instructions: Savings Analysis tabs include input tables to inform assumptions. Do NOT edit without engineer or assistance of EM&amp;V.</t>
  </si>
  <si>
    <t>Instructions: These are input tables to inform assumptions. Do NOT edit without engineer or assistance of EM&amp;V.</t>
  </si>
  <si>
    <t>Instructions: EIA Forms are Output only; do NOT modify.</t>
  </si>
  <si>
    <t>Instructions: Lifetime worksheets are Output only; do NOT modify.</t>
  </si>
  <si>
    <t>Instructions: Output only; do NOT modify.</t>
  </si>
  <si>
    <t>Instructions: References tabs are for Reference Only.</t>
  </si>
  <si>
    <t>Instructions: For Reference Only</t>
  </si>
  <si>
    <t>MGS Efficiency</t>
  </si>
  <si>
    <t>Withlacoochee 2015</t>
  </si>
  <si>
    <t>Table 2. Calculation of Behavioral Effect</t>
  </si>
  <si>
    <t>Previous Analysis (2014)</t>
  </si>
  <si>
    <t>Updated Analysis (2015)</t>
  </si>
  <si>
    <t xml:space="preserve">Conservation Effect </t>
  </si>
  <si>
    <t xml:space="preserve">Disconnect Effect </t>
  </si>
  <si>
    <t xml:space="preserve">DSM Effect </t>
  </si>
  <si>
    <t xml:space="preserve">Behavioral Effect </t>
  </si>
  <si>
    <t>Source: Update Memorandum to APS DEMAND SIDE MANAGEMENT RESIDENTIAL HOME ENERGY INFORMATION PILOT PROGRAM END OF PILOT REPORT 2015</t>
  </si>
  <si>
    <t>Omni-Directional LEDs</t>
  </si>
  <si>
    <t>Retail (Time of Sale) and Direct Install</t>
  </si>
  <si>
    <t>Source: AR TRM 2015 Table 185 (CFLs), Table 200 (Omni-Directional LEDs)</t>
  </si>
  <si>
    <t>LED Omni-Directional Lamps EUL</t>
  </si>
  <si>
    <t>Source: AR TRM 2015 page 211</t>
  </si>
  <si>
    <t>Annual Hours - CFL</t>
  </si>
  <si>
    <t>Annual Hours - Omni-Directional LEDs</t>
  </si>
  <si>
    <t>Blended Indoor/Outdoor</t>
  </si>
  <si>
    <t>Source: AR TRM 2015 Table 175 (CFL's), Table 199 (Omni-Directional LEDs)</t>
  </si>
  <si>
    <t>Table 202: ENERGY STAR® Omni-Directional LEDs – Summer Peak Coincidence Factor</t>
  </si>
  <si>
    <t>Source: AR TRM 2015</t>
  </si>
  <si>
    <t>Table 173: ENERGY STAR® CFLs – Measure Life</t>
  </si>
  <si>
    <t>Source: AR TRM 2015 - First Tier EISA Standard Baseline</t>
  </si>
  <si>
    <t>Table 178: Residential Lighting Efficiency – Summer Peak Coincidence Factor</t>
  </si>
  <si>
    <t>Omni-Directional LED HOU</t>
  </si>
  <si>
    <t>AR TRM 2015 page 211</t>
  </si>
  <si>
    <t>ENERGY STAR® Omni-Directional LEDs – Summer Peak Coincidence Factor</t>
  </si>
  <si>
    <t>CFL HOU</t>
  </si>
  <si>
    <t>ENERGY STAR® CFLs – Measure Life</t>
  </si>
  <si>
    <t>Demand Savings (Peak kW/kWh Ratio)</t>
  </si>
  <si>
    <t>kWh Savings (per Unit)</t>
  </si>
  <si>
    <t>kWh Savings (Total)</t>
  </si>
  <si>
    <t>kWh Base (Per Unit)</t>
  </si>
  <si>
    <t>kWh EE (Per Unit)</t>
  </si>
  <si>
    <t>kWh Base (Total)</t>
  </si>
  <si>
    <t>kWh EE (Total)</t>
  </si>
  <si>
    <t>kW Savings (per Unit)</t>
  </si>
  <si>
    <t>kW Savings (Total)</t>
  </si>
  <si>
    <t>kW Base (per Unit)</t>
  </si>
  <si>
    <t>kW EE (per Unit)</t>
  </si>
  <si>
    <t>kW Base (Total)</t>
  </si>
  <si>
    <t>kW EE (Total)</t>
  </si>
  <si>
    <t>Annual Whole Building Savings</t>
  </si>
  <si>
    <t>Demand Savings (Peak kW per Household)</t>
  </si>
  <si>
    <t>Est kW Savings for Program</t>
  </si>
  <si>
    <t>% Difference from Original Estimate</t>
  </si>
  <si>
    <t>EFLHcool Scaled (Assumes new system is properly sized); (Old Unit Size / New Unit Size ) * EFLH = EFLH Scaled</t>
  </si>
  <si>
    <t>EFLHheat Scaled (Assumes new system is properly sized); (Old Unit Size / New Unit Size) * EFLH = EFLH Scaled</t>
  </si>
  <si>
    <t>2016 uses Average of Coops who reported for 2016</t>
  </si>
  <si>
    <t>No Specifics Recorded - 2014/15 uses Average of Coops who Reported for 2014/15, 2016 uses Average of Coops who reported for 2016</t>
  </si>
  <si>
    <t>Direct Serve</t>
  </si>
  <si>
    <t>FPLS</t>
  </si>
  <si>
    <t>FPCS</t>
  </si>
  <si>
    <t>Received from Pedrito Lanclos 07/13/2016</t>
  </si>
  <si>
    <t>Demand (kW @ 8AM 2/17)</t>
  </si>
  <si>
    <t>Total (kWh)</t>
  </si>
  <si>
    <t>Hot Water, Suppl. (kWh)</t>
  </si>
  <si>
    <t>Hot Water (kWh)</t>
  </si>
  <si>
    <t>Heating, Suppl. (kWh)</t>
  </si>
  <si>
    <t>Heating (kWh)</t>
  </si>
  <si>
    <t>Cooling (kWh)</t>
  </si>
  <si>
    <t>Heating Fan/Pump (kWh)</t>
  </si>
  <si>
    <t>Cooling Fan/Pump (kWh)</t>
  </si>
  <si>
    <t>Lights (kWh)</t>
  </si>
  <si>
    <t>Lg. Appl. (kWh)</t>
  </si>
  <si>
    <t>Vent Fan (kWh)</t>
  </si>
  <si>
    <t>Misc. (kWh)</t>
  </si>
  <si>
    <t>Tampa Baseline</t>
  </si>
  <si>
    <t>Tallahassee Baseline</t>
  </si>
  <si>
    <t>Orlando Baseline</t>
  </si>
  <si>
    <t>Fort Myers Baseline</t>
  </si>
  <si>
    <t>Clay (Gainesville) Heat Pump Water Heater</t>
  </si>
  <si>
    <t>Clay (Gainesville) ASHP 54kBTU/15SEER</t>
  </si>
  <si>
    <t>Clay (Gainesville) ASHP 48kBTU/10SEER</t>
  </si>
  <si>
    <t>Clay (Gainesville) Window Film</t>
  </si>
  <si>
    <t>Clay (Gainesville) R30 Open Cell Foam</t>
  </si>
  <si>
    <t>Clay (Gainesville) R30 Closed Cell Foam</t>
  </si>
  <si>
    <t>Clay (Gainesville) R30 Cellulose</t>
  </si>
  <si>
    <t>Gainesville Baseline</t>
  </si>
  <si>
    <t>Energy Savings over Baseline</t>
  </si>
  <si>
    <t>Peak Coincident Demand Reduction over Baseline (kW @ 8AM 2/17)</t>
  </si>
  <si>
    <t>Window Film kW/kWh</t>
  </si>
  <si>
    <t>Modeled Coincident Demand Reduction (kW/kWh)</t>
  </si>
  <si>
    <t>HPWH kW/kWh</t>
  </si>
  <si>
    <t>Beopt Simulation Results</t>
  </si>
  <si>
    <t>ASHP kW/kWh</t>
  </si>
  <si>
    <t>Coop Location</t>
  </si>
  <si>
    <t>Annual kWh Base = 2015 Residential Sales (excluding seasonal) / 2015 Average number of customers served</t>
  </si>
  <si>
    <t>Annual kW Base = BEOpt Simulated kW/kWh ratio by weather station * Seminole Annual kWh Base</t>
  </si>
  <si>
    <t>Peak Demand (2015 Form 7)</t>
  </si>
  <si>
    <t>CVR 3%</t>
  </si>
  <si>
    <t>6 out of 16 substations have control</t>
  </si>
  <si>
    <t xml:space="preserve">1-3% CVR during peak load events (average 2%) - WREC does use 1% to 3% CVR during peak load events and there are total of  211 feeders. Per NEMA study, for every 1% of CVR there are ~0.8% energy savings. Per other utilities voltage reduction annual operation (ex: Arizona Public Service) assume 130 hours out of 8760 annual hours utilize voltage reduction. </t>
  </si>
  <si>
    <t>CVR 5%</t>
  </si>
  <si>
    <t xml:space="preserve">5% Voltage decrease during load management calls. Anticipate a 8-10% demand reduction. 1.5MW reduction @ peak claimed. 6 feeders, 4-6 hours @ projected peak day. Per other utilities voltage reduction annual operation (ex: Arizona Public Service) assume 130 hours out of 8760 annual hours utilize voltage reduction. Due to uncertainty of operation, use standard methodology of NEMA study (for every 1% of CVR there are ~0.8% energy savings) for corresponding demand savings. </t>
  </si>
  <si>
    <t>CVR Average 3%</t>
  </si>
  <si>
    <t xml:space="preserve">Total demand reduction due to CVR efforts is between 1.2% and 2.0%. Assume CVR average 2%. Per NEMA study, for every 1% of CVR there are ~0.8% energy savings. Per other utilities voltage reduction annual operation (ex: Arizona Public Service) assume 130 hours out of 8760 annual hours utilize voltage reduction. Demand reducdtion is ~0.8% for every 1% of CVR. </t>
  </si>
  <si>
    <t xml:space="preserve">3% CVR during peak load events. 6 out of 16 substations have control. Per NEMA study, for every 1% of CVR there are ~0.8% energy savings. Per other utilities voltage reduction annual operation (ex: Arizona Public Service) assume 130 hours out of 8760 annual hours utilize voltage reduction. Demand reduction is ~0.8% savings for every 1% of CVR for the 6/16 substations. </t>
  </si>
  <si>
    <t xml:space="preserve">Voltage reduction varies per substation from 4% to 2% (Average 3%). Not uncommon to see 25-30MW of reduction within 45-60 minutes of implementation. 76% of load served by substations actively implementing CVR.  Per NEMA study, for every 1% of CVR there are ~0.8% energy savings. Per other utilities voltage reduction annual operation (ex: Arizona Public Service) assume 130 hours out of 8760 annual hours utilize voltage reduction. Due to uncertainty of operation, use standard methodology of NEMA study (for every 1% of CVR there are ~0.8% energy savings) for corresponding demand savings for the 76% of controlled load which is ~15MW. </t>
  </si>
  <si>
    <t>NYSERDA total Fixture Wattage</t>
  </si>
  <si>
    <t>Assume 10% of units will fail early; http://www.seattle.gov/light/streetlight/led/docs/SCL%20LED%20Consultant%20Report.pdf</t>
  </si>
  <si>
    <t xml:space="preserve">Instructions: These are input tables to inform assumptions. Do NOT edit without engineer or assistance of EM&amp;V. Streetlighting analysis assumes off-road lighting (e.g. non-DOT approved). </t>
  </si>
  <si>
    <t>Total (kWh) sans HVAC</t>
  </si>
  <si>
    <t>Demand (kW @ 8AM 2/17) sans HVAC</t>
  </si>
  <si>
    <t xml:space="preserve">Early Failure 150W HPS </t>
  </si>
  <si>
    <t xml:space="preserve">150W HPS </t>
  </si>
  <si>
    <t xml:space="preserve"> 150W HPS</t>
  </si>
  <si>
    <t>Early Failure 150W HPS Material Cost Cases</t>
  </si>
  <si>
    <t xml:space="preserve">Early Failure 250W HPS </t>
  </si>
  <si>
    <t xml:space="preserve">250W HPS </t>
  </si>
  <si>
    <t xml:space="preserve"> 250W HPS</t>
  </si>
  <si>
    <t>Early Failure 250W HPS Material Cost Cases</t>
  </si>
  <si>
    <t xml:space="preserve">Early Failure 1000W HPS </t>
  </si>
  <si>
    <t xml:space="preserve">1000W HPS </t>
  </si>
  <si>
    <t xml:space="preserve"> 1000W HPS</t>
  </si>
  <si>
    <t>Early Failure 1000W HPS Material Cost Cases</t>
  </si>
  <si>
    <t>Gainesville Baseline R0 Ceiling</t>
  </si>
  <si>
    <t>Gainesville Baseline R11</t>
  </si>
  <si>
    <t>Gainesville Measure R19 Ceiling</t>
  </si>
  <si>
    <t>Batt</t>
  </si>
  <si>
    <t>Annual kWh Savings</t>
  </si>
  <si>
    <t>Coincident Peak kW Reduction</t>
  </si>
  <si>
    <t xml:space="preserve">Peaker Enclosure light replacement with LEDS – 4,550 watt savings. Assuming warehouse annual HOU = 1,891. No demand savings claimed. </t>
  </si>
  <si>
    <t xml:space="preserve">(Ongoing &lt; 1% complete) Changing Outdoor lighting with LEDS as they fail - 15,500 watt savings; Assuming outdoor annual HOU = 4100. No demand savings claimed. </t>
  </si>
  <si>
    <t xml:space="preserve">Building Roof AC Unit Replacements – 8,800 watt savings. Assuming Annual EFLH Cool Hours for Tampa (MGS) weather station = 3,068. No Demand Savings Claimed. </t>
  </si>
  <si>
    <t>Total Seminole</t>
  </si>
  <si>
    <t>Fewer Savings</t>
  </si>
  <si>
    <t>Greater Savings</t>
  </si>
  <si>
    <t>&gt;&gt;&gt;&gt;&gt;&gt;&gt;&gt;&gt;&gt;&gt;&gt;&gt;&gt;&gt;&gt;&gt;&gt;</t>
  </si>
  <si>
    <r>
      <rPr>
        <b/>
        <i/>
        <sz val="10"/>
        <rFont val="Calibri"/>
        <family val="2"/>
        <scheme val="minor"/>
      </rPr>
      <t xml:space="preserve">Revised </t>
    </r>
    <r>
      <rPr>
        <sz val="10"/>
        <rFont val="Calibri"/>
        <family val="2"/>
        <scheme val="minor"/>
      </rPr>
      <t>Estimated Annual kWh</t>
    </r>
  </si>
  <si>
    <r>
      <t xml:space="preserve">HSPF </t>
    </r>
    <r>
      <rPr>
        <b/>
        <i/>
        <sz val="11"/>
        <rFont val="Calibri"/>
        <family val="2"/>
        <scheme val="minor"/>
      </rPr>
      <t>Existing Baseline</t>
    </r>
  </si>
  <si>
    <r>
      <t xml:space="preserve">HSPF </t>
    </r>
    <r>
      <rPr>
        <b/>
        <i/>
        <sz val="11"/>
        <rFont val="Calibri"/>
        <family val="2"/>
        <scheme val="minor"/>
      </rPr>
      <t>Code Baseline</t>
    </r>
  </si>
  <si>
    <r>
      <rPr>
        <b/>
        <i/>
        <sz val="10"/>
        <rFont val="Calibri"/>
        <family val="2"/>
        <scheme val="minor"/>
      </rPr>
      <t xml:space="preserve">Existing Baseline </t>
    </r>
    <r>
      <rPr>
        <sz val="10"/>
        <rFont val="Calibri"/>
        <family val="2"/>
        <scheme val="minor"/>
      </rPr>
      <t>Estimated Annual kWh</t>
    </r>
  </si>
  <si>
    <r>
      <rPr>
        <b/>
        <i/>
        <sz val="10"/>
        <rFont val="Calibri"/>
        <family val="2"/>
        <scheme val="minor"/>
      </rPr>
      <t xml:space="preserve">Measure </t>
    </r>
    <r>
      <rPr>
        <sz val="10"/>
        <rFont val="Calibri"/>
        <family val="2"/>
        <scheme val="minor"/>
      </rPr>
      <t>Estimated Annual kWh</t>
    </r>
  </si>
  <si>
    <r>
      <rPr>
        <b/>
        <i/>
        <sz val="10"/>
        <rFont val="Calibri"/>
        <family val="2"/>
        <scheme val="minor"/>
      </rPr>
      <t xml:space="preserve">Code Baseline (SEER 14) </t>
    </r>
    <r>
      <rPr>
        <sz val="10"/>
        <rFont val="Calibri"/>
        <family val="2"/>
        <scheme val="minor"/>
      </rPr>
      <t>Estimated Annual kWh</t>
    </r>
  </si>
  <si>
    <r>
      <t>Table 4. </t>
    </r>
    <r>
      <rPr>
        <sz val="10"/>
        <rFont val="Verdana"/>
        <family val="2"/>
      </rPr>
      <t>Average 15-Minute Demand Coincident with FPL Summer Peak Load (60-Minute Net)</t>
    </r>
  </si>
  <si>
    <r>
      <t>Solar Hot Water Heater (40 ft</t>
    </r>
    <r>
      <rPr>
        <vertAlign val="superscript"/>
        <sz val="10"/>
        <rFont val="Arial"/>
        <family val="2"/>
      </rPr>
      <t>2</t>
    </r>
    <r>
      <rPr>
        <sz val="11"/>
        <rFont val="Calibri"/>
        <family val="2"/>
        <scheme val="minor"/>
      </rPr>
      <t xml:space="preserve"> collector, EF=0.9, 55 gal)</t>
    </r>
  </si>
  <si>
    <r>
      <t>Solar Hot Water Heater (40 ft</t>
    </r>
    <r>
      <rPr>
        <vertAlign val="superscript"/>
        <sz val="10"/>
        <rFont val="Arial"/>
        <family val="2"/>
      </rPr>
      <t>2</t>
    </r>
    <r>
      <rPr>
        <sz val="11"/>
        <rFont val="Calibri"/>
        <family val="2"/>
        <scheme val="minor"/>
      </rPr>
      <t xml:space="preserve"> collector, EF=0.95, 55 gal)</t>
    </r>
  </si>
  <si>
    <t>Utility System Savings (including VR and all facilities)</t>
  </si>
  <si>
    <t>Excluding T&amp;D Losses</t>
  </si>
  <si>
    <t>Including T&amp;D Losses - These are the graphs used in the report!</t>
  </si>
  <si>
    <t>184 Feeders, 174 Active</t>
  </si>
  <si>
    <t xml:space="preserve">54 feeders, 1.7% VR, 231,052 Load; 83 Feeders, 2.9% VR, 354,766 Load, 37 Feeders, 4.2%VR, 105,559 Load; CEC activates voltage reduction at peak times of the month for a total of approximately 61 hours per year. </t>
  </si>
  <si>
    <t>Total System CVR</t>
  </si>
  <si>
    <t># of Feeders</t>
  </si>
  <si>
    <t>%VR</t>
  </si>
  <si>
    <t>Load</t>
  </si>
  <si>
    <t>Load to Match Reported Coincident Peak</t>
  </si>
  <si>
    <t>Est. Peak Savings (kW)</t>
  </si>
  <si>
    <t>Voltage Weighting</t>
  </si>
  <si>
    <t xml:space="preserve">Clay CVR Data: CEC activates voltage reduction at peak times of the month for a total of approximately 61 hours per year. </t>
  </si>
  <si>
    <t xml:space="preserve">54 feeders, 1.7% VR, Adjusted to 268,123 Load; 83 Feeders, 2.9% VR, Adjusted to 411,686 Load, 37 Feeders, 4.2%VR, 122,495 Load; CEC activates voltage reduction at peak times of the month for a total of approximately 61 hours per year; Calculated weighted average of 2.6% voltage reduction </t>
  </si>
  <si>
    <t>Voltage Reduction Savings Assumptions</t>
  </si>
  <si>
    <t>Member Cooperative</t>
  </si>
  <si>
    <t>Withlacoochie</t>
  </si>
  <si>
    <t>Reported 2015 Peak (kW)</t>
  </si>
  <si>
    <t>% Voltage Reduction</t>
  </si>
  <si>
    <t>Additional Notes</t>
  </si>
  <si>
    <t>Hours per Year</t>
  </si>
  <si>
    <t>Weighted average voltage reduction is shown here; Reported number of hours</t>
  </si>
  <si>
    <t>6 of 16 substations have control</t>
  </si>
  <si>
    <t>76% of load has control</t>
  </si>
  <si>
    <t>Calculated Energy Savings (kWh)</t>
  </si>
  <si>
    <t>Calculated Demand Savings (kW)</t>
  </si>
  <si>
    <t>Reported Total Energy Delivered (kWh)</t>
  </si>
  <si>
    <t>Bulbs</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</si>
</sst>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_(&quot;$&quot;* #,##0_);_(&quot;$&quot;* \(#,##0\);_(&quot;$&quot;* &quot;-&quot;??_);_(@_)"/>
    <numFmt numFmtId="167" formatCode="_(&quot;$&quot;* #,##0.0_);_(&quot;$&quot;* \(#,##0.0\);_(&quot;$&quot;* &quot;-&quot;??_);_(@_)"/>
    <numFmt numFmtId="168" formatCode="_(* #,##0_);_(* \(#,##0\);_(* &quot;-&quot;??_);_(@_)"/>
    <numFmt numFmtId="169" formatCode="_(* #,##0.0000_);_(* \(#,##0.0000\);_(* &quot;-&quot;??_);_(@_)"/>
    <numFmt numFmtId="170" formatCode="&quot;$&quot;#,##0.00"/>
    <numFmt numFmtId="171" formatCode="mm/dd/yy;@"/>
    <numFmt numFmtId="172" formatCode="&quot;$&quot;#,##0"/>
    <numFmt numFmtId="173" formatCode="0.0000"/>
    <numFmt numFmtId="174" formatCode="_(* #,##0.0_);_(* \(#,##0.0\);_(* &quot;-&quot;??_);_(@_)"/>
    <numFmt numFmtId="175" formatCode="_(&quot;$&quot;* #,##0.000_);_(&quot;$&quot;* \(#,##0.000\);_(&quot;$&quot;* &quot;-&quot;??_);_(@_)"/>
    <numFmt numFmtId="176" formatCode="_(&quot;$&quot;* #,##0.0000_);_(&quot;$&quot;* \(#,##0.0000\);_(&quot;$&quot;* &quot;-&quot;??_);_(@_)"/>
    <numFmt numFmtId="177" formatCode="_(* #,##0.000_);_(* \(#,##0.000\);_(* &quot;-&quot;??_);_(@_)"/>
    <numFmt numFmtId="178" formatCode="0.0000000"/>
    <numFmt numFmtId="179" formatCode="0.000000"/>
    <numFmt numFmtId="180" formatCode="_(&quot;$&quot;* #,##0.00000_);_(&quot;$&quot;* \(#,##0.00000\);_(&quot;$&quot;* &quot;-&quot;??_);_(@_)"/>
    <numFmt numFmtId="181" formatCode="[$$-409]#,##0.00"/>
    <numFmt numFmtId="182" formatCode="_(* #,##0.0000000_);_(* \(#,##0.0000000\);_(* &quot;-&quot;??_);_(@_)"/>
    <numFmt numFmtId="183" formatCode="_(* #,##0.00000_);_(* \(#,##0.00000\);_(* &quot;-&quot;??_);_(@_)"/>
    <numFmt numFmtId="184" formatCode="0.000"/>
    <numFmt numFmtId="185" formatCode="0.0%"/>
    <numFmt numFmtId="186" formatCode="0.000%"/>
    <numFmt numFmtId="187" formatCode="0.0"/>
  </numFmts>
  <fonts count="90">
    <font>
      <sz val="11"/>
      <color theme="1"/>
      <name val="Calibri"/>
      <family val="2"/>
      <scheme val="minor"/>
    </font>
    <font>
      <sz val="10"/>
      <name val="Arial"/>
      <family val="2"/>
    </font>
    <font>
      <sz val="11"/>
      <color rgb="FFFF0000"/>
      <name val="Calibri"/>
      <family val="2"/>
      <scheme val="minor"/>
    </font>
    <font>
      <b/>
      <sz val="11"/>
      <color theme="1"/>
      <name val="Calibri"/>
      <family val="2"/>
      <scheme val="minor"/>
    </font>
    <font>
      <sz val="11"/>
      <color theme="1"/>
      <name val="Arial"/>
      <family val="2"/>
    </font>
    <font>
      <sz val="10"/>
      <color theme="1"/>
      <name val="Arial"/>
      <family val="2"/>
    </font>
    <font>
      <strike/>
      <sz val="10"/>
      <color theme="1"/>
      <name val="Arial"/>
      <family val="2"/>
    </font>
    <font>
      <sz val="11"/>
      <name val="Calibri"/>
      <family val="2"/>
    </font>
    <font>
      <b/>
      <i/>
      <sz val="11"/>
      <color theme="1"/>
      <name val="Arial"/>
      <family val="2"/>
    </font>
    <font>
      <b/>
      <i/>
      <sz val="10"/>
      <color theme="1"/>
      <name val="Arial"/>
      <family val="2"/>
    </font>
    <font>
      <b/>
      <sz val="12"/>
      <color theme="1"/>
      <name val="Arial"/>
      <family val="2"/>
    </font>
    <font>
      <b/>
      <sz val="10"/>
      <color theme="1"/>
      <name val="Arial"/>
      <family val="2"/>
    </font>
    <font>
      <sz val="9"/>
      <color theme="1"/>
      <name val="Arial"/>
      <family val="2"/>
    </font>
    <font>
      <b/>
      <sz val="11"/>
      <color theme="1"/>
      <name val="Arial"/>
      <family val="2"/>
    </font>
    <font>
      <u val="single"/>
      <sz val="11"/>
      <color theme="10"/>
      <name val="Calibri"/>
      <family val="2"/>
    </font>
    <font>
      <b/>
      <sz val="12"/>
      <color theme="0"/>
      <name val="Calibri"/>
      <family val="2"/>
      <scheme val="minor"/>
    </font>
    <font>
      <b/>
      <u val="single"/>
      <sz val="12"/>
      <color theme="1"/>
      <name val="Calibri"/>
      <family val="2"/>
      <scheme val="minor"/>
    </font>
    <font>
      <b/>
      <sz val="16"/>
      <color theme="1"/>
      <name val="Calibri"/>
      <family val="2"/>
      <scheme val="minor"/>
    </font>
    <font>
      <sz val="12"/>
      <color theme="1"/>
      <name val="Calibri"/>
      <family val="2"/>
      <scheme val="minor"/>
    </font>
    <font>
      <b/>
      <sz val="11"/>
      <name val="Calibri"/>
      <family val="2"/>
      <scheme val="minor"/>
    </font>
    <font>
      <sz val="11"/>
      <name val="Calibri"/>
      <family val="2"/>
      <scheme val="minor"/>
    </font>
    <font>
      <sz val="12"/>
      <name val="Calibri"/>
      <family val="2"/>
      <scheme val="minor"/>
    </font>
    <font>
      <b/>
      <sz val="12"/>
      <color theme="1"/>
      <name val="Calibri"/>
      <family val="2"/>
      <scheme val="minor"/>
    </font>
    <font>
      <b/>
      <sz val="12"/>
      <name val="Calibri"/>
      <family val="2"/>
      <scheme val="minor"/>
    </font>
    <font>
      <b/>
      <sz val="16"/>
      <name val="Calibri"/>
      <family val="2"/>
      <scheme val="minor"/>
    </font>
    <font>
      <b/>
      <sz val="20"/>
      <color theme="0"/>
      <name val="Calibri"/>
      <family val="2"/>
      <scheme val="minor"/>
    </font>
    <font>
      <b/>
      <sz val="11"/>
      <color rgb="FFFF0000"/>
      <name val="Calibri"/>
      <family val="2"/>
      <scheme val="minor"/>
    </font>
    <font>
      <b/>
      <sz val="10"/>
      <name val="Arial"/>
      <family val="2"/>
    </font>
    <font>
      <b/>
      <sz val="12"/>
      <name val="Arial"/>
      <family val="2"/>
    </font>
    <font>
      <sz val="12"/>
      <name val="Arial"/>
      <family val="2"/>
    </font>
    <font>
      <sz val="10"/>
      <color rgb="FFFF0000"/>
      <name val="Arial"/>
      <family val="2"/>
    </font>
    <font>
      <sz val="11"/>
      <name val="Arial"/>
      <family val="2"/>
    </font>
    <font>
      <b/>
      <sz val="11"/>
      <name val="Univers"/>
      <family val="2"/>
    </font>
    <font>
      <sz val="11"/>
      <name val="Univers"/>
      <family val="2"/>
    </font>
    <font>
      <sz val="10"/>
      <color indexed="8"/>
      <name val="Arial"/>
      <family val="2"/>
    </font>
    <font>
      <sz val="12"/>
      <color rgb="FFFF0000"/>
      <name val="Calibri"/>
      <family val="2"/>
      <scheme val="minor"/>
    </font>
    <font>
      <b/>
      <u val="single"/>
      <sz val="11"/>
      <color theme="1"/>
      <name val="Calibri"/>
      <family val="2"/>
      <scheme val="minor"/>
    </font>
    <font>
      <b/>
      <sz val="9"/>
      <name val="Tahoma"/>
      <family val="2"/>
    </font>
    <font>
      <sz val="9"/>
      <name val="Tahoma"/>
      <family val="2"/>
    </font>
    <font>
      <b/>
      <i/>
      <u val="single"/>
      <sz val="11"/>
      <color theme="1"/>
      <name val="Calibri"/>
      <family val="2"/>
      <scheme val="minor"/>
    </font>
    <font>
      <sz val="11"/>
      <color theme="1"/>
      <name val="Calibri"/>
      <family val="2"/>
    </font>
    <font>
      <vertAlign val="superscript"/>
      <sz val="10"/>
      <color theme="1"/>
      <name val="Arial"/>
      <family val="2"/>
    </font>
    <font>
      <i/>
      <sz val="10"/>
      <color theme="1"/>
      <name val="Arial"/>
      <family val="2"/>
    </font>
    <font>
      <b/>
      <sz val="10"/>
      <color rgb="FFFF0000"/>
      <name val="Arial"/>
      <family val="2"/>
    </font>
    <font>
      <b/>
      <sz val="7"/>
      <color rgb="FF0B459B"/>
      <name val="Verdana"/>
      <family val="2"/>
    </font>
    <font>
      <b/>
      <sz val="7"/>
      <color rgb="FF4C7ECA"/>
      <name val="Verdana"/>
      <family val="2"/>
    </font>
    <font>
      <i/>
      <u val="single"/>
      <sz val="11"/>
      <color theme="1"/>
      <name val="Arial"/>
      <family val="2"/>
    </font>
    <font>
      <sz val="11"/>
      <color rgb="FF000000"/>
      <name val="Calibri"/>
      <family val="2"/>
    </font>
    <font>
      <sz val="9"/>
      <color theme="1"/>
      <name val="Calibri"/>
      <family val="2"/>
      <scheme val="minor"/>
    </font>
    <font>
      <b/>
      <sz val="9"/>
      <color theme="1"/>
      <name val="Calibri"/>
      <family val="2"/>
      <scheme val="minor"/>
    </font>
    <font>
      <sz val="10"/>
      <color theme="1"/>
      <name val="Times New Roman"/>
      <family val="1"/>
    </font>
    <font>
      <sz val="11"/>
      <color rgb="FF1F497D"/>
      <name val="Calibri"/>
      <family val="2"/>
    </font>
    <font>
      <sz val="11"/>
      <color rgb="FF1F497D"/>
      <name val="Calibri"/>
      <family val="2"/>
      <scheme val="minor"/>
    </font>
    <font>
      <b/>
      <sz val="11"/>
      <color theme="0"/>
      <name val="Calibri"/>
      <family val="2"/>
      <scheme val="minor"/>
    </font>
    <font>
      <b/>
      <sz val="10"/>
      <color theme="1"/>
      <name val="Calibri"/>
      <family val="2"/>
      <scheme val="minor"/>
    </font>
    <font>
      <b/>
      <sz val="14"/>
      <color theme="1"/>
      <name val="Calibri"/>
      <family val="2"/>
      <scheme val="minor"/>
    </font>
    <font>
      <b/>
      <sz val="14"/>
      <name val="Calibri"/>
      <family val="2"/>
      <scheme val="minor"/>
    </font>
    <font>
      <b/>
      <sz val="11"/>
      <name val="Arial"/>
      <family val="2"/>
    </font>
    <font>
      <b/>
      <i/>
      <sz val="9"/>
      <name val="Arial"/>
      <family val="2"/>
    </font>
    <font>
      <b/>
      <u val="single"/>
      <sz val="10"/>
      <name val="Arial"/>
      <family val="2"/>
    </font>
    <font>
      <sz val="18"/>
      <name val="Calibri"/>
      <family val="2"/>
      <scheme val="minor"/>
    </font>
    <font>
      <b/>
      <sz val="18"/>
      <name val="Calibri"/>
      <family val="2"/>
      <scheme val="minor"/>
    </font>
    <font>
      <sz val="14"/>
      <name val="Calibri"/>
      <family val="2"/>
      <scheme val="minor"/>
    </font>
    <font>
      <b/>
      <sz val="10"/>
      <name val="Calibri"/>
      <family val="2"/>
      <scheme val="minor"/>
    </font>
    <font>
      <sz val="10"/>
      <name val="Calibri"/>
      <family val="2"/>
      <scheme val="minor"/>
    </font>
    <font>
      <sz val="8"/>
      <name val="Calibri"/>
      <family val="2"/>
      <scheme val="minor"/>
    </font>
    <font>
      <sz val="7"/>
      <name val="Calibri"/>
      <family val="2"/>
      <scheme val="minor"/>
    </font>
    <font>
      <b/>
      <i/>
      <sz val="10"/>
      <name val="Calibri"/>
      <family val="2"/>
      <scheme val="minor"/>
    </font>
    <font>
      <u val="single"/>
      <sz val="11"/>
      <name val="Calibri"/>
      <family val="2"/>
      <scheme val="minor"/>
    </font>
    <font>
      <b/>
      <i/>
      <sz val="11"/>
      <name val="Calibri"/>
      <family val="2"/>
      <scheme val="minor"/>
    </font>
    <font>
      <b/>
      <i/>
      <sz val="10"/>
      <name val="Arial"/>
      <family val="2"/>
    </font>
    <font>
      <u val="single"/>
      <sz val="11"/>
      <name val="Calibri"/>
      <family val="2"/>
    </font>
    <font>
      <sz val="10.5"/>
      <name val="Arial"/>
      <family val="2"/>
    </font>
    <font>
      <b/>
      <sz val="10"/>
      <name val="Verdana"/>
      <family val="2"/>
    </font>
    <font>
      <sz val="10"/>
      <name val="Verdana"/>
      <family val="2"/>
    </font>
    <font>
      <sz val="6"/>
      <name val="Verdana"/>
      <family val="2"/>
    </font>
    <font>
      <sz val="11"/>
      <name val="Verdana"/>
      <family val="2"/>
    </font>
    <font>
      <vertAlign val="superscript"/>
      <sz val="10"/>
      <name val="Arial"/>
      <family val="2"/>
    </font>
    <font>
      <b/>
      <sz val="11"/>
      <color theme="0"/>
      <name val="Georgia"/>
      <family val="1"/>
    </font>
    <font>
      <sz val="11"/>
      <color theme="1"/>
      <name val="Georgia"/>
      <family val="1"/>
    </font>
    <font>
      <b/>
      <sz val="11"/>
      <color theme="1"/>
      <name val="Georgia"/>
      <family val="1"/>
    </font>
    <font>
      <sz val="14"/>
      <color theme="1" tint="0.35"/>
      <name val="Calibri"/>
      <family val="2"/>
    </font>
    <font>
      <sz val="9"/>
      <color theme="1" tint="0.25"/>
      <name val="Calibri"/>
      <family val="2"/>
    </font>
    <font>
      <sz val="9"/>
      <color theme="1" tint="0.35"/>
      <name val="Calibri"/>
      <family val="2"/>
    </font>
    <font>
      <b/>
      <sz val="14"/>
      <color theme="1"/>
      <name val="Georgia"/>
      <family val="2"/>
    </font>
    <font>
      <sz val="12"/>
      <color theme="1" tint="0.25"/>
      <name val="Georgia"/>
      <family val="2"/>
    </font>
    <font>
      <b/>
      <sz val="12"/>
      <color theme="1" tint="0.25"/>
      <name val="Georgia"/>
      <family val="2"/>
    </font>
    <font>
      <sz val="12"/>
      <color theme="1" tint="0.35"/>
      <name val="Georgia"/>
      <family val="2"/>
    </font>
    <font>
      <b/>
      <sz val="11"/>
      <color theme="1" tint="0.25"/>
      <name val="Georgia"/>
      <family val="2"/>
    </font>
    <font>
      <sz val="11"/>
      <color theme="1" tint="0.25"/>
      <name val="Georgia"/>
      <family val="2"/>
    </font>
  </fonts>
  <fills count="23">
    <fill>
      <patternFill/>
    </fill>
    <fill>
      <patternFill patternType="gray125"/>
    </fill>
    <fill>
      <patternFill patternType="solid">
        <fgColor theme="0" tint="-0.14999"/>
        <bgColor indexed="64"/>
      </patternFill>
    </fill>
    <fill>
      <patternFill patternType="solid">
        <fgColor rgb="FFC0DEF3"/>
        <bgColor indexed="64"/>
      </patternFill>
    </fill>
    <fill>
      <patternFill patternType="solid">
        <fgColor theme="0"/>
        <bgColor indexed="64"/>
      </patternFill>
    </fill>
    <fill>
      <patternFill patternType="solid">
        <fgColor rgb="FFEAF5F7"/>
        <bgColor indexed="64"/>
      </patternFill>
    </fill>
    <fill>
      <patternFill patternType="solid">
        <fgColor theme="4" tint="0.39998"/>
        <bgColor indexed="64"/>
      </patternFill>
    </fill>
    <fill>
      <patternFill patternType="solid">
        <fgColor theme="3"/>
        <bgColor indexed="64"/>
      </patternFill>
    </fill>
    <fill>
      <patternFill patternType="solid">
        <fgColor theme="3" tint="0.59999"/>
        <bgColor indexed="64"/>
      </patternFill>
    </fill>
    <fill>
      <patternFill patternType="solid">
        <fgColor theme="0" tint="-0.24997"/>
        <bgColor indexed="64"/>
      </patternFill>
    </fill>
    <fill>
      <patternFill patternType="solid">
        <fgColor theme="6" tint="0.39998"/>
        <bgColor indexed="64"/>
      </patternFill>
    </fill>
    <fill>
      <patternFill patternType="solid">
        <fgColor rgb="FFFFFF00"/>
        <bgColor indexed="64"/>
      </patternFill>
    </fill>
    <fill>
      <patternFill patternType="solid">
        <fgColor theme="3" tint="0.79998"/>
        <bgColor indexed="64"/>
      </patternFill>
    </fill>
    <fill>
      <patternFill patternType="solid">
        <fgColor theme="6" tint="0.79998"/>
        <bgColor indexed="64"/>
      </patternFill>
    </fill>
    <fill>
      <patternFill patternType="solid">
        <fgColor rgb="FF8DB4E2"/>
        <bgColor indexed="64"/>
      </patternFill>
    </fill>
    <fill>
      <patternFill patternType="solid">
        <fgColor theme="5" tint="0.59999"/>
        <bgColor indexed="64"/>
      </patternFill>
    </fill>
    <fill>
      <patternFill patternType="solid">
        <fgColor theme="8" tint="0.59999"/>
        <bgColor indexed="64"/>
      </patternFill>
    </fill>
    <fill>
      <patternFill patternType="solid">
        <fgColor rgb="FF1F497D"/>
        <bgColor indexed="64"/>
      </patternFill>
    </fill>
    <fill>
      <patternFill patternType="solid">
        <fgColor rgb="FFF8696B"/>
        <bgColor indexed="64"/>
      </patternFill>
    </fill>
    <fill>
      <patternFill patternType="solid">
        <fgColor rgb="FFFFEB84"/>
        <bgColor indexed="64"/>
      </patternFill>
    </fill>
    <fill>
      <patternFill patternType="solid">
        <fgColor rgb="FF63BE7B"/>
        <bgColor indexed="64"/>
      </patternFill>
    </fill>
    <fill>
      <patternFill patternType="solid">
        <fgColor theme="5"/>
        <bgColor indexed="64"/>
      </patternFill>
    </fill>
    <fill>
      <patternFill patternType="solid">
        <fgColor theme="6"/>
        <bgColor indexed="64"/>
      </patternFill>
    </fill>
  </fills>
  <borders count="102">
    <border>
      <left/>
      <right/>
      <top/>
      <bottom/>
      <diagonal/>
    </border>
    <border>
      <left/>
      <right/>
      <top style="thin">
        <color auto="1"/>
      </top>
      <bottom/>
    </border>
    <border>
      <left style="thick">
        <color rgb="FFEAF5F7"/>
      </left>
      <right style="thick">
        <color rgb="FFEAF5F7"/>
      </right>
      <top style="thick">
        <color rgb="FFEAF5F7"/>
      </top>
      <bottom/>
    </border>
    <border>
      <left style="thick">
        <color rgb="FFEAF5F7"/>
      </left>
      <right style="thick">
        <color rgb="FFEAF5F7"/>
      </right>
      <top style="thick">
        <color rgb="FFEAF5F7"/>
      </top>
      <bottom style="thick">
        <color rgb="FFEAF5F7"/>
      </bottom>
    </border>
    <border>
      <left style="thick">
        <color rgb="FFEAF5F7"/>
      </left>
      <right/>
      <top/>
      <bottom/>
    </border>
    <border>
      <left/>
      <right style="thick">
        <color rgb="FFEAF5F7"/>
      </right>
      <top style="thick">
        <color rgb="FFEAF5F7"/>
      </top>
      <bottom style="thick">
        <color rgb="FFEAF5F7"/>
      </bottom>
    </border>
    <border>
      <left/>
      <right/>
      <top style="thick">
        <color rgb="FFEAF5F7"/>
      </top>
      <bottom style="thick">
        <color rgb="FFEAF5F7"/>
      </bottom>
    </border>
    <border>
      <left style="thick">
        <color rgb="FFEAF5F7"/>
      </left>
      <right/>
      <top style="thick">
        <color rgb="FFEAF5F7"/>
      </top>
      <bottom style="thick">
        <color rgb="FFEAF5F7"/>
      </bottom>
    </border>
    <border>
      <left style="thick">
        <color rgb="FFEAF5F7"/>
      </left>
      <right/>
      <top style="thick">
        <color rgb="FFEAF5F7"/>
      </top>
      <bottom/>
    </border>
    <border>
      <left/>
      <right style="thick">
        <color rgb="FFEAF5F7"/>
      </right>
      <top style="thick">
        <color rgb="FFEAF5F7"/>
      </top>
      <bottom/>
    </border>
    <border>
      <left style="thin">
        <color auto="1"/>
      </left>
      <right style="medium">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thin">
        <color auto="1"/>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thin">
        <color auto="1"/>
      </left>
      <right style="medium">
        <color auto="1"/>
      </right>
      <top/>
      <bottom style="thin">
        <color auto="1"/>
      </bottom>
    </border>
    <border>
      <left style="thin">
        <color auto="1"/>
      </left>
      <right style="thin">
        <color auto="1"/>
      </right>
      <top/>
      <bottom style="thin">
        <color auto="1"/>
      </bottom>
    </border>
    <border>
      <left style="medium">
        <color auto="1"/>
      </left>
      <right style="thin">
        <color auto="1"/>
      </right>
      <top/>
      <bottom style="thin">
        <color auto="1"/>
      </bottom>
    </border>
    <border>
      <left style="medium">
        <color auto="1"/>
      </left>
      <right/>
      <top/>
      <bottom/>
    </border>
    <border>
      <left style="thin">
        <color auto="1"/>
      </left>
      <right style="thin">
        <color auto="1"/>
      </right>
      <top/>
      <bottom style="medium">
        <color auto="1"/>
      </bottom>
    </border>
    <border>
      <left/>
      <right style="thin">
        <color auto="1"/>
      </right>
      <top/>
      <bottom style="medium">
        <color auto="1"/>
      </bottom>
    </border>
    <border>
      <left/>
      <right/>
      <top/>
      <bottom style="medium">
        <color auto="1"/>
      </bottom>
    </border>
    <border>
      <left style="medium">
        <color auto="1"/>
      </left>
      <right/>
      <top style="medium">
        <color auto="1"/>
      </top>
      <bottom style="medium">
        <color auto="1"/>
      </bottom>
    </border>
    <border>
      <left style="thick">
        <color theme="3" tint="0.39995"/>
      </left>
      <right style="thick">
        <color theme="3" tint="0.39995"/>
      </right>
      <top style="thick">
        <color theme="3" tint="0.39995"/>
      </top>
      <bottom style="thick">
        <color theme="3" tint="0.39995"/>
      </bottom>
    </border>
    <border>
      <left style="thin">
        <color auto="1"/>
      </left>
      <right style="thick">
        <color theme="3" tint="0.39995"/>
      </right>
      <top/>
      <bottom style="medium">
        <color auto="1"/>
      </bottom>
    </border>
    <border>
      <left style="thin">
        <color auto="1"/>
      </left>
      <right style="thin">
        <color auto="1"/>
      </right>
      <top/>
      <bottom/>
    </border>
    <border>
      <left style="thin">
        <color auto="1"/>
      </left>
      <right style="thin">
        <color auto="1"/>
      </right>
      <top style="thin">
        <color auto="1"/>
      </top>
      <bottom/>
    </border>
    <border>
      <left/>
      <right style="thin">
        <color auto="1"/>
      </right>
      <top style="thin">
        <color auto="1"/>
      </top>
      <bottom/>
    </border>
    <border>
      <left style="thin">
        <color auto="1"/>
      </left>
      <right style="thin">
        <color auto="1"/>
      </right>
      <top style="medium">
        <color auto="1"/>
      </top>
      <bottom style="thin">
        <color auto="1"/>
      </bottom>
    </border>
    <border>
      <left/>
      <right/>
      <top style="medium">
        <color auto="1"/>
      </top>
      <bottom/>
    </border>
    <border>
      <left style="medium">
        <color auto="1"/>
      </left>
      <right/>
      <top style="medium">
        <color auto="1"/>
      </top>
      <bottom/>
    </border>
    <border>
      <left style="thin">
        <color auto="1"/>
      </left>
      <right style="medium">
        <color auto="1"/>
      </right>
      <top style="medium">
        <color auto="1"/>
      </top>
      <bottom style="medium">
        <color auto="1"/>
      </bottom>
    </border>
    <border>
      <left style="thin">
        <color auto="1"/>
      </left>
      <right style="medium">
        <color auto="1"/>
      </right>
      <top style="thin">
        <color auto="1"/>
      </top>
      <bottom/>
    </border>
    <border>
      <left style="thin">
        <color auto="1"/>
      </left>
      <right/>
      <top/>
      <bottom style="medium">
        <color auto="1"/>
      </bottom>
    </border>
    <border>
      <left style="thick">
        <color theme="3" tint="0.39991"/>
      </left>
      <right style="thin">
        <color auto="1"/>
      </right>
      <top/>
      <bottom style="medium">
        <color auto="1"/>
      </bottom>
    </border>
    <border>
      <left/>
      <right style="thick">
        <color theme="3" tint="0.39995"/>
      </right>
      <top style="thin">
        <color auto="1"/>
      </top>
      <bottom style="thin">
        <color auto="1"/>
      </bottom>
    </border>
    <border>
      <left/>
      <right style="thin">
        <color auto="1"/>
      </right>
      <top style="thin">
        <color auto="1"/>
      </top>
      <bottom style="thin">
        <color auto="1"/>
      </bottom>
    </border>
    <border>
      <left style="thin">
        <color auto="1"/>
      </left>
      <right style="thick">
        <color theme="3" tint="0.39995"/>
      </right>
      <top style="thin">
        <color auto="1"/>
      </top>
      <bottom style="thin">
        <color auto="1"/>
      </bottom>
    </border>
    <border>
      <left style="medium">
        <color auto="1"/>
      </left>
      <right/>
      <top style="thin">
        <color auto="1"/>
      </top>
      <bottom style="thin">
        <color auto="1"/>
      </bottom>
    </border>
    <border>
      <left style="thin">
        <color auto="1"/>
      </left>
      <right style="medium">
        <color auto="1"/>
      </right>
      <top style="medium">
        <color auto="1"/>
      </top>
      <bottom/>
    </border>
    <border>
      <left style="thin">
        <color auto="1"/>
      </left>
      <right style="thin">
        <color auto="1"/>
      </right>
      <top style="medium">
        <color auto="1"/>
      </top>
      <bottom/>
    </border>
    <border>
      <left/>
      <right style="thin">
        <color auto="1"/>
      </right>
      <top style="medium">
        <color auto="1"/>
      </top>
      <bottom/>
    </border>
    <border>
      <left/>
      <right style="medium">
        <color auto="1"/>
      </right>
      <top style="medium">
        <color auto="1"/>
      </top>
      <bottom/>
    </border>
    <border>
      <left style="thick">
        <color theme="3" tint="0.39991"/>
      </left>
      <right style="thick">
        <color theme="3" tint="0.39991"/>
      </right>
      <top style="thick">
        <color theme="3" tint="0.39991"/>
      </top>
      <bottom style="thick">
        <color theme="3" tint="0.39991"/>
      </bottom>
    </border>
    <border>
      <left style="thin">
        <color auto="1"/>
      </left>
      <right style="medium">
        <color auto="1"/>
      </right>
      <top style="medium">
        <color auto="1"/>
      </top>
      <bottom style="thin">
        <color auto="1"/>
      </bottom>
    </border>
    <border>
      <left style="thin">
        <color auto="1"/>
      </left>
      <right/>
      <top style="thin">
        <color auto="1"/>
      </top>
      <bottom style="medium">
        <color auto="1"/>
      </bottom>
    </border>
    <border>
      <left/>
      <right style="thin">
        <color auto="1"/>
      </right>
      <top style="thin">
        <color auto="1"/>
      </top>
      <bottom style="medium">
        <color auto="1"/>
      </bottom>
    </border>
    <border>
      <left style="thick">
        <color theme="3" tint="0.39991"/>
      </left>
      <right style="thin">
        <color auto="1"/>
      </right>
      <top style="thin">
        <color auto="1"/>
      </top>
      <bottom style="medium">
        <color auto="1"/>
      </bottom>
    </border>
    <border>
      <left/>
      <right style="thick">
        <color theme="3" tint="0.39995"/>
      </right>
      <top style="thin">
        <color auto="1"/>
      </top>
      <bottom style="medium">
        <color auto="1"/>
      </bottom>
    </border>
    <border>
      <left style="thin">
        <color auto="1"/>
      </left>
      <right style="thick">
        <color theme="3" tint="0.39995"/>
      </right>
      <top style="thin">
        <color auto="1"/>
      </top>
      <bottom style="medium">
        <color auto="1"/>
      </bottom>
    </border>
    <border>
      <left style="medium">
        <color auto="1"/>
      </left>
      <right/>
      <top style="thin">
        <color auto="1"/>
      </top>
      <bottom style="medium">
        <color auto="1"/>
      </bottom>
    </border>
    <border>
      <left/>
      <right/>
      <top style="medium">
        <color auto="1"/>
      </top>
      <bottom style="medium">
        <color auto="1"/>
      </bottom>
    </border>
    <border>
      <left style="thin">
        <color auto="1"/>
      </left>
      <right style="medium">
        <color auto="1"/>
      </right>
      <top/>
      <bottom style="medium">
        <color auto="1"/>
      </bottom>
    </border>
    <border>
      <left style="thick">
        <color theme="3" tint="0.39995"/>
      </left>
      <right style="thick">
        <color theme="3" tint="0.39991"/>
      </right>
      <top style="thick">
        <color theme="3" tint="0.39995"/>
      </top>
      <bottom style="thick">
        <color theme="3" tint="0.39995"/>
      </bottom>
    </border>
    <border>
      <left/>
      <right/>
      <top style="thin">
        <color auto="1"/>
      </top>
      <bottom style="thin">
        <color auto="1"/>
      </bottom>
    </border>
    <border>
      <left style="thin">
        <color auto="1"/>
      </left>
      <right/>
      <top style="thin">
        <color auto="1"/>
      </top>
      <bottom style="thin">
        <color auto="1"/>
      </bottom>
    </border>
    <border>
      <left style="thin">
        <color auto="1"/>
      </left>
      <right style="medium">
        <color auto="1"/>
      </right>
      <top/>
      <bottom/>
    </border>
    <border>
      <left/>
      <right style="medium">
        <color auto="1"/>
      </right>
      <top style="medium">
        <color auto="1"/>
      </top>
      <bottom style="thin">
        <color auto="1"/>
      </bottom>
    </border>
    <border>
      <left style="thin">
        <color auto="1"/>
      </left>
      <right/>
      <top/>
      <bottom/>
    </border>
    <border>
      <left/>
      <right style="thin">
        <color auto="1"/>
      </right>
      <top style="medium">
        <color auto="1"/>
      </top>
      <bottom style="thin">
        <color auto="1"/>
      </bottom>
    </border>
    <border>
      <left/>
      <right/>
      <top style="medium">
        <color auto="1"/>
      </top>
      <bottom style="thin">
        <color auto="1"/>
      </bottom>
    </border>
    <border>
      <left style="thin">
        <color auto="1"/>
      </left>
      <right/>
      <top style="medium">
        <color auto="1"/>
      </top>
      <bottom style="thin">
        <color auto="1"/>
      </bottom>
    </border>
    <border>
      <left/>
      <right/>
      <top/>
      <bottom style="thin">
        <color auto="1"/>
      </bottom>
    </border>
    <border>
      <left style="medium">
        <color auto="1"/>
      </left>
      <right/>
      <top/>
      <bottom style="thin">
        <color auto="1"/>
      </bottom>
    </border>
    <border>
      <left/>
      <right style="medium">
        <color auto="1"/>
      </right>
      <top/>
      <bottom style="medium">
        <color auto="1"/>
      </bottom>
    </border>
    <border>
      <left style="medium">
        <color auto="1"/>
      </left>
      <right style="thin">
        <color auto="1"/>
      </right>
      <top/>
      <bottom style="medium">
        <color auto="1"/>
      </bottom>
    </border>
    <border>
      <left/>
      <right style="medium">
        <color auto="1"/>
      </right>
      <top style="medium">
        <color auto="1"/>
      </top>
      <bottom style="medium">
        <color auto="1"/>
      </bottom>
    </border>
    <border>
      <left/>
      <right style="thin">
        <color auto="1"/>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thin">
        <color auto="1"/>
      </top>
      <bottom style="thin">
        <color auto="1"/>
      </bottom>
    </border>
    <border>
      <left style="medium">
        <color auto="1"/>
      </left>
      <right style="thin">
        <color auto="1"/>
      </right>
      <top/>
      <bottom/>
    </border>
    <border>
      <left/>
      <right style="medium">
        <color auto="1"/>
      </right>
      <top style="thin">
        <color auto="1"/>
      </top>
      <bottom/>
    </border>
    <border>
      <left style="medium">
        <color auto="1"/>
      </left>
      <right style="thin">
        <color auto="1"/>
      </right>
      <top style="medium">
        <color auto="1"/>
      </top>
      <bottom style="thin">
        <color auto="1"/>
      </bottom>
    </border>
    <border>
      <left/>
      <right style="medium">
        <color auto="1"/>
      </right>
      <top/>
      <bottom/>
    </border>
    <border>
      <left style="medium">
        <color auto="1"/>
      </left>
      <right style="medium">
        <color auto="1"/>
      </right>
      <top style="medium">
        <color auto="1"/>
      </top>
      <bottom style="medium">
        <color auto="1"/>
      </bottom>
    </border>
    <border>
      <left style="medium">
        <color auto="1"/>
      </left>
      <right style="thin">
        <color auto="1"/>
      </right>
      <top style="medium">
        <color auto="1"/>
      </top>
      <bottom style="medium">
        <color auto="1"/>
      </bottom>
    </border>
    <border>
      <left style="medium">
        <color auto="1"/>
      </left>
      <right/>
      <top/>
      <bottom style="medium">
        <color auto="1"/>
      </bottom>
    </border>
    <border>
      <left/>
      <right style="thin">
        <color auto="1"/>
      </right>
      <top/>
      <bottom/>
    </border>
    <border>
      <left style="medium">
        <color auto="1"/>
      </left>
      <right style="medium">
        <color auto="1"/>
      </right>
      <top/>
      <bottom style="medium">
        <color auto="1"/>
      </bottom>
    </border>
    <border>
      <left style="medium">
        <color auto="1"/>
      </left>
      <right style="thin">
        <color auto="1"/>
      </right>
      <top style="thin">
        <color auto="1"/>
      </top>
      <bottom/>
    </border>
    <border>
      <left style="medium">
        <color auto="1"/>
      </left>
      <right style="medium">
        <color auto="1"/>
      </right>
      <top style="medium">
        <color auto="1"/>
      </top>
      <bottom/>
    </border>
    <border>
      <left style="medium">
        <color auto="1"/>
      </left>
      <right style="medium">
        <color auto="1"/>
      </right>
      <top/>
      <bottom/>
    </border>
    <border>
      <left style="medium">
        <color auto="1"/>
      </left>
      <right style="medium">
        <color auto="1"/>
      </right>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rgb="FF000000"/>
      </left>
      <right style="thin">
        <color rgb="FF000000"/>
      </right>
      <top style="thin">
        <color rgb="FF000000"/>
      </top>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medium">
        <color auto="1"/>
      </left>
      <right/>
      <top style="medium">
        <color auto="1"/>
      </top>
      <bottom style="thin">
        <color auto="1"/>
      </bottom>
    </border>
    <border>
      <left/>
      <right/>
      <top style="thin">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ck">
        <color rgb="FFEAF5F7"/>
      </left>
      <right/>
      <top/>
      <bottom style="thick">
        <color rgb="FFEAF5F7"/>
      </bottom>
    </border>
    <border>
      <left/>
      <right/>
      <top/>
      <bottom style="thick">
        <color rgb="FFEAF5F7"/>
      </bottom>
    </border>
    <border>
      <left/>
      <right/>
      <top style="thick">
        <color rgb="FFEAF5F7"/>
      </top>
      <bottom/>
    </border>
    <border>
      <left/>
      <right style="thick">
        <color rgb="FFEAF5F7"/>
      </right>
      <top/>
      <bottom style="thick">
        <color rgb="FFEAF5F7"/>
      </bottom>
    </border>
    <border>
      <left/>
      <right style="thick">
        <color rgb="FFEAF5F7"/>
      </right>
      <top/>
      <bottom/>
    </border>
    <border>
      <left style="thick">
        <color rgb="FFEAF5F7"/>
      </left>
      <right style="thick">
        <color rgb="FFEAF5F7"/>
      </right>
      <top/>
      <bottom style="thick">
        <color rgb="FFEAF5F7"/>
      </bottom>
    </border>
    <border>
      <left style="thick">
        <color rgb="FFEAF5F7"/>
      </left>
      <right style="thick">
        <color rgb="FFEAF5F7"/>
      </right>
      <top/>
      <bottom/>
    </border>
    <border>
      <left style="thin">
        <color auto="1"/>
      </left>
      <right/>
      <top style="thin">
        <color auto="1"/>
      </top>
      <bottom/>
    </border>
    <border>
      <left/>
      <right style="thin">
        <color auto="1"/>
      </right>
      <top/>
      <bottom style="thin">
        <color auto="1"/>
      </bottom>
    </border>
  </borders>
  <cellStyleXfs count="37">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0" fontId="14" fillId="0" borderId="0" applyNumberFormat="0" applyFill="0" applyBorder="0">
      <alignment/>
      <protection locked="0"/>
    </xf>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0" fontId="5" fillId="0" borderId="0">
      <alignment/>
      <protection/>
    </xf>
    <xf numFmtId="0" fontId="34" fillId="0" borderId="0">
      <alignment/>
      <protection/>
    </xf>
    <xf numFmtId="43" fontId="5" fillId="0" borderId="0" applyFont="0" applyFill="0" applyBorder="0" applyAlignment="0" applyProtection="0"/>
    <xf numFmtId="9" fontId="5" fillId="0" borderId="0" applyFont="0" applyFill="0" applyBorder="0" applyAlignment="0" applyProtection="0"/>
    <xf numFmtId="0" fontId="0" fillId="0" borderId="0">
      <alignment/>
      <protection/>
    </xf>
    <xf numFmtId="44" fontId="5" fillId="0" borderId="0" applyFont="0" applyFill="0" applyBorder="0" applyAlignment="0" applyProtection="0"/>
    <xf numFmtId="44" fontId="0" fillId="0" borderId="0" applyFont="0" applyFill="0" applyBorder="0" applyAlignment="0" applyProtection="0"/>
    <xf numFmtId="0" fontId="29" fillId="0" borderId="0">
      <alignment/>
      <protection/>
    </xf>
    <xf numFmtId="0" fontId="29" fillId="0" borderId="0">
      <alignment/>
      <protection/>
    </xf>
    <xf numFmtId="0" fontId="1" fillId="0" borderId="0">
      <alignment/>
      <protection/>
    </xf>
  </cellStyleXfs>
  <cellXfs count="1954">
    <xf numFmtId="0" fontId="0" fillId="0" borderId="0" xfId="0"/>
    <xf numFmtId="0" fontId="0" fillId="0" borderId="1" xfId="0" applyBorder="1"/>
    <xf numFmtId="3" fontId="4" fillId="2" borderId="2" xfId="0" applyNumberFormat="1" applyFont="1" applyFill="1" applyBorder="1"/>
    <xf numFmtId="0" fontId="5" fillId="3" borderId="2" xfId="0" applyFont="1" applyFill="1" applyBorder="1" applyAlignment="1" applyProtection="1">
      <alignment horizontal="center"/>
      <protection locked="0"/>
    </xf>
    <xf numFmtId="3" fontId="5" fillId="4" borderId="3" xfId="0" applyNumberFormat="1" applyFont="1" applyFill="1" applyBorder="1" applyAlignment="1" applyProtection="1">
      <alignment horizontal="center" wrapText="1"/>
      <protection locked="0"/>
    </xf>
    <xf numFmtId="3" fontId="6" fillId="4" borderId="3" xfId="0" applyNumberFormat="1" applyFont="1" applyFill="1" applyBorder="1" applyAlignment="1" applyProtection="1">
      <alignment horizontal="center" wrapText="1"/>
      <protection locked="0"/>
    </xf>
    <xf numFmtId="0" fontId="5" fillId="3" borderId="3" xfId="0" applyFont="1" applyFill="1" applyBorder="1" applyAlignment="1" applyProtection="1">
      <alignment horizontal="center"/>
      <protection locked="0"/>
    </xf>
    <xf numFmtId="3" fontId="4" fillId="2" borderId="3" xfId="0" applyNumberFormat="1" applyFont="1" applyFill="1" applyBorder="1"/>
    <xf numFmtId="3" fontId="4" fillId="2" borderId="3" xfId="0" applyNumberFormat="1" applyFont="1" applyFill="1" applyBorder="1" applyProtection="1">
      <protection locked="0"/>
    </xf>
    <xf numFmtId="0" fontId="4" fillId="0" borderId="3" xfId="0" applyFont="1" applyFill="1" applyBorder="1"/>
    <xf numFmtId="3" fontId="4" fillId="0" borderId="3" xfId="0" applyNumberFormat="1" applyFont="1" applyFill="1" applyBorder="1" applyProtection="1">
      <protection locked="0"/>
    </xf>
    <xf numFmtId="0" fontId="4" fillId="0" borderId="3" xfId="0" applyFont="1" applyBorder="1"/>
    <xf numFmtId="3" fontId="4" fillId="0" borderId="3" xfId="0" applyNumberFormat="1" applyFont="1" applyBorder="1" applyProtection="1">
      <protection locked="0"/>
    </xf>
    <xf numFmtId="0" fontId="3" fillId="3" borderId="3" xfId="0" applyFont="1" applyFill="1" applyBorder="1" applyAlignment="1">
      <alignment horizontal="center" wrapText="1"/>
    </xf>
    <xf numFmtId="49" fontId="3" fillId="3" borderId="3" xfId="0" applyNumberFormat="1" applyFont="1" applyFill="1" applyBorder="1" applyAlignment="1">
      <alignment horizontal="center" wrapText="1"/>
    </xf>
    <xf numFmtId="0" fontId="4" fillId="5" borderId="3" xfId="0" applyFont="1" applyFill="1" applyBorder="1"/>
    <xf numFmtId="0" fontId="4" fillId="5" borderId="3" xfId="0" applyFont="1" applyFill="1" applyBorder="1" applyAlignment="1">
      <alignment/>
    </xf>
    <xf numFmtId="0" fontId="4" fillId="3" borderId="3" xfId="0" applyFont="1" applyFill="1" applyBorder="1"/>
    <xf numFmtId="0" fontId="8" fillId="2" borderId="3" xfId="0" applyFont="1" applyFill="1" applyBorder="1" applyProtection="1">
      <protection locked="0"/>
    </xf>
    <xf numFmtId="0" fontId="4" fillId="3" borderId="3" xfId="0" applyFont="1" applyFill="1" applyBorder="1" applyAlignment="1">
      <alignment horizontal="center"/>
    </xf>
    <xf numFmtId="0" fontId="0" fillId="5" borderId="0" xfId="0" applyFill="1"/>
    <xf numFmtId="0" fontId="5" fillId="2" borderId="3" xfId="0" applyFont="1" applyFill="1" applyBorder="1"/>
    <xf numFmtId="0" fontId="5" fillId="5" borderId="3" xfId="0" applyFont="1" applyFill="1" applyBorder="1"/>
    <xf numFmtId="0" fontId="9" fillId="4" borderId="3" xfId="0" applyFont="1" applyFill="1" applyBorder="1"/>
    <xf numFmtId="0" fontId="0" fillId="0" borderId="0" xfId="0" applyFill="1"/>
    <xf numFmtId="0" fontId="4" fillId="0" borderId="2" xfId="0" applyFont="1" applyBorder="1" applyAlignment="1" applyProtection="1">
      <alignment horizontal="center"/>
      <protection locked="0"/>
    </xf>
    <xf numFmtId="0" fontId="5" fillId="3" borderId="2" xfId="0" applyFont="1" applyFill="1" applyBorder="1" applyAlignment="1">
      <alignment horizontal="center" vertical="center"/>
    </xf>
    <xf numFmtId="0" fontId="4" fillId="0" borderId="3" xfId="0" applyFont="1" applyBorder="1" applyAlignment="1" applyProtection="1">
      <alignment horizontal="center"/>
      <protection locked="0"/>
    </xf>
    <xf numFmtId="0" fontId="5" fillId="3" borderId="3" xfId="0" applyFont="1" applyFill="1" applyBorder="1" applyAlignment="1">
      <alignment horizontal="center" vertical="center"/>
    </xf>
    <xf numFmtId="0" fontId="4" fillId="0" borderId="4" xfId="0" applyFont="1" applyFill="1" applyBorder="1" applyAlignment="1" applyProtection="1">
      <alignment horizontal="left" vertical="center"/>
      <protection locked="0"/>
    </xf>
    <xf numFmtId="0" fontId="11" fillId="3" borderId="3" xfId="0" applyFont="1" applyFill="1" applyBorder="1" applyAlignment="1">
      <alignment horizontal="center" wrapText="1"/>
    </xf>
    <xf numFmtId="49" fontId="11" fillId="3" borderId="3" xfId="0" applyNumberFormat="1" applyFont="1" applyFill="1" applyBorder="1" applyAlignment="1">
      <alignment horizontal="center" wrapText="1"/>
    </xf>
    <xf numFmtId="0" fontId="5" fillId="5" borderId="3" xfId="0" applyFont="1" applyFill="1" applyBorder="1" applyAlignment="1">
      <alignment horizontal="center"/>
    </xf>
    <xf numFmtId="0" fontId="12" fillId="5" borderId="3" xfId="0" applyFont="1" applyFill="1" applyBorder="1" applyAlignment="1">
      <alignment horizontal="center"/>
    </xf>
    <xf numFmtId="0" fontId="5" fillId="5" borderId="3" xfId="0" applyFont="1" applyFill="1" applyBorder="1" applyAlignment="1">
      <alignment vertical="center"/>
    </xf>
    <xf numFmtId="164" fontId="4" fillId="2" borderId="3" xfId="0" applyNumberFormat="1" applyFont="1" applyFill="1" applyBorder="1"/>
    <xf numFmtId="164" fontId="4" fillId="0" borderId="3" xfId="0" applyNumberFormat="1" applyFont="1" applyBorder="1" applyProtection="1">
      <protection locked="0"/>
    </xf>
    <xf numFmtId="0" fontId="5" fillId="3" borderId="3" xfId="0" applyFont="1" applyFill="1" applyBorder="1" applyAlignment="1">
      <alignment horizontal="center"/>
    </xf>
    <xf numFmtId="0" fontId="5" fillId="5" borderId="3" xfId="0" applyFont="1" applyFill="1" applyBorder="1" applyAlignment="1">
      <alignment/>
    </xf>
    <xf numFmtId="0" fontId="4" fillId="5" borderId="2" xfId="0" applyFont="1" applyFill="1" applyBorder="1" applyAlignment="1" applyProtection="1">
      <alignment/>
      <protection locked="0"/>
    </xf>
    <xf numFmtId="0" fontId="5" fillId="5" borderId="2" xfId="0" applyFont="1" applyFill="1" applyBorder="1" applyAlignment="1">
      <alignment/>
    </xf>
    <xf numFmtId="0" fontId="5" fillId="3" borderId="3" xfId="0" applyFont="1" applyFill="1" applyBorder="1"/>
    <xf numFmtId="0" fontId="5" fillId="4" borderId="3" xfId="0" applyFont="1" applyFill="1" applyBorder="1" applyAlignment="1" applyProtection="1">
      <alignment horizontal="center"/>
      <protection locked="0"/>
    </xf>
    <xf numFmtId="0" fontId="5" fillId="5" borderId="5" xfId="0" applyFont="1" applyFill="1" applyBorder="1" applyAlignment="1">
      <alignment/>
    </xf>
    <xf numFmtId="0" fontId="5" fillId="5" borderId="6" xfId="0" applyFont="1" applyFill="1" applyBorder="1" applyAlignment="1">
      <alignment/>
    </xf>
    <xf numFmtId="0" fontId="9" fillId="4" borderId="7" xfId="0" applyFont="1" applyFill="1" applyBorder="1" applyAlignment="1">
      <alignment/>
    </xf>
    <xf numFmtId="0" fontId="0" fillId="0" borderId="0" xfId="0" applyFill="1" applyBorder="1"/>
    <xf numFmtId="164" fontId="4" fillId="4" borderId="2" xfId="0" applyNumberFormat="1" applyFont="1" applyFill="1" applyBorder="1" applyAlignment="1">
      <alignment horizontal="right"/>
    </xf>
    <xf numFmtId="164" fontId="4" fillId="4" borderId="3" xfId="0" applyNumberFormat="1" applyFont="1" applyFill="1" applyBorder="1" applyProtection="1">
      <protection locked="0"/>
    </xf>
    <xf numFmtId="0" fontId="5" fillId="3" borderId="3" xfId="0" applyFont="1" applyFill="1" applyBorder="1" applyAlignment="1">
      <alignment vertical="center"/>
    </xf>
    <xf numFmtId="0" fontId="5" fillId="5" borderId="7" xfId="0" applyFont="1" applyFill="1" applyBorder="1" applyAlignment="1">
      <alignment/>
    </xf>
    <xf numFmtId="165" fontId="4" fillId="2" borderId="3" xfId="0" applyNumberFormat="1" applyFont="1" applyFill="1" applyBorder="1"/>
    <xf numFmtId="0" fontId="4" fillId="5" borderId="3" xfId="0" applyFont="1" applyFill="1" applyBorder="1" applyAlignment="1">
      <alignment horizontal="center"/>
    </xf>
    <xf numFmtId="0" fontId="5" fillId="3" borderId="7" xfId="0" applyFont="1" applyFill="1" applyBorder="1" applyAlignment="1">
      <alignment vertical="center"/>
    </xf>
    <xf numFmtId="0" fontId="4" fillId="5" borderId="3" xfId="0" applyFont="1" applyFill="1" applyBorder="1" applyAlignment="1" applyProtection="1">
      <alignment horizontal="center"/>
      <protection locked="0"/>
    </xf>
    <xf numFmtId="0" fontId="9" fillId="5" borderId="5" xfId="0" applyFont="1" applyFill="1" applyBorder="1" applyAlignment="1">
      <alignment/>
    </xf>
    <xf numFmtId="0" fontId="9" fillId="5" borderId="6" xfId="0" applyFont="1" applyFill="1" applyBorder="1" applyAlignment="1">
      <alignment/>
    </xf>
    <xf numFmtId="0" fontId="5" fillId="5" borderId="2" xfId="0" applyFont="1" applyFill="1" applyBorder="1"/>
    <xf numFmtId="0" fontId="5" fillId="5" borderId="2" xfId="0" applyFont="1" applyFill="1" applyBorder="1" applyAlignment="1">
      <alignment vertical="center"/>
    </xf>
    <xf numFmtId="164" fontId="5" fillId="4" borderId="3" xfId="0" applyNumberFormat="1" applyFont="1" applyFill="1" applyBorder="1" applyAlignment="1">
      <alignment/>
    </xf>
    <xf numFmtId="164" fontId="5" fillId="4" borderId="3" xfId="0" applyNumberFormat="1" applyFont="1" applyFill="1" applyBorder="1" applyAlignment="1" applyProtection="1">
      <alignment/>
      <protection locked="0"/>
    </xf>
    <xf numFmtId="164" fontId="5" fillId="3" borderId="3" xfId="0" applyNumberFormat="1" applyFont="1" applyFill="1" applyBorder="1" applyAlignment="1">
      <alignment/>
    </xf>
    <xf numFmtId="0" fontId="1" fillId="5" borderId="3" xfId="0" applyFont="1" applyFill="1" applyBorder="1" applyAlignment="1">
      <alignment horizontal="center"/>
    </xf>
    <xf numFmtId="164" fontId="14" fillId="5" borderId="3" xfId="23" applyNumberFormat="1" applyFill="1" applyBorder="1" applyAlignment="1" applyProtection="1" quotePrefix="1">
      <alignment/>
      <protection/>
    </xf>
    <xf numFmtId="164" fontId="14" fillId="5" borderId="3" xfId="23" applyNumberFormat="1" applyFill="1" applyBorder="1" applyAlignment="1" applyProtection="1">
      <alignment horizontal="center"/>
      <protection/>
    </xf>
    <xf numFmtId="0" fontId="14" fillId="0" borderId="0" xfId="23" applyAlignment="1" applyProtection="1" quotePrefix="1">
      <alignment/>
      <protection/>
    </xf>
    <xf numFmtId="164" fontId="14" fillId="5" borderId="3" xfId="23" applyNumberFormat="1" applyFill="1" applyBorder="1" applyAlignment="1" applyProtection="1" quotePrefix="1">
      <alignment horizontal="center"/>
      <protection/>
    </xf>
    <xf numFmtId="0" fontId="5" fillId="5" borderId="3" xfId="0" applyFont="1" applyFill="1" applyBorder="1" applyAlignment="1">
      <alignment horizontal="center" vertical="center"/>
    </xf>
    <xf numFmtId="3" fontId="5" fillId="2" borderId="3" xfId="0" applyNumberFormat="1" applyFont="1" applyFill="1" applyBorder="1"/>
    <xf numFmtId="166" fontId="0" fillId="0" borderId="0" xfId="0" applyNumberFormat="1"/>
    <xf numFmtId="167" fontId="0" fillId="0" borderId="0" xfId="0" applyNumberFormat="1"/>
    <xf numFmtId="3" fontId="5" fillId="5" borderId="5" xfId="0" applyNumberFormat="1" applyFont="1" applyFill="1" applyBorder="1" applyAlignment="1">
      <alignment/>
    </xf>
    <xf numFmtId="0" fontId="5" fillId="3" borderId="3" xfId="0" applyFont="1" applyFill="1" applyBorder="1" applyProtection="1">
      <protection locked="0"/>
    </xf>
    <xf numFmtId="0" fontId="5" fillId="3" borderId="3" xfId="0" applyFont="1" applyFill="1" applyBorder="1" applyAlignment="1">
      <alignment horizontal="left" vertical="center"/>
    </xf>
    <xf numFmtId="164" fontId="5" fillId="2" borderId="3" xfId="0" applyNumberFormat="1" applyFont="1" applyFill="1" applyBorder="1"/>
    <xf numFmtId="164" fontId="5" fillId="4" borderId="3" xfId="0" applyNumberFormat="1" applyFont="1" applyFill="1" applyBorder="1" applyProtection="1">
      <protection locked="0"/>
    </xf>
    <xf numFmtId="3" fontId="5" fillId="4" borderId="3" xfId="0" applyNumberFormat="1" applyFont="1" applyFill="1" applyBorder="1" applyProtection="1">
      <protection locked="0"/>
    </xf>
    <xf numFmtId="164" fontId="5" fillId="3" borderId="3" xfId="0" applyNumberFormat="1" applyFont="1" applyFill="1" applyBorder="1" applyProtection="1">
      <protection locked="0"/>
    </xf>
    <xf numFmtId="0" fontId="4" fillId="5" borderId="0" xfId="0" applyFont="1" applyFill="1"/>
    <xf numFmtId="0" fontId="0" fillId="0" borderId="0" xfId="0" applyBorder="1"/>
    <xf numFmtId="0" fontId="5" fillId="5" borderId="7" xfId="0" applyFont="1" applyFill="1" applyBorder="1" applyAlignment="1">
      <alignment horizontal="right"/>
    </xf>
    <xf numFmtId="0" fontId="5" fillId="5" borderId="8" xfId="0" applyFont="1" applyFill="1" applyBorder="1" applyAlignment="1">
      <alignment horizontal="right"/>
    </xf>
    <xf numFmtId="0" fontId="5" fillId="5" borderId="9" xfId="0" applyFont="1" applyFill="1" applyBorder="1" applyAlignment="1">
      <alignment horizontal="right"/>
    </xf>
    <xf numFmtId="0" fontId="3" fillId="6" borderId="10" xfId="0" applyFont="1" applyFill="1" applyBorder="1"/>
    <xf numFmtId="0" fontId="3" fillId="6" borderId="11" xfId="0" applyFont="1" applyFill="1" applyBorder="1"/>
    <xf numFmtId="0" fontId="15" fillId="7" borderId="12" xfId="0" applyFont="1" applyFill="1" applyBorder="1"/>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xf numFmtId="0" fontId="16" fillId="8" borderId="16" xfId="0" applyFont="1" applyFill="1" applyBorder="1" applyAlignment="1">
      <alignment horizontal="center" wrapText="1"/>
    </xf>
    <xf numFmtId="0" fontId="16" fillId="8" borderId="17" xfId="0" applyFont="1" applyFill="1" applyBorder="1" applyAlignment="1">
      <alignment horizontal="center" wrapText="1"/>
    </xf>
    <xf numFmtId="0" fontId="16" fillId="9" borderId="18" xfId="0" applyFont="1" applyFill="1" applyBorder="1" applyAlignment="1">
      <alignment horizontal="center"/>
    </xf>
    <xf numFmtId="0" fontId="15" fillId="0" borderId="0" xfId="0" applyFont="1" applyFill="1" applyBorder="1" applyAlignment="1">
      <alignment horizontal="center" vertical="center"/>
    </xf>
    <xf numFmtId="0" fontId="15" fillId="0" borderId="19" xfId="0" applyFont="1" applyFill="1" applyBorder="1" applyAlignment="1">
      <alignment horizontal="center" vertical="center"/>
    </xf>
    <xf numFmtId="0" fontId="3" fillId="6" borderId="20" xfId="0" applyFont="1" applyFill="1" applyBorder="1"/>
    <xf numFmtId="0" fontId="3" fillId="6" borderId="20" xfId="0" applyFont="1" applyFill="1" applyBorder="1" applyAlignment="1">
      <alignment horizontal="center"/>
    </xf>
    <xf numFmtId="44" fontId="3" fillId="9" borderId="21" xfId="21" applyFont="1" applyFill="1" applyBorder="1"/>
    <xf numFmtId="0" fontId="15" fillId="7" borderId="22" xfId="0" applyFont="1" applyFill="1" applyBorder="1"/>
    <xf numFmtId="0" fontId="15" fillId="7" borderId="23" xfId="0" applyFont="1" applyFill="1" applyBorder="1"/>
    <xf numFmtId="0" fontId="18" fillId="0" borderId="24" xfId="21" applyNumberFormat="1" applyFont="1" applyFill="1" applyBorder="1" applyAlignment="1">
      <alignment horizontal="center"/>
    </xf>
    <xf numFmtId="44" fontId="18" fillId="0" borderId="24" xfId="21" applyNumberFormat="1" applyFont="1" applyFill="1" applyBorder="1" applyAlignment="1">
      <alignment horizontal="center"/>
    </xf>
    <xf numFmtId="0" fontId="0" fillId="0" borderId="25" xfId="0" applyFill="1" applyBorder="1" applyAlignment="1">
      <alignment horizontal="center"/>
    </xf>
    <xf numFmtId="0" fontId="0" fillId="0" borderId="15" xfId="0" applyFill="1" applyBorder="1" applyAlignment="1">
      <alignment horizontal="left"/>
    </xf>
    <xf numFmtId="0" fontId="16" fillId="8" borderId="26" xfId="0" applyFont="1" applyFill="1" applyBorder="1" applyAlignment="1">
      <alignment horizontal="center" wrapText="1"/>
    </xf>
    <xf numFmtId="0" fontId="16" fillId="8" borderId="14" xfId="0" applyFont="1" applyFill="1" applyBorder="1" applyAlignment="1">
      <alignment horizontal="center" wrapText="1"/>
    </xf>
    <xf numFmtId="0" fontId="16" fillId="9" borderId="27" xfId="0" applyFont="1" applyFill="1" applyBorder="1" applyAlignment="1">
      <alignment horizontal="center" wrapText="1"/>
    </xf>
    <xf numFmtId="0" fontId="16" fillId="9" borderId="27" xfId="0" applyFont="1" applyFill="1" applyBorder="1" applyAlignment="1">
      <alignment horizontal="center"/>
    </xf>
    <xf numFmtId="0" fontId="16" fillId="9" borderId="28" xfId="0" applyFont="1" applyFill="1" applyBorder="1" applyAlignment="1">
      <alignment horizontal="center" wrapText="1"/>
    </xf>
    <xf numFmtId="0" fontId="16" fillId="9" borderId="29" xfId="0" applyFont="1" applyFill="1" applyBorder="1" applyAlignment="1">
      <alignment horizontal="center"/>
    </xf>
    <xf numFmtId="0" fontId="0" fillId="0" borderId="30" xfId="0" applyFill="1" applyBorder="1" applyAlignment="1">
      <alignment/>
    </xf>
    <xf numFmtId="0" fontId="0" fillId="0" borderId="31" xfId="0" applyFill="1" applyBorder="1" applyAlignment="1">
      <alignment/>
    </xf>
    <xf numFmtId="0" fontId="0" fillId="8" borderId="32" xfId="0" applyFill="1" applyBorder="1"/>
    <xf numFmtId="0" fontId="19" fillId="8" borderId="20" xfId="0" applyFont="1" applyFill="1" applyBorder="1"/>
    <xf numFmtId="0" fontId="20" fillId="8" borderId="20" xfId="0" applyFont="1" applyFill="1" applyBorder="1"/>
    <xf numFmtId="0" fontId="19" fillId="8" borderId="20" xfId="0" applyFont="1" applyFill="1" applyBorder="1" applyAlignment="1">
      <alignment horizontal="center"/>
    </xf>
    <xf numFmtId="44" fontId="3" fillId="9" borderId="21" xfId="0" applyNumberFormat="1" applyFont="1" applyFill="1" applyBorder="1"/>
    <xf numFmtId="0" fontId="0" fillId="0" borderId="33" xfId="0" applyBorder="1"/>
    <xf numFmtId="0" fontId="18" fillId="0" borderId="34" xfId="0" applyFont="1" applyFill="1" applyBorder="1" applyAlignment="1">
      <alignment horizontal="center"/>
    </xf>
    <xf numFmtId="0" fontId="18" fillId="0" borderId="20" xfId="0" applyFont="1" applyFill="1" applyBorder="1" applyAlignment="1">
      <alignment horizontal="center"/>
    </xf>
    <xf numFmtId="0" fontId="18" fillId="0" borderId="21" xfId="0" applyFont="1" applyFill="1" applyBorder="1" applyAlignment="1">
      <alignment horizontal="center"/>
    </xf>
    <xf numFmtId="0" fontId="18" fillId="0" borderId="35" xfId="0" applyFont="1" applyFill="1" applyBorder="1" applyAlignment="1">
      <alignment horizontal="center"/>
    </xf>
    <xf numFmtId="0" fontId="0" fillId="0" borderId="36" xfId="0" applyBorder="1" applyAlignment="1">
      <alignment horizontal="center"/>
    </xf>
    <xf numFmtId="44" fontId="18" fillId="0" borderId="37" xfId="21" applyFont="1" applyFill="1" applyBorder="1" applyAlignment="1">
      <alignment horizontal="center"/>
    </xf>
    <xf numFmtId="0" fontId="0" fillId="0" borderId="38" xfId="0" applyFill="1" applyBorder="1" applyAlignment="1">
      <alignment horizontal="left"/>
    </xf>
    <xf numFmtId="0" fontId="0" fillId="0" borderId="39" xfId="0" applyFill="1" applyBorder="1" applyAlignment="1">
      <alignment horizontal="left"/>
    </xf>
    <xf numFmtId="0" fontId="16" fillId="8" borderId="40" xfId="0" applyFont="1" applyFill="1" applyBorder="1" applyAlignment="1">
      <alignment horizontal="center" wrapText="1"/>
    </xf>
    <xf numFmtId="0" fontId="16" fillId="8" borderId="29" xfId="0" applyFont="1" applyFill="1" applyBorder="1" applyAlignment="1">
      <alignment horizontal="center" wrapText="1"/>
    </xf>
    <xf numFmtId="0" fontId="16" fillId="9" borderId="41" xfId="0" applyFont="1" applyFill="1" applyBorder="1" applyAlignment="1">
      <alignment horizontal="center" wrapText="1"/>
    </xf>
    <xf numFmtId="0" fontId="16" fillId="9" borderId="41" xfId="0" applyFont="1" applyFill="1" applyBorder="1" applyAlignment="1">
      <alignment horizontal="center"/>
    </xf>
    <xf numFmtId="0" fontId="16" fillId="9" borderId="42" xfId="0" applyFont="1" applyFill="1" applyBorder="1" applyAlignment="1">
      <alignment horizontal="center" wrapText="1"/>
    </xf>
    <xf numFmtId="0" fontId="16" fillId="9" borderId="31" xfId="0" applyFont="1" applyFill="1" applyBorder="1" applyAlignment="1">
      <alignment horizontal="center"/>
    </xf>
    <xf numFmtId="0" fontId="0" fillId="0" borderId="43" xfId="0" applyFill="1" applyBorder="1"/>
    <xf numFmtId="168" fontId="3" fillId="0" borderId="0" xfId="0" applyNumberFormat="1" applyFont="1" applyFill="1" applyBorder="1"/>
    <xf numFmtId="0" fontId="3" fillId="0" borderId="0" xfId="0" applyFont="1" applyFill="1" applyBorder="1"/>
    <xf numFmtId="0" fontId="3" fillId="0" borderId="0" xfId="0" applyFont="1" applyFill="1" applyBorder="1" applyAlignment="1">
      <alignment horizontal="center"/>
    </xf>
    <xf numFmtId="44" fontId="3" fillId="0" borderId="0" xfId="21" applyFont="1" applyFill="1" applyBorder="1"/>
    <xf numFmtId="0" fontId="3" fillId="0" borderId="30" xfId="0" applyFont="1" applyFill="1" applyBorder="1"/>
    <xf numFmtId="0" fontId="3" fillId="0" borderId="19" xfId="0" applyFont="1" applyFill="1" applyBorder="1"/>
    <xf numFmtId="168" fontId="3" fillId="6" borderId="20" xfId="0" applyNumberFormat="1" applyFont="1" applyFill="1" applyBorder="1"/>
    <xf numFmtId="44" fontId="18" fillId="0" borderId="44" xfId="21" applyNumberFormat="1" applyFont="1" applyFill="1" applyBorder="1" applyAlignment="1">
      <alignment horizontal="center"/>
    </xf>
    <xf numFmtId="0" fontId="21" fillId="0" borderId="15" xfId="0" applyFont="1" applyFill="1" applyBorder="1" applyAlignment="1">
      <alignment horizontal="left"/>
    </xf>
    <xf numFmtId="0" fontId="16" fillId="8" borderId="45" xfId="0" applyFont="1" applyFill="1" applyBorder="1" applyAlignment="1">
      <alignment horizontal="center" wrapText="1"/>
    </xf>
    <xf numFmtId="0" fontId="16" fillId="9" borderId="28" xfId="0" applyFont="1" applyFill="1" applyBorder="1" applyAlignment="1">
      <alignment horizontal="center"/>
    </xf>
    <xf numFmtId="0" fontId="20" fillId="8" borderId="20" xfId="0" applyFont="1" applyFill="1" applyBorder="1" applyAlignment="1">
      <alignment horizontal="center"/>
    </xf>
    <xf numFmtId="0" fontId="18" fillId="0" borderId="46" xfId="0" applyFont="1" applyFill="1" applyBorder="1" applyAlignment="1">
      <alignment horizontal="center"/>
    </xf>
    <xf numFmtId="0" fontId="18" fillId="0" borderId="11" xfId="0" applyFont="1" applyFill="1" applyBorder="1" applyAlignment="1">
      <alignment horizontal="center"/>
    </xf>
    <xf numFmtId="0" fontId="18" fillId="0" borderId="47" xfId="0" applyFont="1" applyFill="1" applyBorder="1" applyAlignment="1">
      <alignment horizontal="center"/>
    </xf>
    <xf numFmtId="0" fontId="18" fillId="0" borderId="48" xfId="0" applyFont="1" applyFill="1" applyBorder="1" applyAlignment="1">
      <alignment horizontal="center"/>
    </xf>
    <xf numFmtId="0" fontId="0" fillId="0" borderId="49" xfId="0" applyBorder="1" applyAlignment="1">
      <alignment horizontal="center"/>
    </xf>
    <xf numFmtId="44" fontId="18" fillId="0" borderId="47" xfId="21" applyFont="1" applyFill="1" applyBorder="1" applyAlignment="1">
      <alignment horizontal="center"/>
    </xf>
    <xf numFmtId="0" fontId="0" fillId="0" borderId="50" xfId="0" applyFill="1" applyBorder="1" applyAlignment="1">
      <alignment horizontal="left"/>
    </xf>
    <xf numFmtId="0" fontId="0" fillId="0" borderId="51" xfId="0" applyFill="1" applyBorder="1" applyAlignment="1">
      <alignment horizontal="left"/>
    </xf>
    <xf numFmtId="0" fontId="16" fillId="8" borderId="41" xfId="0" applyFont="1" applyFill="1" applyBorder="1" applyAlignment="1">
      <alignment horizontal="center" wrapText="1"/>
    </xf>
    <xf numFmtId="0" fontId="0" fillId="0" borderId="32" xfId="0" applyBorder="1"/>
    <xf numFmtId="0" fontId="0" fillId="0" borderId="52" xfId="0" applyBorder="1"/>
    <xf numFmtId="0" fontId="3" fillId="0" borderId="52" xfId="0" applyFont="1" applyBorder="1"/>
    <xf numFmtId="0" fontId="3" fillId="0" borderId="23" xfId="0" applyFont="1" applyBorder="1"/>
    <xf numFmtId="10" fontId="19" fillId="0" borderId="0" xfId="22" applyNumberFormat="1" applyFont="1" applyAlignment="1">
      <alignment horizontal="center" vertical="center"/>
    </xf>
    <xf numFmtId="0" fontId="0" fillId="8" borderId="53" xfId="0" applyFill="1" applyBorder="1"/>
    <xf numFmtId="43" fontId="3" fillId="6" borderId="20" xfId="0" applyNumberFormat="1" applyFont="1" applyFill="1" applyBorder="1"/>
    <xf numFmtId="0" fontId="15" fillId="7" borderId="0" xfId="0" applyFont="1" applyFill="1" applyBorder="1"/>
    <xf numFmtId="0" fontId="15" fillId="7" borderId="19" xfId="0" applyFont="1" applyFill="1" applyBorder="1"/>
    <xf numFmtId="10" fontId="20" fillId="0" borderId="0" xfId="22" applyNumberFormat="1" applyFont="1" applyAlignment="1">
      <alignment horizontal="center" vertical="center"/>
    </xf>
    <xf numFmtId="0" fontId="0" fillId="0" borderId="14" xfId="0" applyBorder="1"/>
    <xf numFmtId="43" fontId="18" fillId="0" borderId="14" xfId="20" applyNumberFormat="1" applyFont="1" applyFill="1" applyBorder="1" applyAlignment="1">
      <alignment horizontal="center"/>
    </xf>
    <xf numFmtId="168" fontId="18" fillId="0" borderId="14" xfId="20" applyNumberFormat="1" applyFont="1" applyFill="1" applyBorder="1" applyAlignment="1">
      <alignment horizontal="center"/>
    </xf>
    <xf numFmtId="1" fontId="18" fillId="0" borderId="54" xfId="21" applyNumberFormat="1" applyFont="1" applyFill="1" applyBorder="1" applyAlignment="1">
      <alignment horizontal="center"/>
    </xf>
    <xf numFmtId="0" fontId="0" fillId="0" borderId="14" xfId="0" applyBorder="1" applyAlignment="1">
      <alignment horizontal="center"/>
    </xf>
    <xf numFmtId="44" fontId="18" fillId="0" borderId="55" xfId="21" applyNumberFormat="1" applyFont="1" applyFill="1" applyBorder="1" applyAlignment="1">
      <alignment horizontal="center"/>
    </xf>
    <xf numFmtId="44" fontId="18" fillId="0" borderId="54" xfId="21" applyNumberFormat="1" applyFont="1" applyFill="1" applyBorder="1" applyAlignment="1">
      <alignment horizontal="center"/>
    </xf>
    <xf numFmtId="44" fontId="21" fillId="0" borderId="24" xfId="21" applyNumberFormat="1" applyFont="1" applyFill="1" applyBorder="1" applyAlignment="1">
      <alignment horizontal="center"/>
    </xf>
    <xf numFmtId="0" fontId="0" fillId="0" borderId="56" xfId="0" applyFill="1" applyBorder="1" applyAlignment="1">
      <alignment horizontal="center"/>
    </xf>
    <xf numFmtId="0" fontId="20" fillId="0" borderId="39" xfId="0" applyFont="1" applyFill="1" applyBorder="1" applyAlignment="1">
      <alignment horizontal="left"/>
    </xf>
    <xf numFmtId="0" fontId="20" fillId="0" borderId="0" xfId="0" applyFont="1"/>
    <xf numFmtId="0" fontId="20" fillId="0" borderId="14" xfId="0" applyFont="1" applyBorder="1"/>
    <xf numFmtId="168" fontId="21" fillId="0" borderId="14" xfId="20" applyNumberFormat="1" applyFont="1" applyFill="1" applyBorder="1" applyAlignment="1">
      <alignment horizontal="center"/>
    </xf>
    <xf numFmtId="43" fontId="21" fillId="0" borderId="14" xfId="20" applyNumberFormat="1" applyFont="1" applyFill="1" applyBorder="1" applyAlignment="1">
      <alignment horizontal="center"/>
    </xf>
    <xf numFmtId="1" fontId="21" fillId="0" borderId="54" xfId="21" applyNumberFormat="1" applyFont="1" applyFill="1" applyBorder="1" applyAlignment="1">
      <alignment horizontal="center"/>
    </xf>
    <xf numFmtId="0" fontId="20" fillId="0" borderId="14" xfId="0" applyFont="1" applyBorder="1" applyAlignment="1">
      <alignment horizontal="center"/>
    </xf>
    <xf numFmtId="44" fontId="21" fillId="0" borderId="54" xfId="21" applyNumberFormat="1" applyFont="1" applyFill="1" applyBorder="1" applyAlignment="1">
      <alignment horizontal="center"/>
    </xf>
    <xf numFmtId="0" fontId="20" fillId="0" borderId="56" xfId="0" applyFont="1" applyFill="1" applyBorder="1" applyAlignment="1">
      <alignment horizontal="center"/>
    </xf>
    <xf numFmtId="169" fontId="21" fillId="0" borderId="14" xfId="20" applyNumberFormat="1" applyFont="1" applyFill="1" applyBorder="1" applyAlignment="1">
      <alignment horizontal="center"/>
    </xf>
    <xf numFmtId="44" fontId="21" fillId="0" borderId="55" xfId="21" applyNumberFormat="1" applyFont="1" applyFill="1" applyBorder="1" applyAlignment="1">
      <alignment horizontal="center"/>
    </xf>
    <xf numFmtId="0" fontId="3" fillId="0" borderId="0" xfId="0" applyFont="1" applyAlignment="1">
      <alignment horizontal="center" vertical="center"/>
    </xf>
    <xf numFmtId="0" fontId="16" fillId="8" borderId="57" xfId="0" applyFont="1" applyFill="1" applyBorder="1" applyAlignment="1">
      <alignment horizontal="center"/>
    </xf>
    <xf numFmtId="0" fontId="16" fillId="8" borderId="27" xfId="0" applyFont="1" applyFill="1" applyBorder="1" applyAlignment="1">
      <alignment horizontal="center" wrapText="1"/>
    </xf>
    <xf numFmtId="0" fontId="16" fillId="9" borderId="15" xfId="0" applyFont="1" applyFill="1" applyBorder="1" applyAlignment="1">
      <alignment horizontal="center"/>
    </xf>
    <xf numFmtId="0" fontId="16" fillId="8" borderId="58" xfId="0" applyFont="1" applyFill="1" applyBorder="1" applyAlignment="1">
      <alignment/>
    </xf>
    <xf numFmtId="0" fontId="16" fillId="8" borderId="59" xfId="0" applyFont="1" applyFill="1" applyBorder="1" applyAlignment="1">
      <alignment/>
    </xf>
    <xf numFmtId="0" fontId="22" fillId="9" borderId="60" xfId="0" applyFont="1" applyFill="1" applyBorder="1" applyAlignment="1">
      <alignment/>
    </xf>
    <xf numFmtId="0" fontId="22" fillId="9" borderId="61" xfId="0" applyFont="1" applyFill="1" applyBorder="1" applyAlignment="1">
      <alignment/>
    </xf>
    <xf numFmtId="0" fontId="22" fillId="9" borderId="62" xfId="0" applyFont="1" applyFill="1" applyBorder="1" applyAlignment="1">
      <alignment/>
    </xf>
    <xf numFmtId="0" fontId="22" fillId="9" borderId="63" xfId="0" applyFont="1" applyFill="1" applyBorder="1" applyAlignment="1">
      <alignment horizontal="center"/>
    </xf>
    <xf numFmtId="0" fontId="22" fillId="9" borderId="64" xfId="0" applyFont="1" applyFill="1" applyBorder="1" applyAlignment="1">
      <alignment horizontal="center"/>
    </xf>
    <xf numFmtId="0" fontId="20" fillId="0" borderId="0" xfId="0" applyFont="1" applyFill="1" applyBorder="1" applyAlignment="1">
      <alignment horizontal="center"/>
    </xf>
    <xf numFmtId="0" fontId="19" fillId="0" borderId="0" xfId="0" applyFont="1" applyFill="1" applyBorder="1" applyAlignment="1">
      <alignment horizontal="center"/>
    </xf>
    <xf numFmtId="44" fontId="23" fillId="9" borderId="65" xfId="0" applyNumberFormat="1" applyFont="1" applyFill="1" applyBorder="1" applyAlignment="1">
      <alignment horizontal="center"/>
    </xf>
    <xf numFmtId="44" fontId="23" fillId="9" borderId="21" xfId="0" applyNumberFormat="1" applyFont="1" applyFill="1" applyBorder="1" applyAlignment="1">
      <alignment horizontal="center"/>
    </xf>
    <xf numFmtId="0" fontId="15" fillId="7" borderId="66" xfId="0" applyFont="1" applyFill="1" applyBorder="1" applyAlignment="1">
      <alignment horizontal="center"/>
    </xf>
    <xf numFmtId="2" fontId="23" fillId="6" borderId="53" xfId="0" applyNumberFormat="1" applyFont="1" applyFill="1" applyBorder="1" applyAlignment="1">
      <alignment horizontal="right"/>
    </xf>
    <xf numFmtId="2" fontId="23" fillId="6" borderId="20" xfId="0" applyNumberFormat="1" applyFont="1" applyFill="1" applyBorder="1" applyAlignment="1">
      <alignment horizontal="right"/>
    </xf>
    <xf numFmtId="44" fontId="19" fillId="0" borderId="67" xfId="0" applyNumberFormat="1" applyFont="1" applyFill="1" applyBorder="1" applyAlignment="1">
      <alignment horizontal="center"/>
    </xf>
    <xf numFmtId="44" fontId="19" fillId="0" borderId="68" xfId="0" applyNumberFormat="1" applyFont="1" applyFill="1" applyBorder="1" applyAlignment="1">
      <alignment horizontal="center"/>
    </xf>
    <xf numFmtId="0" fontId="19" fillId="0" borderId="69" xfId="0" applyFont="1" applyFill="1" applyBorder="1" applyAlignment="1">
      <alignment horizontal="left"/>
    </xf>
    <xf numFmtId="2" fontId="19" fillId="0" borderId="32" xfId="0" applyNumberFormat="1" applyFont="1" applyFill="1" applyBorder="1" applyAlignment="1">
      <alignment horizontal="right"/>
    </xf>
    <xf numFmtId="2" fontId="19" fillId="0" borderId="69" xfId="0" applyNumberFormat="1" applyFont="1" applyFill="1" applyBorder="1" applyAlignment="1">
      <alignment horizontal="right"/>
    </xf>
    <xf numFmtId="44" fontId="20" fillId="0" borderId="13" xfId="0" applyNumberFormat="1" applyFont="1" applyFill="1" applyBorder="1" applyAlignment="1">
      <alignment horizontal="center"/>
    </xf>
    <xf numFmtId="44" fontId="20" fillId="0" borderId="14" xfId="0" applyNumberFormat="1" applyFont="1" applyFill="1" applyBorder="1" applyAlignment="1">
      <alignment horizontal="center"/>
    </xf>
    <xf numFmtId="44" fontId="20" fillId="0" borderId="37" xfId="0" applyNumberFormat="1" applyFont="1" applyFill="1" applyBorder="1" applyAlignment="1">
      <alignment horizontal="center"/>
    </xf>
    <xf numFmtId="0" fontId="20" fillId="0" borderId="14" xfId="0" applyFont="1" applyFill="1" applyBorder="1" applyAlignment="1">
      <alignment horizontal="left"/>
    </xf>
    <xf numFmtId="2" fontId="20" fillId="0" borderId="13" xfId="0" applyNumberFormat="1" applyFont="1" applyFill="1" applyBorder="1" applyAlignment="1">
      <alignment horizontal="right"/>
    </xf>
    <xf numFmtId="2" fontId="20" fillId="0" borderId="14" xfId="0" applyNumberFormat="1" applyFont="1" applyFill="1" applyBorder="1" applyAlignment="1">
      <alignment horizontal="right"/>
    </xf>
    <xf numFmtId="44" fontId="20" fillId="0" borderId="33" xfId="0" applyNumberFormat="1" applyFont="1" applyFill="1" applyBorder="1" applyAlignment="1">
      <alignment horizontal="center"/>
    </xf>
    <xf numFmtId="44" fontId="20" fillId="0" borderId="27" xfId="0" applyNumberFormat="1" applyFont="1" applyFill="1" applyBorder="1" applyAlignment="1">
      <alignment horizontal="center"/>
    </xf>
    <xf numFmtId="44" fontId="20" fillId="0" borderId="28" xfId="0" applyNumberFormat="1" applyFont="1" applyFill="1" applyBorder="1" applyAlignment="1">
      <alignment horizontal="center"/>
    </xf>
    <xf numFmtId="0" fontId="20" fillId="0" borderId="27" xfId="0" applyFont="1" applyFill="1" applyBorder="1" applyAlignment="1">
      <alignment horizontal="left"/>
    </xf>
    <xf numFmtId="2" fontId="20" fillId="0" borderId="33" xfId="0" applyNumberFormat="1" applyFont="1" applyFill="1" applyBorder="1" applyAlignment="1">
      <alignment horizontal="right"/>
    </xf>
    <xf numFmtId="2" fontId="20" fillId="0" borderId="27" xfId="0" applyNumberFormat="1" applyFont="1" applyFill="1" applyBorder="1" applyAlignment="1">
      <alignment horizontal="right"/>
    </xf>
    <xf numFmtId="0" fontId="20" fillId="10" borderId="70" xfId="0" applyFont="1" applyFill="1" applyBorder="1" applyAlignment="1">
      <alignment/>
    </xf>
    <xf numFmtId="0" fontId="20" fillId="10" borderId="55" xfId="0" applyFont="1" applyFill="1" applyBorder="1" applyAlignment="1">
      <alignment/>
    </xf>
    <xf numFmtId="0" fontId="19" fillId="10" borderId="71" xfId="0" applyFont="1" applyFill="1" applyBorder="1" applyAlignment="1">
      <alignment horizontal="center"/>
    </xf>
    <xf numFmtId="2" fontId="20" fillId="10" borderId="72" xfId="0" applyNumberFormat="1" applyFont="1" applyFill="1" applyBorder="1" applyAlignment="1">
      <alignment/>
    </xf>
    <xf numFmtId="2" fontId="20" fillId="10" borderId="1" xfId="0" applyNumberFormat="1" applyFont="1" applyFill="1" applyBorder="1" applyAlignment="1">
      <alignment/>
    </xf>
    <xf numFmtId="44" fontId="19" fillId="0" borderId="45" xfId="21" applyFont="1" applyFill="1" applyBorder="1" applyAlignment="1">
      <alignment horizontal="center"/>
    </xf>
    <xf numFmtId="44" fontId="19" fillId="0" borderId="29" xfId="21" applyFont="1" applyFill="1" applyBorder="1" applyAlignment="1">
      <alignment horizontal="center"/>
    </xf>
    <xf numFmtId="44" fontId="19" fillId="0" borderId="60" xfId="21" applyFont="1" applyFill="1" applyBorder="1" applyAlignment="1">
      <alignment horizontal="center"/>
    </xf>
    <xf numFmtId="0" fontId="19" fillId="0" borderId="73" xfId="0" applyFont="1" applyFill="1" applyBorder="1" applyAlignment="1">
      <alignment horizontal="left"/>
    </xf>
    <xf numFmtId="2" fontId="19" fillId="0" borderId="45" xfId="0" applyNumberFormat="1" applyFont="1" applyFill="1" applyBorder="1" applyAlignment="1">
      <alignment horizontal="right"/>
    </xf>
    <xf numFmtId="2" fontId="19" fillId="0" borderId="29" xfId="0" applyNumberFormat="1" applyFont="1" applyFill="1" applyBorder="1" applyAlignment="1">
      <alignment horizontal="right"/>
    </xf>
    <xf numFmtId="44" fontId="20" fillId="0" borderId="70" xfId="0" applyNumberFormat="1" applyFont="1" applyFill="1" applyBorder="1" applyAlignment="1">
      <alignment horizontal="center"/>
    </xf>
    <xf numFmtId="44" fontId="0" fillId="0" borderId="24" xfId="21" applyFont="1" applyFill="1" applyBorder="1" applyAlignment="1">
      <alignment horizontal="right"/>
    </xf>
    <xf numFmtId="0" fontId="20" fillId="0" borderId="74" xfId="0" applyFont="1" applyFill="1" applyBorder="1" applyAlignment="1">
      <alignment horizontal="left"/>
    </xf>
    <xf numFmtId="2" fontId="20" fillId="0" borderId="10" xfId="0" applyNumberFormat="1" applyFont="1" applyFill="1" applyBorder="1" applyAlignment="1">
      <alignment horizontal="right"/>
    </xf>
    <xf numFmtId="2" fontId="20" fillId="0" borderId="11" xfId="0" applyNumberFormat="1" applyFont="1" applyFill="1" applyBorder="1" applyAlignment="1">
      <alignment horizontal="right"/>
    </xf>
    <xf numFmtId="2" fontId="20" fillId="0" borderId="47" xfId="0" applyNumberFormat="1" applyFont="1" applyFill="1" applyBorder="1" applyAlignment="1">
      <alignment horizontal="right"/>
    </xf>
    <xf numFmtId="44" fontId="20" fillId="0" borderId="55" xfId="0" applyNumberFormat="1" applyFont="1" applyFill="1" applyBorder="1" applyAlignment="1">
      <alignment horizontal="center"/>
    </xf>
    <xf numFmtId="0" fontId="20" fillId="0" borderId="37" xfId="0" applyFont="1" applyFill="1" applyBorder="1" applyAlignment="1">
      <alignment horizontal="left"/>
    </xf>
    <xf numFmtId="44" fontId="20" fillId="0" borderId="0" xfId="21" applyNumberFormat="1" applyFont="1" applyAlignment="1">
      <alignment horizontal="center" vertical="center"/>
    </xf>
    <xf numFmtId="0" fontId="20" fillId="0" borderId="0" xfId="0" applyFont="1" applyAlignment="1">
      <alignment horizontal="center" vertical="center"/>
    </xf>
    <xf numFmtId="2" fontId="20" fillId="0" borderId="37" xfId="0" applyNumberFormat="1" applyFont="1" applyFill="1" applyBorder="1" applyAlignment="1">
      <alignment horizontal="right"/>
    </xf>
    <xf numFmtId="44" fontId="0" fillId="0" borderId="0" xfId="21" applyNumberFormat="1" applyFont="1" applyAlignment="1">
      <alignment horizontal="center" vertical="center"/>
    </xf>
    <xf numFmtId="0" fontId="0" fillId="0" borderId="0" xfId="0" applyAlignment="1">
      <alignment horizontal="center" vertical="center"/>
    </xf>
    <xf numFmtId="170" fontId="0" fillId="0" borderId="0" xfId="0" applyNumberFormat="1" applyFill="1" applyBorder="1" applyAlignment="1">
      <alignment horizontal="center"/>
    </xf>
    <xf numFmtId="0" fontId="16" fillId="10" borderId="58" xfId="0" applyFont="1" applyFill="1" applyBorder="1" applyAlignment="1">
      <alignment/>
    </xf>
    <xf numFmtId="0" fontId="16" fillId="10" borderId="61" xfId="0" applyFont="1" applyFill="1" applyBorder="1" applyAlignment="1">
      <alignment/>
    </xf>
    <xf numFmtId="0" fontId="19" fillId="10" borderId="29" xfId="0" applyFont="1" applyFill="1" applyBorder="1" applyAlignment="1">
      <alignment horizontal="center" vertical="center"/>
    </xf>
    <xf numFmtId="0" fontId="16" fillId="0" borderId="0" xfId="0" applyFont="1" applyFill="1" applyBorder="1" applyAlignment="1">
      <alignment horizontal="center" vertical="center" wrapText="1"/>
    </xf>
    <xf numFmtId="0" fontId="22" fillId="8" borderId="32" xfId="0" applyFont="1" applyFill="1" applyBorder="1" applyAlignment="1">
      <alignment horizontal="center" vertical="center" wrapText="1"/>
    </xf>
    <xf numFmtId="0" fontId="16" fillId="8" borderId="69" xfId="0" applyFont="1" applyFill="1" applyBorder="1" applyAlignment="1">
      <alignment horizontal="center" vertical="center" wrapText="1"/>
    </xf>
    <xf numFmtId="0" fontId="16" fillId="9" borderId="32" xfId="0" applyFont="1" applyFill="1" applyBorder="1" applyAlignment="1">
      <alignment horizontal="center" vertical="center" wrapText="1"/>
    </xf>
    <xf numFmtId="0" fontId="16" fillId="9" borderId="69" xfId="0" applyFont="1" applyFill="1" applyBorder="1" applyAlignment="1">
      <alignment horizontal="center" vertical="center"/>
    </xf>
    <xf numFmtId="0" fontId="16" fillId="9" borderId="68" xfId="0" applyFont="1" applyFill="1" applyBorder="1" applyAlignment="1">
      <alignment horizontal="center" vertical="center" wrapText="1"/>
    </xf>
    <xf numFmtId="0" fontId="3" fillId="0" borderId="0" xfId="24" applyFont="1" applyFill="1" applyBorder="1">
      <alignment/>
      <protection/>
    </xf>
    <xf numFmtId="169" fontId="0" fillId="0" borderId="14" xfId="25" applyNumberFormat="1" applyFont="1" applyFill="1" applyBorder="1"/>
    <xf numFmtId="0" fontId="0" fillId="0" borderId="14" xfId="24" applyFont="1" applyFill="1" applyBorder="1">
      <alignment/>
      <protection/>
    </xf>
    <xf numFmtId="0" fontId="0" fillId="0" borderId="0" xfId="0" applyProtection="1">
      <protection/>
    </xf>
    <xf numFmtId="0" fontId="0" fillId="0" borderId="14" xfId="0" applyBorder="1" applyAlignment="1" applyProtection="1">
      <alignment horizontal="center"/>
      <protection/>
    </xf>
    <xf numFmtId="1" fontId="1" fillId="0" borderId="14" xfId="0" applyNumberFormat="1" applyFont="1" applyFill="1" applyBorder="1" applyAlignment="1" applyProtection="1">
      <alignment horizontal="center"/>
      <protection/>
    </xf>
    <xf numFmtId="6" fontId="1" fillId="0" borderId="14" xfId="0" applyNumberFormat="1" applyFont="1" applyFill="1" applyBorder="1" applyAlignment="1" applyProtection="1">
      <alignment horizontal="center"/>
      <protection/>
    </xf>
    <xf numFmtId="0" fontId="1" fillId="0" borderId="14" xfId="0" applyFont="1" applyFill="1" applyBorder="1" applyProtection="1">
      <protection/>
    </xf>
    <xf numFmtId="0" fontId="27" fillId="0" borderId="14" xfId="0" applyFont="1" applyBorder="1" applyAlignment="1" applyProtection="1">
      <alignment horizontal="center" vertical="center" wrapText="1"/>
      <protection/>
    </xf>
    <xf numFmtId="8" fontId="1" fillId="0" borderId="0" xfId="0" applyNumberFormat="1" applyFont="1" applyFill="1" applyAlignment="1" applyProtection="1">
      <alignment horizontal="center"/>
      <protection/>
    </xf>
    <xf numFmtId="0" fontId="0" fillId="0" borderId="0" xfId="0" applyFill="1" applyProtection="1">
      <protection/>
    </xf>
    <xf numFmtId="3" fontId="1" fillId="0" borderId="14" xfId="0" applyNumberFormat="1" applyFont="1" applyFill="1" applyBorder="1" applyAlignment="1" applyProtection="1">
      <alignment horizontal="center"/>
      <protection/>
    </xf>
    <xf numFmtId="0" fontId="1" fillId="0" borderId="14" xfId="0" applyFont="1" applyBorder="1" applyAlignment="1" applyProtection="1">
      <alignment horizontal="center"/>
      <protection/>
    </xf>
    <xf numFmtId="0" fontId="3" fillId="0" borderId="14" xfId="0" applyFont="1" applyBorder="1" applyAlignment="1">
      <alignment horizontal="center" vertical="center"/>
    </xf>
    <xf numFmtId="0" fontId="29" fillId="0" borderId="0" xfId="0" applyFont="1" applyFill="1" applyBorder="1" applyAlignment="1" applyProtection="1">
      <alignment vertical="center"/>
      <protection/>
    </xf>
    <xf numFmtId="0" fontId="0" fillId="0" borderId="0" xfId="0" applyFont="1"/>
    <xf numFmtId="0" fontId="3" fillId="0" borderId="0" xfId="0" applyFont="1" applyProtection="1">
      <protection/>
    </xf>
    <xf numFmtId="0" fontId="20" fillId="0" borderId="14" xfId="0" applyFont="1" applyFill="1" applyBorder="1" applyAlignment="1" applyProtection="1">
      <alignment horizontal="center"/>
      <protection/>
    </xf>
    <xf numFmtId="168" fontId="0" fillId="0" borderId="14" xfId="20" applyNumberFormat="1" applyFont="1" applyBorder="1" applyAlignment="1" applyProtection="1">
      <alignment horizontal="center"/>
      <protection/>
    </xf>
    <xf numFmtId="2" fontId="0" fillId="0" borderId="14" xfId="0" applyNumberFormat="1" applyBorder="1" applyAlignment="1" applyProtection="1">
      <alignment horizontal="center"/>
      <protection/>
    </xf>
    <xf numFmtId="9" fontId="0" fillId="0" borderId="0" xfId="22" applyFont="1"/>
    <xf numFmtId="0" fontId="5" fillId="0" borderId="14" xfId="27" applyFont="1" applyBorder="1" applyAlignment="1">
      <alignment horizontal="center" vertical="center" wrapText="1"/>
      <protection/>
    </xf>
    <xf numFmtId="0" fontId="5" fillId="0" borderId="14" xfId="27" applyBorder="1" applyAlignment="1">
      <alignment horizontal="center" vertical="center" wrapText="1"/>
      <protection/>
    </xf>
    <xf numFmtId="0" fontId="2" fillId="11" borderId="14" xfId="0" applyFont="1" applyFill="1" applyBorder="1"/>
    <xf numFmtId="0" fontId="30" fillId="11" borderId="14" xfId="27" applyFont="1" applyFill="1" applyBorder="1" applyAlignment="1">
      <alignment horizontal="center" vertical="center" wrapText="1"/>
      <protection/>
    </xf>
    <xf numFmtId="0" fontId="11" fillId="0" borderId="14" xfId="27" applyFont="1" applyBorder="1" applyAlignment="1">
      <alignment horizontal="center" vertical="center" wrapText="1"/>
      <protection/>
    </xf>
    <xf numFmtId="9" fontId="0" fillId="0" borderId="14" xfId="22" applyFont="1" applyBorder="1" applyAlignment="1">
      <alignment horizontal="center" vertical="center"/>
    </xf>
    <xf numFmtId="3" fontId="0" fillId="0" borderId="14" xfId="0" applyNumberFormat="1" applyBorder="1" applyAlignment="1">
      <alignment horizontal="center" vertical="center"/>
    </xf>
    <xf numFmtId="9" fontId="0" fillId="0" borderId="14" xfId="0" applyNumberFormat="1" applyBorder="1" applyAlignment="1">
      <alignment horizontal="center" vertical="center"/>
    </xf>
    <xf numFmtId="0" fontId="3" fillId="0" borderId="0" xfId="0" applyFont="1"/>
    <xf numFmtId="0" fontId="0" fillId="0" borderId="14" xfId="0" applyBorder="1" applyAlignment="1">
      <alignment horizontal="center" vertical="center" wrapText="1"/>
    </xf>
    <xf numFmtId="0" fontId="3" fillId="0" borderId="14" xfId="0" applyFont="1" applyBorder="1" applyAlignment="1">
      <alignment horizontal="center" vertical="center" wrapText="1"/>
    </xf>
    <xf numFmtId="8" fontId="1" fillId="0" borderId="14" xfId="0" applyNumberFormat="1" applyFont="1" applyFill="1" applyBorder="1" applyAlignment="1" applyProtection="1">
      <alignment horizontal="center"/>
      <protection/>
    </xf>
    <xf numFmtId="0" fontId="0" fillId="0" borderId="0" xfId="0" applyBorder="1" applyAlignment="1">
      <alignment horizontal="center"/>
    </xf>
    <xf numFmtId="0" fontId="3" fillId="0" borderId="0" xfId="0" applyFont="1" applyBorder="1" applyAlignment="1">
      <alignment horizontal="center" vertical="center" wrapText="1"/>
    </xf>
    <xf numFmtId="0" fontId="33" fillId="0" borderId="14" xfId="0" applyFont="1" applyFill="1" applyBorder="1" applyProtection="1">
      <protection/>
    </xf>
    <xf numFmtId="3" fontId="33" fillId="0" borderId="14" xfId="0" applyNumberFormat="1" applyFont="1" applyFill="1" applyBorder="1" applyAlignment="1" applyProtection="1">
      <alignment horizontal="right"/>
      <protection/>
    </xf>
    <xf numFmtId="0" fontId="32" fillId="0" borderId="14" xfId="0" applyFont="1" applyFill="1" applyBorder="1" applyProtection="1">
      <protection/>
    </xf>
    <xf numFmtId="0" fontId="32" fillId="0" borderId="14" xfId="0" applyFont="1" applyFill="1" applyBorder="1" applyAlignment="1" applyProtection="1">
      <alignment horizontal="right"/>
      <protection/>
    </xf>
    <xf numFmtId="0" fontId="0" fillId="0" borderId="0" xfId="0" applyProtection="1">
      <protection locked="0"/>
    </xf>
    <xf numFmtId="0" fontId="2" fillId="4" borderId="0" xfId="0" applyFont="1" applyFill="1" applyBorder="1" applyProtection="1">
      <protection locked="0"/>
    </xf>
    <xf numFmtId="0" fontId="2" fillId="0" borderId="0" xfId="0" applyFont="1" applyFill="1" applyBorder="1" applyProtection="1">
      <protection locked="0"/>
    </xf>
    <xf numFmtId="0" fontId="2" fillId="0" borderId="0" xfId="0" applyFont="1" applyFill="1" applyBorder="1" applyAlignment="1" applyProtection="1">
      <alignment/>
      <protection locked="0"/>
    </xf>
    <xf numFmtId="0" fontId="2" fillId="0" borderId="0" xfId="0" applyFont="1" applyFill="1" applyBorder="1" applyAlignment="1" applyProtection="1" quotePrefix="1">
      <alignment/>
      <protection locked="0"/>
    </xf>
    <xf numFmtId="0" fontId="2" fillId="0" borderId="0" xfId="0" applyFont="1" applyFill="1" applyBorder="1" applyProtection="1" quotePrefix="1">
      <protection locked="0"/>
    </xf>
    <xf numFmtId="0" fontId="2" fillId="0" borderId="0" xfId="0" applyFont="1" applyFill="1" applyBorder="1" applyAlignment="1" applyProtection="1">
      <alignment wrapText="1"/>
      <protection locked="0"/>
    </xf>
    <xf numFmtId="0" fontId="26" fillId="0" borderId="0" xfId="0" applyFont="1" applyFill="1" applyBorder="1" applyProtection="1">
      <protection locked="0"/>
    </xf>
    <xf numFmtId="0" fontId="0" fillId="0" borderId="0" xfId="0" applyBorder="1" applyAlignment="1" applyProtection="1">
      <alignment horizontal="center" wrapText="1"/>
      <protection/>
    </xf>
    <xf numFmtId="2" fontId="0" fillId="12" borderId="75" xfId="0" applyNumberFormat="1" applyFill="1" applyBorder="1" applyProtection="1">
      <protection/>
    </xf>
    <xf numFmtId="0" fontId="0" fillId="12" borderId="0" xfId="0" applyFill="1" applyProtection="1">
      <protection/>
    </xf>
    <xf numFmtId="0" fontId="0" fillId="4" borderId="0" xfId="0" applyFill="1" applyProtection="1">
      <protection/>
    </xf>
    <xf numFmtId="2" fontId="0" fillId="12" borderId="0" xfId="0" applyNumberFormat="1" applyFill="1" applyProtection="1">
      <protection/>
    </xf>
    <xf numFmtId="0" fontId="0" fillId="13" borderId="0" xfId="0" applyFill="1" applyProtection="1">
      <protection locked="0"/>
    </xf>
    <xf numFmtId="43" fontId="0" fillId="13" borderId="0" xfId="0" applyNumberFormat="1" applyFill="1" applyProtection="1">
      <protection locked="0"/>
    </xf>
    <xf numFmtId="0" fontId="0" fillId="0" borderId="0" xfId="0" applyAlignment="1" applyProtection="1">
      <alignment wrapText="1"/>
      <protection/>
    </xf>
    <xf numFmtId="0" fontId="9" fillId="4" borderId="7" xfId="0" applyFont="1" applyFill="1" applyBorder="1" applyAlignment="1">
      <alignment/>
    </xf>
    <xf numFmtId="0" fontId="5" fillId="2" borderId="6" xfId="0" applyFont="1" applyFill="1" applyBorder="1" applyAlignment="1">
      <alignment horizontal="center"/>
    </xf>
    <xf numFmtId="0" fontId="5" fillId="2" borderId="5" xfId="0" applyFont="1" applyFill="1" applyBorder="1" applyAlignment="1">
      <alignment horizontal="center"/>
    </xf>
    <xf numFmtId="0" fontId="5" fillId="4" borderId="7" xfId="0" applyFont="1" applyFill="1" applyBorder="1" applyAlignment="1">
      <alignment horizontal="center"/>
    </xf>
    <xf numFmtId="0" fontId="4" fillId="5" borderId="3" xfId="0" applyFont="1" applyFill="1" applyBorder="1" applyAlignment="1">
      <alignment horizontal="center"/>
    </xf>
    <xf numFmtId="0" fontId="5" fillId="5" borderId="3" xfId="0" applyFont="1" applyFill="1" applyBorder="1" applyAlignment="1">
      <alignment horizontal="center"/>
    </xf>
    <xf numFmtId="0" fontId="24" fillId="10" borderId="76" xfId="0" applyFont="1" applyFill="1" applyBorder="1" applyAlignment="1">
      <alignment horizontal="center" vertical="center" wrapText="1"/>
    </xf>
    <xf numFmtId="0" fontId="0" fillId="0" borderId="14" xfId="0" applyBorder="1" applyAlignment="1">
      <alignment horizontal="center" vertical="center"/>
    </xf>
    <xf numFmtId="1" fontId="3" fillId="6" borderId="20" xfId="0" applyNumberFormat="1" applyFont="1" applyFill="1" applyBorder="1"/>
    <xf numFmtId="0" fontId="0" fillId="0" borderId="13" xfId="0" applyBorder="1"/>
    <xf numFmtId="1" fontId="18" fillId="0" borderId="14" xfId="0" applyNumberFormat="1" applyFont="1" applyFill="1" applyBorder="1" applyAlignment="1">
      <alignment horizontal="center"/>
    </xf>
    <xf numFmtId="0" fontId="18" fillId="0" borderId="14" xfId="0" applyFont="1" applyFill="1" applyBorder="1" applyAlignment="1">
      <alignment horizontal="center"/>
    </xf>
    <xf numFmtId="4" fontId="18" fillId="0" borderId="14" xfId="0" applyNumberFormat="1" applyFont="1" applyFill="1" applyBorder="1" applyAlignment="1">
      <alignment horizontal="center"/>
    </xf>
    <xf numFmtId="44" fontId="18" fillId="0" borderId="37" xfId="21" applyNumberFormat="1" applyFont="1" applyFill="1" applyBorder="1" applyAlignment="1">
      <alignment horizontal="center"/>
    </xf>
    <xf numFmtId="0" fontId="15" fillId="7" borderId="77" xfId="0" applyFont="1" applyFill="1" applyBorder="1"/>
    <xf numFmtId="0" fontId="0" fillId="0" borderId="14" xfId="0" applyFill="1" applyBorder="1" applyAlignment="1">
      <alignment horizontal="center"/>
    </xf>
    <xf numFmtId="0" fontId="0" fillId="0" borderId="14" xfId="0" applyFill="1" applyBorder="1" applyAlignment="1">
      <alignment horizontal="left"/>
    </xf>
    <xf numFmtId="168" fontId="35" fillId="0" borderId="14" xfId="20" applyNumberFormat="1" applyFont="1" applyFill="1" applyBorder="1" applyAlignment="1">
      <alignment horizontal="center"/>
    </xf>
    <xf numFmtId="169" fontId="35" fillId="0" borderId="14" xfId="20" applyNumberFormat="1" applyFont="1" applyFill="1" applyBorder="1" applyAlignment="1">
      <alignment horizontal="center"/>
    </xf>
    <xf numFmtId="0" fontId="20" fillId="0" borderId="13" xfId="0" applyFont="1" applyBorder="1"/>
    <xf numFmtId="44" fontId="21" fillId="0" borderId="37" xfId="21" applyNumberFormat="1" applyFont="1" applyFill="1" applyBorder="1" applyAlignment="1">
      <alignment horizontal="center"/>
    </xf>
    <xf numFmtId="169" fontId="18" fillId="0" borderId="14" xfId="20" applyNumberFormat="1" applyFont="1" applyFill="1" applyBorder="1" applyAlignment="1">
      <alignment horizontal="center"/>
    </xf>
    <xf numFmtId="2" fontId="19" fillId="6" borderId="53" xfId="0" applyNumberFormat="1" applyFont="1" applyFill="1" applyBorder="1" applyAlignment="1">
      <alignment horizontal="right"/>
    </xf>
    <xf numFmtId="2" fontId="19" fillId="6" borderId="20" xfId="0" applyNumberFormat="1" applyFont="1" applyFill="1" applyBorder="1" applyAlignment="1">
      <alignment horizontal="right"/>
    </xf>
    <xf numFmtId="44" fontId="20" fillId="0" borderId="11" xfId="0" applyNumberFormat="1" applyFont="1" applyFill="1" applyBorder="1" applyAlignment="1">
      <alignment horizontal="center"/>
    </xf>
    <xf numFmtId="44" fontId="0" fillId="0" borderId="54" xfId="21" applyNumberFormat="1" applyFont="1" applyFill="1" applyBorder="1" applyAlignment="1">
      <alignment horizontal="center"/>
    </xf>
    <xf numFmtId="2" fontId="20" fillId="0" borderId="70" xfId="0" applyNumberFormat="1" applyFont="1" applyFill="1" applyBorder="1" applyAlignment="1">
      <alignment horizontal="right"/>
    </xf>
    <xf numFmtId="0" fontId="36" fillId="10" borderId="58" xfId="0" applyFont="1" applyFill="1" applyBorder="1" applyAlignment="1">
      <alignment/>
    </xf>
    <xf numFmtId="0" fontId="36" fillId="10" borderId="61" xfId="0" applyFont="1" applyFill="1" applyBorder="1" applyAlignment="1">
      <alignment/>
    </xf>
    <xf numFmtId="9" fontId="0" fillId="0" borderId="0" xfId="0" applyNumberFormat="1"/>
    <xf numFmtId="0" fontId="0" fillId="0" borderId="0" xfId="0" quotePrefix="1"/>
    <xf numFmtId="0" fontId="11" fillId="0" borderId="0" xfId="0" applyFont="1"/>
    <xf numFmtId="9" fontId="0" fillId="0" borderId="0" xfId="0" applyNumberFormat="1" applyFont="1" applyFill="1" applyBorder="1"/>
    <xf numFmtId="0" fontId="0" fillId="0" borderId="0" xfId="0" applyFill="1" applyBorder="1" quotePrefix="1"/>
    <xf numFmtId="0" fontId="0" fillId="0" borderId="0" xfId="0" applyFont="1" applyFill="1" applyBorder="1"/>
    <xf numFmtId="0" fontId="0" fillId="0" borderId="67" xfId="0" applyFill="1" applyBorder="1"/>
    <xf numFmtId="168" fontId="3" fillId="0" borderId="52" xfId="0" applyNumberFormat="1" applyFont="1" applyFill="1" applyBorder="1"/>
    <xf numFmtId="0" fontId="3" fillId="0" borderId="52" xfId="0" applyFont="1" applyFill="1" applyBorder="1"/>
    <xf numFmtId="0" fontId="3" fillId="0" borderId="52" xfId="0" applyFont="1" applyFill="1" applyBorder="1" applyAlignment="1">
      <alignment horizontal="center"/>
    </xf>
    <xf numFmtId="44" fontId="3" fillId="0" borderId="52" xfId="21" applyFont="1" applyFill="1" applyBorder="1"/>
    <xf numFmtId="0" fontId="3" fillId="0" borderId="23" xfId="0" applyFont="1" applyFill="1" applyBorder="1"/>
    <xf numFmtId="10" fontId="3" fillId="0" borderId="0" xfId="0" applyNumberFormat="1" applyFont="1" applyAlignment="1">
      <alignment horizontal="center" vertical="center"/>
    </xf>
    <xf numFmtId="44" fontId="0" fillId="0" borderId="0" xfId="21" applyFont="1"/>
    <xf numFmtId="0" fontId="0" fillId="0" borderId="0" xfId="0" applyAlignment="1">
      <alignment/>
    </xf>
    <xf numFmtId="44" fontId="0" fillId="0" borderId="0" xfId="0" applyNumberFormat="1"/>
    <xf numFmtId="43" fontId="0" fillId="0" borderId="0" xfId="20" applyFont="1"/>
    <xf numFmtId="1" fontId="0" fillId="0" borderId="0" xfId="0" applyNumberFormat="1"/>
    <xf numFmtId="44" fontId="0" fillId="0" borderId="0" xfId="0" applyNumberFormat="1" applyFont="1"/>
    <xf numFmtId="44" fontId="3" fillId="0" borderId="14" xfId="0" applyNumberFormat="1" applyFont="1" applyBorder="1"/>
    <xf numFmtId="9" fontId="0" fillId="0" borderId="56" xfId="0" applyNumberFormat="1" applyBorder="1"/>
    <xf numFmtId="9" fontId="0" fillId="0" borderId="14" xfId="22" applyFont="1" applyBorder="1"/>
    <xf numFmtId="2" fontId="0" fillId="0" borderId="0" xfId="0" applyNumberFormat="1"/>
    <xf numFmtId="168" fontId="0" fillId="0" borderId="0" xfId="20" applyNumberFormat="1" applyFont="1"/>
    <xf numFmtId="44" fontId="0" fillId="0" borderId="0" xfId="21" applyFont="1"/>
    <xf numFmtId="0" fontId="3" fillId="0" borderId="14" xfId="0" applyFont="1" applyFill="1" applyBorder="1"/>
    <xf numFmtId="0" fontId="3" fillId="0" borderId="56" xfId="0" applyFont="1" applyBorder="1"/>
    <xf numFmtId="0" fontId="3" fillId="0" borderId="14" xfId="0" applyFont="1" applyBorder="1"/>
    <xf numFmtId="9" fontId="3" fillId="0" borderId="0" xfId="22" applyFont="1"/>
    <xf numFmtId="44" fontId="0" fillId="0" borderId="14" xfId="0" applyNumberFormat="1" applyBorder="1"/>
    <xf numFmtId="43" fontId="0" fillId="0" borderId="0" xfId="0" applyNumberFormat="1"/>
    <xf numFmtId="0" fontId="21" fillId="0" borderId="24" xfId="21" applyNumberFormat="1" applyFont="1" applyFill="1" applyBorder="1" applyAlignment="1">
      <alignment horizontal="center"/>
    </xf>
    <xf numFmtId="0" fontId="16" fillId="8" borderId="57" xfId="0" applyFont="1" applyFill="1" applyBorder="1" applyAlignment="1">
      <alignment horizontal="center" wrapText="1"/>
    </xf>
    <xf numFmtId="0" fontId="16" fillId="9" borderId="26" xfId="0" applyFont="1" applyFill="1" applyBorder="1" applyAlignment="1">
      <alignment horizontal="center" wrapText="1"/>
    </xf>
    <xf numFmtId="0" fontId="16" fillId="9" borderId="26" xfId="0" applyFont="1" applyFill="1" applyBorder="1" applyAlignment="1">
      <alignment horizontal="center"/>
    </xf>
    <xf numFmtId="0" fontId="16" fillId="9" borderId="78" xfId="0" applyFont="1" applyFill="1" applyBorder="1" applyAlignment="1">
      <alignment horizontal="center" wrapText="1"/>
    </xf>
    <xf numFmtId="0" fontId="16" fillId="9" borderId="17" xfId="0" applyFont="1" applyFill="1" applyBorder="1" applyAlignment="1">
      <alignment horizontal="center"/>
    </xf>
    <xf numFmtId="0" fontId="16" fillId="9" borderId="19" xfId="0" applyFont="1" applyFill="1" applyBorder="1" applyAlignment="1">
      <alignment horizontal="center"/>
    </xf>
    <xf numFmtId="43" fontId="3" fillId="6" borderId="26" xfId="0" applyNumberFormat="1" applyFont="1" applyFill="1" applyBorder="1"/>
    <xf numFmtId="0" fontId="3" fillId="6" borderId="26" xfId="0" applyFont="1" applyFill="1" applyBorder="1"/>
    <xf numFmtId="0" fontId="3" fillId="6" borderId="26" xfId="0" applyFont="1" applyFill="1" applyBorder="1" applyAlignment="1">
      <alignment horizontal="center"/>
    </xf>
    <xf numFmtId="0" fontId="0" fillId="0" borderId="65" xfId="0" applyBorder="1"/>
    <xf numFmtId="0" fontId="0" fillId="0" borderId="22" xfId="0" applyBorder="1"/>
    <xf numFmtId="0" fontId="3" fillId="0" borderId="22" xfId="0" applyFont="1" applyBorder="1"/>
    <xf numFmtId="0" fontId="3" fillId="0" borderId="77" xfId="0" applyFont="1" applyBorder="1"/>
    <xf numFmtId="0" fontId="39" fillId="0" borderId="0" xfId="0" applyFont="1"/>
    <xf numFmtId="0" fontId="18" fillId="0" borderId="14" xfId="0" applyFont="1" applyFill="1" applyBorder="1" applyAlignment="1" applyProtection="1">
      <alignment horizontal="left" vertical="center" wrapText="1"/>
      <protection locked="0"/>
    </xf>
    <xf numFmtId="176" fontId="0" fillId="0" borderId="14" xfId="21" applyNumberFormat="1" applyFont="1" applyFill="1" applyBorder="1" applyAlignment="1" applyProtection="1">
      <alignment horizontal="center" vertical="center"/>
      <protection locked="0"/>
    </xf>
    <xf numFmtId="9" fontId="0" fillId="0" borderId="14" xfId="0" applyNumberFormat="1" applyFill="1" applyBorder="1" applyAlignment="1" applyProtection="1">
      <alignment horizontal="center" vertical="center"/>
      <protection locked="0"/>
    </xf>
    <xf numFmtId="10" fontId="0" fillId="0" borderId="14" xfId="22" applyNumberFormat="1" applyFont="1" applyFill="1" applyBorder="1" applyAlignment="1" applyProtection="1">
      <alignment horizontal="center" vertical="center"/>
      <protection locked="0"/>
    </xf>
    <xf numFmtId="0" fontId="16" fillId="8" borderId="14" xfId="0" applyFont="1" applyFill="1" applyBorder="1" applyAlignment="1" applyProtection="1">
      <alignment horizontal="center" vertical="center" wrapText="1"/>
      <protection locked="0"/>
    </xf>
    <xf numFmtId="43" fontId="3" fillId="0" borderId="14" xfId="20" applyNumberFormat="1" applyFont="1" applyBorder="1" applyAlignment="1" applyProtection="1">
      <alignment horizontal="center" vertical="center" wrapText="1"/>
      <protection locked="0"/>
    </xf>
    <xf numFmtId="44" fontId="0" fillId="0" borderId="14" xfId="21" applyFont="1" applyBorder="1" applyAlignment="1" applyProtection="1">
      <alignment horizontal="center" vertical="center" wrapText="1"/>
      <protection locked="0"/>
    </xf>
    <xf numFmtId="44" fontId="20" fillId="0" borderId="14" xfId="21" applyFont="1" applyBorder="1" applyAlignment="1" applyProtection="1">
      <alignment horizontal="center" vertical="center" wrapText="1"/>
      <protection locked="0"/>
    </xf>
    <xf numFmtId="44" fontId="0" fillId="0" borderId="14" xfId="21" applyNumberFormat="1" applyFont="1" applyBorder="1" applyAlignment="1" applyProtection="1">
      <alignment horizontal="left" vertical="center"/>
      <protection locked="0"/>
    </xf>
    <xf numFmtId="44" fontId="0" fillId="0" borderId="14" xfId="21" applyNumberFormat="1" applyFont="1" applyBorder="1" applyAlignment="1" applyProtection="1">
      <alignment horizontal="center" vertical="center" wrapText="1"/>
      <protection locked="0"/>
    </xf>
    <xf numFmtId="44" fontId="0" fillId="0" borderId="14" xfId="21" applyNumberFormat="1" applyFont="1" applyFill="1" applyBorder="1" applyAlignment="1" applyProtection="1">
      <alignment horizontal="center" vertical="center" wrapText="1"/>
      <protection locked="0"/>
    </xf>
    <xf numFmtId="0" fontId="0" fillId="0" borderId="14" xfId="0" applyFill="1" applyBorder="1" applyAlignment="1" applyProtection="1">
      <alignment horizontal="center" vertical="center" wrapText="1"/>
      <protection locked="0"/>
    </xf>
    <xf numFmtId="43" fontId="0" fillId="0" borderId="14" xfId="0" applyNumberFormat="1" applyFill="1" applyBorder="1" applyAlignment="1" applyProtection="1">
      <alignment horizontal="center" vertical="center" wrapText="1"/>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16" fillId="8" borderId="15" xfId="0" applyFont="1" applyFill="1" applyBorder="1" applyAlignment="1" applyProtection="1">
      <alignment horizontal="center" vertical="center" wrapText="1"/>
      <protection locked="0"/>
    </xf>
    <xf numFmtId="0" fontId="16" fillId="8" borderId="13" xfId="0" applyFont="1" applyFill="1" applyBorder="1" applyAlignment="1" applyProtection="1">
      <alignment horizontal="center" vertical="center" wrapText="1"/>
      <protection locked="0"/>
    </xf>
    <xf numFmtId="10" fontId="0" fillId="0" borderId="15" xfId="22" applyNumberFormat="1" applyFont="1" applyFill="1" applyBorder="1" applyAlignment="1" applyProtection="1">
      <alignment horizontal="center" vertical="center" wrapText="1"/>
      <protection locked="0"/>
    </xf>
    <xf numFmtId="43" fontId="3" fillId="0" borderId="13" xfId="20" applyNumberFormat="1" applyFont="1" applyBorder="1" applyAlignment="1" applyProtection="1">
      <alignment horizontal="center" vertical="center" wrapText="1"/>
      <protection locked="0"/>
    </xf>
    <xf numFmtId="10" fontId="3" fillId="14" borderId="12" xfId="22" applyNumberFormat="1" applyFont="1" applyFill="1" applyBorder="1" applyAlignment="1" applyProtection="1">
      <alignment horizontal="center" vertical="center" wrapText="1"/>
      <protection locked="0"/>
    </xf>
    <xf numFmtId="0" fontId="3" fillId="14" borderId="11" xfId="0" applyFont="1" applyFill="1" applyBorder="1" applyAlignment="1" applyProtection="1">
      <alignment horizontal="center" vertical="center" wrapText="1"/>
      <protection locked="0"/>
    </xf>
    <xf numFmtId="44" fontId="3" fillId="14" borderId="11" xfId="21" applyNumberFormat="1" applyFont="1" applyFill="1" applyBorder="1" applyAlignment="1" applyProtection="1">
      <alignment horizontal="center" vertical="center" wrapText="1"/>
      <protection locked="0"/>
    </xf>
    <xf numFmtId="44" fontId="3" fillId="14" borderId="11" xfId="21" applyFont="1" applyFill="1" applyBorder="1" applyAlignment="1" applyProtection="1">
      <alignment horizontal="center" vertical="center" wrapText="1"/>
      <protection locked="0"/>
    </xf>
    <xf numFmtId="44" fontId="3" fillId="14" borderId="11" xfId="21" applyNumberFormat="1" applyFont="1" applyFill="1" applyBorder="1" applyAlignment="1" applyProtection="1">
      <alignment horizontal="left" vertical="center" wrapText="1"/>
      <protection locked="0"/>
    </xf>
    <xf numFmtId="43" fontId="3" fillId="14" borderId="11" xfId="20" applyNumberFormat="1" applyFont="1" applyFill="1" applyBorder="1" applyAlignment="1" applyProtection="1">
      <alignment horizontal="center" vertical="center" wrapText="1"/>
      <protection locked="0"/>
    </xf>
    <xf numFmtId="43" fontId="3" fillId="14" borderId="10" xfId="20" applyNumberFormat="1" applyFont="1" applyFill="1" applyBorder="1" applyAlignment="1" applyProtection="1">
      <alignment horizontal="center" vertical="center" wrapText="1"/>
      <protection locked="0"/>
    </xf>
    <xf numFmtId="0" fontId="16" fillId="8" borderId="45" xfId="0" applyFont="1" applyFill="1" applyBorder="1" applyAlignment="1" applyProtection="1">
      <alignment horizontal="center" vertical="center" wrapText="1"/>
      <protection locked="0"/>
    </xf>
    <xf numFmtId="175" fontId="0" fillId="0" borderId="15" xfId="21" applyNumberFormat="1" applyFont="1" applyFill="1" applyBorder="1" applyAlignment="1" applyProtection="1">
      <alignment horizontal="center" vertical="center"/>
      <protection locked="0"/>
    </xf>
    <xf numFmtId="175" fontId="0" fillId="0" borderId="13" xfId="21" applyNumberFormat="1" applyFont="1" applyFill="1" applyBorder="1" applyAlignment="1" applyProtection="1">
      <alignment horizontal="center" vertical="center"/>
      <protection locked="0"/>
    </xf>
    <xf numFmtId="175" fontId="0" fillId="14" borderId="12" xfId="21" applyNumberFormat="1" applyFont="1" applyFill="1" applyBorder="1" applyAlignment="1" applyProtection="1">
      <alignment horizontal="center" vertical="center"/>
      <protection locked="0"/>
    </xf>
    <xf numFmtId="175" fontId="0" fillId="14" borderId="10" xfId="21" applyNumberFormat="1" applyFont="1" applyFill="1" applyBorder="1" applyAlignment="1" applyProtection="1">
      <alignment horizontal="center" vertical="center"/>
      <protection locked="0"/>
    </xf>
    <xf numFmtId="0" fontId="0" fillId="0" borderId="0" xfId="0" applyAlignment="1">
      <alignment horizontal="left" vertical="center" wrapText="1"/>
    </xf>
    <xf numFmtId="0" fontId="36" fillId="0" borderId="0" xfId="0" applyFont="1"/>
    <xf numFmtId="0" fontId="0" fillId="15" borderId="0" xfId="0" applyFill="1"/>
    <xf numFmtId="0" fontId="3" fillId="15" borderId="0" xfId="0" applyFont="1" applyFill="1"/>
    <xf numFmtId="10" fontId="0" fillId="0" borderId="0" xfId="22" applyNumberFormat="1" applyFont="1"/>
    <xf numFmtId="10" fontId="3" fillId="0" borderId="0" xfId="22" applyNumberFormat="1" applyFont="1"/>
    <xf numFmtId="43" fontId="0" fillId="0" borderId="17" xfId="20" applyFont="1" applyBorder="1" applyAlignment="1">
      <alignment horizontal="center" vertical="center"/>
    </xf>
    <xf numFmtId="10" fontId="0" fillId="0" borderId="17" xfId="22" applyNumberFormat="1" applyFont="1" applyBorder="1" applyAlignment="1">
      <alignment horizontal="center" vertical="center"/>
    </xf>
    <xf numFmtId="10" fontId="0" fillId="0" borderId="16" xfId="22" applyNumberFormat="1" applyFont="1" applyBorder="1" applyAlignment="1">
      <alignment horizontal="center" vertical="center"/>
    </xf>
    <xf numFmtId="43" fontId="0" fillId="0" borderId="14" xfId="20" applyFont="1" applyBorder="1" applyAlignment="1">
      <alignment horizontal="center" vertical="center"/>
    </xf>
    <xf numFmtId="10" fontId="0" fillId="0" borderId="14" xfId="22" applyNumberFormat="1" applyFont="1" applyBorder="1" applyAlignment="1">
      <alignment horizontal="center" vertical="center"/>
    </xf>
    <xf numFmtId="10" fontId="0" fillId="0" borderId="13" xfId="22" applyNumberFormat="1" applyFont="1" applyBorder="1" applyAlignment="1">
      <alignment horizontal="center" vertical="center"/>
    </xf>
    <xf numFmtId="0" fontId="3" fillId="0" borderId="76" xfId="0" applyFont="1" applyBorder="1"/>
    <xf numFmtId="43" fontId="3" fillId="0" borderId="69" xfId="20" applyFont="1" applyBorder="1" applyAlignment="1">
      <alignment horizontal="center" vertical="center"/>
    </xf>
    <xf numFmtId="10" fontId="3" fillId="0" borderId="69" xfId="22" applyNumberFormat="1" applyFont="1" applyBorder="1" applyAlignment="1">
      <alignment horizontal="center" vertical="center"/>
    </xf>
    <xf numFmtId="10" fontId="3" fillId="0" borderId="32" xfId="22" applyNumberFormat="1" applyFont="1" applyBorder="1" applyAlignment="1">
      <alignment horizontal="center" vertical="center"/>
    </xf>
    <xf numFmtId="1" fontId="3" fillId="0" borderId="14" xfId="0" applyNumberFormat="1" applyFont="1" applyBorder="1" applyAlignment="1">
      <alignment horizontal="center" vertical="center"/>
    </xf>
    <xf numFmtId="0" fontId="15" fillId="7" borderId="52" xfId="0" applyFont="1" applyFill="1" applyBorder="1"/>
    <xf numFmtId="44" fontId="3" fillId="9" borderId="68" xfId="21" applyFont="1" applyFill="1" applyBorder="1"/>
    <xf numFmtId="0" fontId="3" fillId="6" borderId="69" xfId="0" applyFont="1" applyFill="1" applyBorder="1" applyAlignment="1">
      <alignment horizontal="center"/>
    </xf>
    <xf numFmtId="0" fontId="3" fillId="6" borderId="69" xfId="0" applyFont="1" applyFill="1" applyBorder="1"/>
    <xf numFmtId="0" fontId="16" fillId="9" borderId="14" xfId="0" applyFont="1" applyFill="1" applyBorder="1" applyAlignment="1">
      <alignment horizontal="center" wrapText="1"/>
    </xf>
    <xf numFmtId="10" fontId="3" fillId="0" borderId="14" xfId="22" applyNumberFormat="1" applyFont="1" applyBorder="1" applyAlignment="1">
      <alignment horizontal="center" vertical="center"/>
    </xf>
    <xf numFmtId="43" fontId="0" fillId="0" borderId="14" xfId="20" applyNumberFormat="1" applyFont="1" applyBorder="1" applyAlignment="1">
      <alignment horizontal="center" vertical="center"/>
    </xf>
    <xf numFmtId="44" fontId="0" fillId="0" borderId="14" xfId="21" applyFont="1" applyFill="1" applyBorder="1" applyAlignment="1" applyProtection="1">
      <alignment horizontal="center" vertical="center" wrapText="1"/>
      <protection locked="0"/>
    </xf>
    <xf numFmtId="0" fontId="0" fillId="0" borderId="14" xfId="0" applyFill="1" applyBorder="1" applyAlignment="1" applyProtection="1">
      <alignment horizontal="left" vertical="center"/>
      <protection locked="0"/>
    </xf>
    <xf numFmtId="0" fontId="0" fillId="0" borderId="14" xfId="0" applyFill="1" applyBorder="1" applyAlignment="1">
      <alignment horizontal="center" vertical="center"/>
    </xf>
    <xf numFmtId="0" fontId="9" fillId="4" borderId="7" xfId="0" applyFont="1" applyFill="1" applyBorder="1" applyAlignment="1">
      <alignment/>
    </xf>
    <xf numFmtId="0" fontId="4" fillId="5" borderId="3" xfId="0" applyFont="1" applyFill="1" applyBorder="1" applyAlignment="1">
      <alignment horizontal="center"/>
    </xf>
    <xf numFmtId="0" fontId="5" fillId="5" borderId="3" xfId="0" applyFont="1" applyFill="1" applyBorder="1" applyAlignment="1">
      <alignment horizontal="center"/>
    </xf>
    <xf numFmtId="0" fontId="24" fillId="10" borderId="76" xfId="0" applyFont="1" applyFill="1" applyBorder="1" applyAlignment="1">
      <alignment horizontal="center" vertical="center" wrapText="1"/>
    </xf>
    <xf numFmtId="0" fontId="3" fillId="0" borderId="0" xfId="0" applyFont="1" applyFill="1" applyAlignment="1">
      <alignment horizontal="center" vertical="center"/>
    </xf>
    <xf numFmtId="0" fontId="3" fillId="0" borderId="14" xfId="0" applyFont="1" applyBorder="1" applyAlignment="1">
      <alignment horizontal="center" vertical="center" wrapText="1"/>
    </xf>
    <xf numFmtId="0" fontId="0" fillId="0" borderId="14" xfId="0" applyBorder="1" applyAlignment="1">
      <alignment horizontal="center" vertical="center"/>
    </xf>
    <xf numFmtId="0" fontId="27" fillId="0" borderId="14" xfId="0" applyFont="1" applyBorder="1" applyAlignment="1" applyProtection="1">
      <alignment horizontal="center" vertical="center" wrapText="1"/>
      <protection/>
    </xf>
    <xf numFmtId="0" fontId="0" fillId="0" borderId="0" xfId="0" applyAlignment="1">
      <alignment vertical="center" wrapText="1"/>
    </xf>
    <xf numFmtId="0" fontId="0" fillId="0" borderId="31" xfId="0" applyBorder="1"/>
    <xf numFmtId="0" fontId="0" fillId="0" borderId="30" xfId="0" applyBorder="1"/>
    <xf numFmtId="0" fontId="0" fillId="0" borderId="43" xfId="0" applyBorder="1"/>
    <xf numFmtId="0" fontId="0" fillId="0" borderId="19" xfId="0" applyBorder="1"/>
    <xf numFmtId="0" fontId="0" fillId="0" borderId="74" xfId="0" applyBorder="1"/>
    <xf numFmtId="0" fontId="0" fillId="0" borderId="77" xfId="0" applyBorder="1"/>
    <xf numFmtId="0" fontId="0" fillId="0" borderId="74" xfId="0" applyBorder="1" applyAlignment="1">
      <alignment wrapText="1"/>
    </xf>
    <xf numFmtId="0" fontId="0" fillId="0" borderId="0" xfId="0" applyBorder="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Font="1" applyBorder="1"/>
    <xf numFmtId="0" fontId="0" fillId="0" borderId="31" xfId="0" applyBorder="1" applyAlignment="1">
      <alignment wrapText="1"/>
    </xf>
    <xf numFmtId="0" fontId="40" fillId="0" borderId="0" xfId="0" applyFont="1"/>
    <xf numFmtId="0" fontId="11" fillId="0" borderId="0" xfId="0" applyFont="1" applyAlignment="1">
      <alignment horizontal="center" vertical="center" wrapText="1"/>
    </xf>
    <xf numFmtId="0" fontId="0" fillId="0" borderId="19" xfId="0" applyBorder="1" applyAlignment="1">
      <alignment wrapText="1"/>
    </xf>
    <xf numFmtId="0" fontId="0" fillId="0" borderId="0" xfId="0" applyAlignment="1">
      <alignment wrapText="1"/>
    </xf>
    <xf numFmtId="0" fontId="3" fillId="0" borderId="0" xfId="0" applyFont="1" applyAlignment="1">
      <alignment wrapText="1"/>
    </xf>
    <xf numFmtId="0" fontId="3" fillId="0" borderId="0" xfId="0" applyFont="1" applyAlignment="1">
      <alignment/>
    </xf>
    <xf numFmtId="168" fontId="0" fillId="0" borderId="0" xfId="29" applyNumberFormat="1" applyFont="1" applyAlignment="1">
      <alignment wrapText="1"/>
    </xf>
    <xf numFmtId="0" fontId="0" fillId="11" borderId="0" xfId="0" applyFill="1" applyAlignment="1">
      <alignment wrapText="1"/>
    </xf>
    <xf numFmtId="168" fontId="0" fillId="11" borderId="0" xfId="0" applyNumberFormat="1" applyFill="1" applyAlignment="1">
      <alignment wrapText="1"/>
    </xf>
    <xf numFmtId="168" fontId="0" fillId="0" borderId="0" xfId="0" applyNumberFormat="1" applyAlignment="1">
      <alignment wrapText="1"/>
    </xf>
    <xf numFmtId="9" fontId="0" fillId="0" borderId="0" xfId="30" applyFont="1" applyAlignment="1">
      <alignment wrapText="1"/>
    </xf>
    <xf numFmtId="0" fontId="1" fillId="0" borderId="0" xfId="0" applyFont="1" applyFill="1" applyBorder="1" applyAlignment="1" applyProtection="1">
      <alignment horizontal="center" vertical="center" wrapText="1"/>
      <protection/>
    </xf>
    <xf numFmtId="0" fontId="11" fillId="0" borderId="0" xfId="27" applyFont="1">
      <alignment/>
      <protection/>
    </xf>
    <xf numFmtId="0" fontId="5" fillId="0" borderId="0" xfId="27">
      <alignment/>
      <protection/>
    </xf>
    <xf numFmtId="49" fontId="5" fillId="0" borderId="0" xfId="27" applyNumberFormat="1">
      <alignment/>
      <protection/>
    </xf>
    <xf numFmtId="0" fontId="5" fillId="0" borderId="0" xfId="27" applyNumberFormat="1">
      <alignment/>
      <protection/>
    </xf>
    <xf numFmtId="168" fontId="0" fillId="0" borderId="0" xfId="29" applyNumberFormat="1" applyFont="1"/>
    <xf numFmtId="166" fontId="0" fillId="0" borderId="0" xfId="32" applyNumberFormat="1" applyFont="1"/>
    <xf numFmtId="168" fontId="0" fillId="0" borderId="0" xfId="29" applyNumberFormat="1" applyFont="1" applyAlignment="1">
      <alignment horizontal="center"/>
    </xf>
    <xf numFmtId="166" fontId="0" fillId="0" borderId="0" xfId="32" applyNumberFormat="1" applyFont="1" applyAlignment="1">
      <alignment horizontal="center"/>
    </xf>
    <xf numFmtId="38" fontId="11" fillId="0" borderId="0" xfId="0" applyNumberFormat="1" applyFont="1"/>
    <xf numFmtId="0" fontId="0" fillId="0" borderId="0" xfId="0" applyAlignment="1">
      <alignment horizontal="center"/>
    </xf>
    <xf numFmtId="38" fontId="42" fillId="0" borderId="0" xfId="0" applyNumberFormat="1" applyFont="1" applyAlignment="1">
      <alignment horizontal="left"/>
    </xf>
    <xf numFmtId="0" fontId="42" fillId="0" borderId="0" xfId="0" applyFont="1" applyAlignment="1">
      <alignment horizontal="left"/>
    </xf>
    <xf numFmtId="10" fontId="1" fillId="0" borderId="0" xfId="30" applyNumberFormat="1" applyFont="1" applyFill="1" applyBorder="1"/>
    <xf numFmtId="10" fontId="1" fillId="0" borderId="22" xfId="30" applyNumberFormat="1" applyFont="1" applyFill="1" applyBorder="1"/>
    <xf numFmtId="181" fontId="1" fillId="0" borderId="74" xfId="30" applyNumberFormat="1" applyFont="1" applyFill="1" applyBorder="1"/>
    <xf numFmtId="181" fontId="1" fillId="0" borderId="0" xfId="30" applyNumberFormat="1" applyFont="1" applyFill="1" applyBorder="1"/>
    <xf numFmtId="181" fontId="1" fillId="0" borderId="65" xfId="30" applyNumberFormat="1" applyFont="1" applyFill="1" applyBorder="1"/>
    <xf numFmtId="0" fontId="3" fillId="11" borderId="14" xfId="0" applyFont="1" applyFill="1" applyBorder="1" applyAlignment="1">
      <alignment horizontal="center" vertical="center"/>
    </xf>
    <xf numFmtId="175" fontId="0" fillId="14" borderId="11" xfId="21" applyNumberFormat="1" applyFont="1" applyFill="1" applyBorder="1" applyAlignment="1" applyProtection="1">
      <alignment horizontal="center" vertical="center"/>
      <protection locked="0"/>
    </xf>
    <xf numFmtId="0" fontId="1" fillId="0" borderId="0" xfId="27" applyFont="1">
      <alignment/>
      <protection/>
    </xf>
    <xf numFmtId="49" fontId="1" fillId="0" borderId="0" xfId="27" applyNumberFormat="1" applyFont="1">
      <alignment/>
      <protection/>
    </xf>
    <xf numFmtId="0" fontId="1" fillId="0" borderId="0" xfId="27" applyNumberFormat="1" applyFont="1">
      <alignment/>
      <protection/>
    </xf>
    <xf numFmtId="168" fontId="20" fillId="0" borderId="0" xfId="29" applyNumberFormat="1" applyFont="1"/>
    <xf numFmtId="166" fontId="20" fillId="0" borderId="0" xfId="32" applyNumberFormat="1" applyFont="1"/>
    <xf numFmtId="0" fontId="3" fillId="0" borderId="0" xfId="0" applyFont="1" applyAlignment="1">
      <alignment horizontal="right"/>
    </xf>
    <xf numFmtId="181" fontId="1" fillId="16" borderId="0" xfId="30" applyNumberFormat="1" applyFont="1" applyFill="1" applyBorder="1"/>
    <xf numFmtId="8" fontId="26" fillId="0" borderId="0" xfId="0" applyNumberFormat="1" applyFont="1" applyFill="1" applyAlignment="1">
      <alignment horizontal="center" vertical="center"/>
    </xf>
    <xf numFmtId="0" fontId="0" fillId="11" borderId="0" xfId="0" applyFill="1"/>
    <xf numFmtId="0" fontId="11" fillId="0" borderId="0" xfId="0" applyFont="1" applyFill="1" applyBorder="1"/>
    <xf numFmtId="0" fontId="18" fillId="0" borderId="0" xfId="0" applyFont="1" applyFill="1" applyBorder="1" applyAlignment="1" applyProtection="1">
      <alignment horizontal="left" vertical="center" wrapText="1"/>
      <protection locked="0"/>
    </xf>
    <xf numFmtId="176" fontId="0" fillId="0" borderId="0" xfId="21" applyNumberFormat="1" applyFont="1" applyFill="1" applyBorder="1" applyAlignment="1" applyProtection="1">
      <alignment horizontal="center" vertical="center"/>
      <protection locked="0"/>
    </xf>
    <xf numFmtId="0" fontId="0" fillId="0" borderId="0" xfId="0" applyFill="1" applyBorder="1" applyAlignment="1" applyProtection="1">
      <alignment horizontal="left"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xf numFmtId="3" fontId="0" fillId="0" borderId="0" xfId="0" applyNumberFormat="1"/>
    <xf numFmtId="0" fontId="47" fillId="0" borderId="0" xfId="0" applyFont="1"/>
    <xf numFmtId="10" fontId="0" fillId="0" borderId="0" xfId="0" applyNumberFormat="1"/>
    <xf numFmtId="0" fontId="16" fillId="9" borderId="17" xfId="0" applyFont="1" applyFill="1" applyBorder="1" applyAlignment="1">
      <alignment horizontal="center" wrapText="1"/>
    </xf>
    <xf numFmtId="0" fontId="43" fillId="0" borderId="0" xfId="0" applyFont="1"/>
    <xf numFmtId="10" fontId="2" fillId="0" borderId="0" xfId="0" applyNumberFormat="1" applyFont="1"/>
    <xf numFmtId="43" fontId="3" fillId="0" borderId="0" xfId="20" applyFont="1"/>
    <xf numFmtId="9" fontId="0" fillId="0" borderId="14" xfId="0" applyNumberFormat="1" applyBorder="1"/>
    <xf numFmtId="7" fontId="0" fillId="0" borderId="14" xfId="21" applyNumberFormat="1" applyFont="1" applyBorder="1"/>
    <xf numFmtId="43" fontId="0" fillId="0" borderId="14" xfId="20" applyFont="1" applyBorder="1"/>
    <xf numFmtId="168" fontId="0" fillId="0" borderId="14" xfId="20" applyNumberFormat="1" applyFont="1" applyBorder="1"/>
    <xf numFmtId="0" fontId="0" fillId="0" borderId="14" xfId="0" applyFont="1" applyBorder="1"/>
    <xf numFmtId="0" fontId="0" fillId="0" borderId="14" xfId="0" applyFont="1" applyFill="1" applyBorder="1"/>
    <xf numFmtId="9" fontId="0" fillId="0" borderId="14" xfId="21" applyNumberFormat="1" applyFont="1" applyBorder="1"/>
    <xf numFmtId="10" fontId="0" fillId="0" borderId="14" xfId="22" applyNumberFormat="1" applyFont="1" applyBorder="1"/>
    <xf numFmtId="0" fontId="0" fillId="0" borderId="15" xfId="0" applyFont="1" applyBorder="1"/>
    <xf numFmtId="0" fontId="51" fillId="0" borderId="75" xfId="0" applyFont="1" applyBorder="1" applyAlignment="1">
      <alignment vertical="center"/>
    </xf>
    <xf numFmtId="0" fontId="51" fillId="0" borderId="67" xfId="0" applyFont="1" applyBorder="1" applyAlignment="1">
      <alignment vertical="center"/>
    </xf>
    <xf numFmtId="0" fontId="51" fillId="0" borderId="79" xfId="0" applyFont="1" applyBorder="1" applyAlignment="1">
      <alignment vertical="center"/>
    </xf>
    <xf numFmtId="0" fontId="51" fillId="0" borderId="65" xfId="0" applyFont="1" applyBorder="1" applyAlignment="1">
      <alignment vertical="center"/>
    </xf>
    <xf numFmtId="0" fontId="51" fillId="0" borderId="65" xfId="0" applyFont="1" applyBorder="1" applyAlignment="1">
      <alignment horizontal="center" vertical="center"/>
    </xf>
    <xf numFmtId="8" fontId="51" fillId="0" borderId="65" xfId="0" applyNumberFormat="1" applyFont="1" applyBorder="1" applyAlignment="1">
      <alignment horizontal="right" vertical="center"/>
    </xf>
    <xf numFmtId="0" fontId="50" fillId="0" borderId="79" xfId="0" applyFont="1" applyBorder="1" applyAlignment="1">
      <alignment vertical="top"/>
    </xf>
    <xf numFmtId="0" fontId="51" fillId="0" borderId="65" xfId="0" applyFont="1" applyBorder="1" applyAlignment="1">
      <alignment horizontal="right" vertical="center"/>
    </xf>
    <xf numFmtId="0" fontId="52" fillId="0" borderId="0" xfId="0" applyFont="1"/>
    <xf numFmtId="0" fontId="0" fillId="0" borderId="0" xfId="0" applyAlignment="1">
      <alignment vertical="center"/>
    </xf>
    <xf numFmtId="43" fontId="0" fillId="0" borderId="26" xfId="20" applyFont="1" applyBorder="1" applyAlignment="1">
      <alignment horizontal="center" vertical="center"/>
    </xf>
    <xf numFmtId="9" fontId="3" fillId="0" borderId="14" xfId="22" applyFont="1" applyBorder="1" applyAlignment="1">
      <alignment horizontal="center" vertical="center"/>
    </xf>
    <xf numFmtId="44" fontId="0" fillId="0" borderId="14" xfId="21" applyNumberFormat="1" applyFont="1" applyFill="1" applyBorder="1" applyAlignment="1">
      <alignment horizontal="center"/>
    </xf>
    <xf numFmtId="0" fontId="19" fillId="0" borderId="14" xfId="0" applyFont="1" applyFill="1" applyBorder="1" applyAlignment="1">
      <alignment horizontal="left"/>
    </xf>
    <xf numFmtId="44" fontId="19" fillId="0" borderId="14" xfId="21" applyFont="1" applyFill="1" applyBorder="1" applyAlignment="1">
      <alignment horizontal="center"/>
    </xf>
    <xf numFmtId="0" fontId="20" fillId="10" borderId="14" xfId="0" applyFont="1" applyFill="1" applyBorder="1" applyAlignment="1">
      <alignment/>
    </xf>
    <xf numFmtId="2" fontId="19" fillId="0" borderId="14" xfId="0" applyNumberFormat="1" applyFont="1" applyFill="1" applyBorder="1" applyAlignment="1">
      <alignment horizontal="right"/>
    </xf>
    <xf numFmtId="2" fontId="20" fillId="10" borderId="14" xfId="0" applyNumberFormat="1" applyFont="1" applyFill="1" applyBorder="1" applyAlignment="1">
      <alignment/>
    </xf>
    <xf numFmtId="0" fontId="5" fillId="0" borderId="0" xfId="27" applyFont="1">
      <alignment/>
      <protection/>
    </xf>
    <xf numFmtId="0" fontId="5" fillId="0" borderId="0" xfId="27" applyNumberFormat="1" applyFont="1">
      <alignment/>
      <protection/>
    </xf>
    <xf numFmtId="168" fontId="0" fillId="0" borderId="0" xfId="29" applyNumberFormat="1" applyFont="1"/>
    <xf numFmtId="166" fontId="0" fillId="0" borderId="0" xfId="32" applyNumberFormat="1" applyFont="1"/>
    <xf numFmtId="44" fontId="0" fillId="0" borderId="27" xfId="21" applyNumberFormat="1" applyFont="1" applyFill="1" applyBorder="1" applyAlignment="1" applyProtection="1">
      <alignment horizontal="center" vertical="center" wrapText="1"/>
      <protection locked="0"/>
    </xf>
    <xf numFmtId="44" fontId="0" fillId="0" borderId="27" xfId="21" applyNumberFormat="1" applyFont="1" applyBorder="1" applyAlignment="1" applyProtection="1">
      <alignment horizontal="center" vertical="center" wrapText="1"/>
      <protection locked="0"/>
    </xf>
    <xf numFmtId="44" fontId="0" fillId="0" borderId="27" xfId="21" applyFont="1" applyFill="1" applyBorder="1" applyAlignment="1" applyProtection="1">
      <alignment horizontal="center" vertical="center" wrapText="1"/>
      <protection locked="0"/>
    </xf>
    <xf numFmtId="44" fontId="0" fillId="0" borderId="27" xfId="21" applyNumberFormat="1" applyFont="1" applyBorder="1" applyAlignment="1" applyProtection="1">
      <alignment horizontal="left" vertical="center"/>
      <protection locked="0"/>
    </xf>
    <xf numFmtId="44" fontId="0" fillId="0" borderId="27" xfId="21" applyFont="1" applyBorder="1" applyAlignment="1" applyProtection="1">
      <alignment horizontal="center" vertical="center" wrapText="1"/>
      <protection locked="0"/>
    </xf>
    <xf numFmtId="43" fontId="3" fillId="0" borderId="27" xfId="20" applyNumberFormat="1" applyFont="1" applyBorder="1" applyAlignment="1" applyProtection="1">
      <alignment horizontal="center" vertical="center" wrapText="1"/>
      <protection locked="0"/>
    </xf>
    <xf numFmtId="44" fontId="20" fillId="0" borderId="27" xfId="21" applyFont="1" applyBorder="1" applyAlignment="1" applyProtection="1">
      <alignment horizontal="center" vertical="center" wrapText="1"/>
      <protection locked="0"/>
    </xf>
    <xf numFmtId="43" fontId="3" fillId="0" borderId="33" xfId="20" applyNumberFormat="1" applyFont="1" applyBorder="1" applyAlignment="1" applyProtection="1">
      <alignment horizontal="center" vertical="center" wrapText="1"/>
      <protection locked="0"/>
    </xf>
    <xf numFmtId="175" fontId="0" fillId="0" borderId="33" xfId="21" applyNumberFormat="1" applyFont="1" applyFill="1" applyBorder="1" applyAlignment="1" applyProtection="1">
      <alignment horizontal="center" vertical="center"/>
      <protection locked="0"/>
    </xf>
    <xf numFmtId="10" fontId="3" fillId="10" borderId="80" xfId="22" applyNumberFormat="1" applyFont="1" applyFill="1" applyBorder="1" applyAlignment="1" applyProtection="1">
      <alignment horizontal="center" vertical="center" wrapText="1"/>
      <protection locked="0"/>
    </xf>
    <xf numFmtId="44" fontId="0" fillId="10" borderId="27" xfId="21" applyNumberFormat="1" applyFont="1" applyFill="1" applyBorder="1" applyAlignment="1" applyProtection="1">
      <alignment horizontal="center" vertical="center" wrapText="1"/>
      <protection locked="0"/>
    </xf>
    <xf numFmtId="44" fontId="0" fillId="10" borderId="27" xfId="21" applyFont="1" applyFill="1" applyBorder="1" applyAlignment="1" applyProtection="1">
      <alignment horizontal="center" vertical="center" wrapText="1"/>
      <protection locked="0"/>
    </xf>
    <xf numFmtId="44" fontId="0" fillId="10" borderId="27" xfId="21" applyNumberFormat="1" applyFont="1" applyFill="1" applyBorder="1" applyAlignment="1" applyProtection="1">
      <alignment horizontal="left" vertical="center"/>
      <protection locked="0"/>
    </xf>
    <xf numFmtId="43" fontId="3" fillId="10" borderId="27" xfId="20" applyNumberFormat="1" applyFont="1" applyFill="1" applyBorder="1" applyAlignment="1" applyProtection="1">
      <alignment horizontal="center" vertical="center" wrapText="1"/>
      <protection locked="0"/>
    </xf>
    <xf numFmtId="44" fontId="20" fillId="10" borderId="27" xfId="21" applyFont="1" applyFill="1" applyBorder="1" applyAlignment="1" applyProtection="1">
      <alignment horizontal="center" vertical="center" wrapText="1"/>
      <protection locked="0"/>
    </xf>
    <xf numFmtId="43" fontId="3" fillId="10" borderId="33" xfId="20" applyNumberFormat="1" applyFont="1" applyFill="1" applyBorder="1" applyAlignment="1" applyProtection="1">
      <alignment horizontal="center" vertical="center" wrapText="1"/>
      <protection locked="0"/>
    </xf>
    <xf numFmtId="10" fontId="3" fillId="10" borderId="15" xfId="22" applyNumberFormat="1" applyFont="1" applyFill="1" applyBorder="1" applyAlignment="1" applyProtection="1">
      <alignment horizontal="center" vertical="center" wrapText="1"/>
      <protection locked="0"/>
    </xf>
    <xf numFmtId="44" fontId="0" fillId="10" borderId="14" xfId="21" applyNumberFormat="1" applyFont="1" applyFill="1" applyBorder="1" applyAlignment="1" applyProtection="1">
      <alignment horizontal="center" vertical="center" wrapText="1"/>
      <protection locked="0"/>
    </xf>
    <xf numFmtId="44" fontId="0" fillId="10" borderId="14" xfId="21" applyFont="1" applyFill="1" applyBorder="1" applyAlignment="1" applyProtection="1">
      <alignment horizontal="center" vertical="center" wrapText="1"/>
      <protection locked="0"/>
    </xf>
    <xf numFmtId="44" fontId="0" fillId="10" borderId="14" xfId="21" applyNumberFormat="1" applyFont="1" applyFill="1" applyBorder="1" applyAlignment="1" applyProtection="1">
      <alignment horizontal="left" vertical="center"/>
      <protection locked="0"/>
    </xf>
    <xf numFmtId="43" fontId="3" fillId="10" borderId="14" xfId="20" applyNumberFormat="1" applyFont="1" applyFill="1" applyBorder="1" applyAlignment="1" applyProtection="1">
      <alignment horizontal="center" vertical="center" wrapText="1"/>
      <protection locked="0"/>
    </xf>
    <xf numFmtId="44" fontId="20" fillId="10" borderId="14" xfId="21" applyFont="1" applyFill="1" applyBorder="1" applyAlignment="1" applyProtection="1">
      <alignment horizontal="center" vertical="center" wrapText="1"/>
      <protection locked="0"/>
    </xf>
    <xf numFmtId="43" fontId="3" fillId="10" borderId="13" xfId="20" applyNumberFormat="1" applyFont="1" applyFill="1" applyBorder="1" applyAlignment="1" applyProtection="1">
      <alignment horizontal="center" vertical="center" wrapText="1"/>
      <protection locked="0"/>
    </xf>
    <xf numFmtId="175" fontId="0" fillId="10" borderId="15" xfId="21" applyNumberFormat="1" applyFont="1" applyFill="1" applyBorder="1" applyAlignment="1" applyProtection="1">
      <alignment horizontal="center" vertical="center"/>
      <protection locked="0"/>
    </xf>
    <xf numFmtId="175" fontId="0" fillId="10" borderId="33" xfId="21" applyNumberFormat="1" applyFont="1" applyFill="1" applyBorder="1" applyAlignment="1" applyProtection="1">
      <alignment horizontal="center" vertical="center"/>
      <protection locked="0"/>
    </xf>
    <xf numFmtId="175" fontId="0" fillId="10" borderId="13" xfId="21" applyNumberFormat="1" applyFont="1" applyFill="1" applyBorder="1" applyAlignment="1" applyProtection="1">
      <alignment horizontal="center" vertical="center"/>
      <protection locked="0"/>
    </xf>
    <xf numFmtId="0" fontId="20" fillId="0" borderId="0" xfId="0" applyFont="1" applyFill="1" applyBorder="1" applyProtection="1">
      <protection locked="0"/>
    </xf>
    <xf numFmtId="0" fontId="0" fillId="0" borderId="14" xfId="24" applyFont="1" applyBorder="1" applyAlignment="1">
      <alignment wrapText="1"/>
      <protection/>
    </xf>
    <xf numFmtId="0" fontId="11" fillId="11" borderId="0" xfId="0" applyFont="1" applyFill="1"/>
    <xf numFmtId="10" fontId="0" fillId="0" borderId="0" xfId="30" applyNumberFormat="1" applyFont="1" applyFill="1"/>
    <xf numFmtId="10" fontId="2" fillId="0" borderId="0" xfId="30" applyNumberFormat="1" applyFont="1" applyFill="1"/>
    <xf numFmtId="10" fontId="0" fillId="0" borderId="0" xfId="0" applyNumberFormat="1" applyFill="1"/>
    <xf numFmtId="10" fontId="2" fillId="0" borderId="0" xfId="0" applyNumberFormat="1" applyFont="1" applyFill="1"/>
    <xf numFmtId="0" fontId="1" fillId="0" borderId="0" xfId="0" applyFont="1" applyFill="1" applyBorder="1" applyAlignment="1" applyProtection="1">
      <alignment horizontal="center"/>
      <protection/>
    </xf>
    <xf numFmtId="3" fontId="18" fillId="0" borderId="24" xfId="21" applyNumberFormat="1" applyFont="1" applyFill="1" applyBorder="1" applyAlignment="1">
      <alignment horizontal="center"/>
    </xf>
    <xf numFmtId="0" fontId="11" fillId="0" borderId="0" xfId="0" applyFont="1" applyAlignment="1">
      <alignment/>
    </xf>
    <xf numFmtId="0" fontId="19" fillId="10" borderId="14" xfId="0" applyFont="1" applyFill="1" applyBorder="1" applyAlignment="1">
      <alignment horizontal="center" vertical="center"/>
    </xf>
    <xf numFmtId="0" fontId="19" fillId="10" borderId="14" xfId="0" applyFont="1" applyFill="1" applyBorder="1" applyAlignment="1">
      <alignment horizontal="center"/>
    </xf>
    <xf numFmtId="0" fontId="24" fillId="10" borderId="76" xfId="0" applyFont="1" applyFill="1" applyBorder="1" applyAlignment="1">
      <alignment horizontal="center" vertical="center" wrapText="1"/>
    </xf>
    <xf numFmtId="0" fontId="3" fillId="0" borderId="0" xfId="0" applyFont="1" applyFill="1" applyAlignment="1">
      <alignment horizontal="center" vertical="center"/>
    </xf>
    <xf numFmtId="0" fontId="0" fillId="0" borderId="0" xfId="0" applyAlignment="1">
      <alignment wrapText="1"/>
    </xf>
    <xf numFmtId="0" fontId="27" fillId="0" borderId="14" xfId="0" applyFont="1" applyFill="1" applyBorder="1" applyAlignment="1" applyProtection="1">
      <alignment horizontal="center" vertical="center" wrapText="1"/>
      <protection/>
    </xf>
    <xf numFmtId="0" fontId="3" fillId="0" borderId="14" xfId="0" applyFont="1" applyBorder="1" applyAlignment="1">
      <alignment horizontal="center" vertical="center" wrapText="1"/>
    </xf>
    <xf numFmtId="10" fontId="0" fillId="0" borderId="0" xfId="22" applyNumberFormat="1" applyFont="1" applyFill="1"/>
    <xf numFmtId="43" fontId="20" fillId="0" borderId="14" xfId="20" applyFont="1" applyBorder="1"/>
    <xf numFmtId="0" fontId="0" fillId="0" borderId="18" xfId="0" applyFont="1" applyBorder="1"/>
    <xf numFmtId="0" fontId="0" fillId="0" borderId="71" xfId="0" applyFont="1" applyBorder="1"/>
    <xf numFmtId="0" fontId="3" fillId="0" borderId="14" xfId="0" applyFont="1" applyBorder="1" applyAlignment="1">
      <alignment horizontal="left" vertical="center"/>
    </xf>
    <xf numFmtId="0" fontId="0" fillId="0" borderId="14" xfId="0" applyFont="1" applyBorder="1" applyAlignment="1">
      <alignment horizontal="left" vertical="center"/>
    </xf>
    <xf numFmtId="43" fontId="53" fillId="7" borderId="76" xfId="20" applyNumberFormat="1" applyFont="1" applyFill="1" applyBorder="1" applyAlignment="1">
      <alignment horizontal="center" vertical="center" wrapText="1"/>
    </xf>
    <xf numFmtId="43" fontId="53" fillId="7" borderId="69" xfId="20" applyNumberFormat="1" applyFont="1" applyFill="1" applyBorder="1" applyAlignment="1">
      <alignment horizontal="center" vertical="center" wrapText="1"/>
    </xf>
    <xf numFmtId="43" fontId="53" fillId="7" borderId="32" xfId="20" applyNumberFormat="1" applyFont="1" applyFill="1" applyBorder="1" applyAlignment="1">
      <alignment horizontal="center" vertical="center" wrapText="1"/>
    </xf>
    <xf numFmtId="10" fontId="0" fillId="0" borderId="11" xfId="22" applyNumberFormat="1" applyFont="1" applyBorder="1"/>
    <xf numFmtId="10" fontId="0" fillId="0" borderId="10" xfId="22" applyNumberFormat="1" applyFont="1" applyBorder="1" applyAlignment="1">
      <alignment horizontal="right"/>
    </xf>
    <xf numFmtId="43" fontId="0" fillId="0" borderId="12" xfId="20" applyFont="1" applyBorder="1" applyAlignment="1">
      <alignment horizontal="left"/>
    </xf>
    <xf numFmtId="0" fontId="0" fillId="0" borderId="14" xfId="0" applyFont="1" applyBorder="1" applyAlignment="1">
      <alignment horizontal="center" vertical="center"/>
    </xf>
    <xf numFmtId="1" fontId="0" fillId="0" borderId="14" xfId="0" applyNumberFormat="1" applyFont="1" applyBorder="1" applyAlignment="1">
      <alignment horizontal="center" vertical="center"/>
    </xf>
    <xf numFmtId="2" fontId="0" fillId="0" borderId="0" xfId="0" applyNumberFormat="1" applyFont="1"/>
    <xf numFmtId="0" fontId="0" fillId="0" borderId="0" xfId="0" applyFont="1" applyAlignment="1">
      <alignment horizontal="left" vertical="center"/>
    </xf>
    <xf numFmtId="1" fontId="0" fillId="0" borderId="0" xfId="0" applyNumberFormat="1" applyFont="1" applyFill="1" applyBorder="1" applyAlignment="1">
      <alignment horizontal="center" vertical="center"/>
    </xf>
    <xf numFmtId="0" fontId="0" fillId="0" borderId="0" xfId="0" applyFont="1" applyBorder="1" applyAlignment="1">
      <alignment horizontal="center" vertical="center"/>
    </xf>
    <xf numFmtId="0" fontId="53" fillId="17" borderId="11"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0" fillId="0" borderId="0" xfId="0" applyFont="1" applyAlignment="1">
      <alignment horizontal="left"/>
    </xf>
    <xf numFmtId="0" fontId="53" fillId="17" borderId="14" xfId="0" applyFont="1" applyFill="1" applyBorder="1" applyAlignment="1">
      <alignment horizontal="left" vertical="center" wrapText="1"/>
    </xf>
    <xf numFmtId="0" fontId="0" fillId="0" borderId="0" xfId="0" applyFont="1" applyBorder="1" applyAlignment="1">
      <alignment horizontal="left"/>
    </xf>
    <xf numFmtId="0" fontId="39" fillId="0" borderId="0" xfId="0" applyFont="1" applyAlignment="1">
      <alignment vertical="top"/>
    </xf>
    <xf numFmtId="0" fontId="0" fillId="0" borderId="0" xfId="0" applyAlignment="1">
      <alignment vertical="top"/>
    </xf>
    <xf numFmtId="0" fontId="0" fillId="0" borderId="0" xfId="0" applyAlignment="1">
      <alignment vertical="top" wrapText="1"/>
    </xf>
    <xf numFmtId="0" fontId="3" fillId="0" borderId="14" xfId="0" applyFont="1" applyBorder="1" applyAlignment="1">
      <alignment vertical="top"/>
    </xf>
    <xf numFmtId="0" fontId="3" fillId="0" borderId="14" xfId="0" applyFont="1" applyBorder="1" applyAlignment="1">
      <alignment vertical="top" wrapText="1"/>
    </xf>
    <xf numFmtId="0" fontId="0" fillId="0" borderId="14" xfId="0" applyBorder="1" applyAlignment="1">
      <alignment vertical="top"/>
    </xf>
    <xf numFmtId="0" fontId="0" fillId="0" borderId="14" xfId="0" applyBorder="1" applyAlignment="1">
      <alignment vertical="top" wrapText="1"/>
    </xf>
    <xf numFmtId="10" fontId="0" fillId="18" borderId="73" xfId="22" applyNumberFormat="1" applyFont="1" applyFill="1" applyBorder="1" applyAlignment="1">
      <alignment horizontal="center" vertical="center"/>
    </xf>
    <xf numFmtId="10" fontId="0" fillId="19" borderId="29" xfId="22" applyNumberFormat="1" applyFont="1" applyFill="1" applyBorder="1"/>
    <xf numFmtId="10" fontId="0" fillId="20" borderId="45" xfId="22" applyNumberFormat="1" applyFont="1" applyFill="1" applyBorder="1"/>
    <xf numFmtId="10" fontId="0" fillId="0" borderId="0" xfId="22" applyNumberFormat="1" applyFont="1" applyFill="1" applyBorder="1"/>
    <xf numFmtId="10" fontId="0" fillId="0" borderId="0" xfId="22" applyNumberFormat="1" applyFont="1" applyFill="1" applyBorder="1" applyAlignment="1">
      <alignment horizontal="right"/>
    </xf>
    <xf numFmtId="10" fontId="0" fillId="0" borderId="80" xfId="22" applyNumberFormat="1" applyFont="1" applyFill="1" applyBorder="1" applyAlignment="1" applyProtection="1">
      <alignment horizontal="left" vertical="center" wrapText="1"/>
      <protection locked="0"/>
    </xf>
    <xf numFmtId="10" fontId="3" fillId="0" borderId="80" xfId="22" applyNumberFormat="1" applyFont="1" applyFill="1" applyBorder="1" applyAlignment="1" applyProtection="1">
      <alignment horizontal="left" vertical="center" wrapText="1"/>
      <protection locked="0"/>
    </xf>
    <xf numFmtId="0" fontId="0" fillId="0" borderId="14" xfId="0" applyFill="1" applyBorder="1"/>
    <xf numFmtId="44" fontId="0" fillId="0" borderId="14" xfId="0" applyNumberFormat="1" applyFont="1" applyBorder="1"/>
    <xf numFmtId="0" fontId="0" fillId="0" borderId="0" xfId="0" applyFont="1" applyFill="1"/>
    <xf numFmtId="0" fontId="0" fillId="0" borderId="0" xfId="0" applyFont="1" applyProtection="1">
      <protection locked="0"/>
    </xf>
    <xf numFmtId="0" fontId="0" fillId="0" borderId="0" xfId="0" applyFont="1" applyAlignment="1">
      <alignment horizontal="center" vertical="center"/>
    </xf>
    <xf numFmtId="0" fontId="36" fillId="8" borderId="45" xfId="0" applyFont="1" applyFill="1" applyBorder="1" applyAlignment="1" applyProtection="1">
      <alignment horizontal="center" vertical="center" wrapText="1"/>
      <protection locked="0"/>
    </xf>
    <xf numFmtId="0" fontId="36" fillId="8" borderId="15" xfId="0" applyFont="1" applyFill="1" applyBorder="1" applyAlignment="1" applyProtection="1">
      <alignment horizontal="center" vertical="center" wrapText="1"/>
      <protection locked="0"/>
    </xf>
    <xf numFmtId="0" fontId="36" fillId="8" borderId="14" xfId="0" applyFont="1" applyFill="1" applyBorder="1" applyAlignment="1" applyProtection="1">
      <alignment horizontal="center" vertical="center" wrapText="1"/>
      <protection locked="0"/>
    </xf>
    <xf numFmtId="0" fontId="36" fillId="8" borderId="13" xfId="0" applyFont="1" applyFill="1" applyBorder="1" applyAlignment="1" applyProtection="1">
      <alignment horizontal="center" vertical="center" wrapText="1"/>
      <protection locked="0"/>
    </xf>
    <xf numFmtId="0" fontId="0" fillId="10" borderId="14" xfId="0" applyFont="1" applyFill="1" applyBorder="1" applyAlignment="1" applyProtection="1">
      <alignment horizontal="center" vertical="center" wrapText="1"/>
      <protection locked="0"/>
    </xf>
    <xf numFmtId="43" fontId="0" fillId="10" borderId="14" xfId="0" applyNumberFormat="1" applyFont="1" applyFill="1" applyBorder="1" applyAlignment="1" applyProtection="1">
      <alignment horizontal="center" vertical="center" wrapText="1"/>
      <protection locked="0"/>
    </xf>
    <xf numFmtId="0" fontId="0" fillId="10" borderId="14" xfId="0" applyFont="1" applyFill="1" applyBorder="1" applyAlignment="1">
      <alignment horizontal="center" vertical="center"/>
    </xf>
    <xf numFmtId="0" fontId="0" fillId="0" borderId="14" xfId="0" applyFont="1" applyFill="1" applyBorder="1" applyAlignment="1" applyProtection="1">
      <alignment horizontal="center" vertical="center" wrapText="1"/>
      <protection locked="0"/>
    </xf>
    <xf numFmtId="43" fontId="0" fillId="0" borderId="14" xfId="0" applyNumberFormat="1" applyFont="1" applyFill="1" applyBorder="1" applyAlignment="1" applyProtection="1">
      <alignment horizontal="center" vertical="center" wrapText="1"/>
      <protection locked="0"/>
    </xf>
    <xf numFmtId="0" fontId="0" fillId="0" borderId="27" xfId="0" applyFont="1" applyFill="1" applyBorder="1" applyAlignment="1">
      <alignment horizontal="center" vertical="center"/>
    </xf>
    <xf numFmtId="0" fontId="0" fillId="10" borderId="27" xfId="0" applyFont="1" applyFill="1" applyBorder="1" applyAlignment="1">
      <alignment horizontal="center" vertical="center"/>
    </xf>
    <xf numFmtId="0" fontId="36" fillId="9" borderId="14" xfId="0" applyFont="1" applyFill="1" applyBorder="1" applyAlignment="1">
      <alignment horizontal="center" vertical="center" wrapText="1"/>
    </xf>
    <xf numFmtId="0" fontId="36" fillId="9" borderId="14" xfId="0" applyFont="1" applyFill="1" applyBorder="1" applyAlignment="1">
      <alignment horizontal="center" vertical="center"/>
    </xf>
    <xf numFmtId="0" fontId="36" fillId="10" borderId="14" xfId="0" applyFont="1" applyFill="1" applyBorder="1" applyAlignment="1">
      <alignment/>
    </xf>
    <xf numFmtId="0" fontId="53" fillId="7" borderId="14" xfId="0" applyFont="1" applyFill="1" applyBorder="1" applyAlignment="1">
      <alignment horizontal="center"/>
    </xf>
    <xf numFmtId="44" fontId="19" fillId="9" borderId="14" xfId="0" applyNumberFormat="1" applyFont="1" applyFill="1" applyBorder="1" applyAlignment="1">
      <alignment horizontal="center"/>
    </xf>
    <xf numFmtId="0" fontId="36" fillId="8" borderId="14" xfId="0" applyFont="1" applyFill="1" applyBorder="1" applyAlignment="1">
      <alignment horizontal="center" vertical="center" wrapText="1"/>
    </xf>
    <xf numFmtId="0" fontId="3" fillId="8" borderId="14" xfId="0" applyFont="1" applyFill="1" applyBorder="1" applyAlignment="1">
      <alignment horizontal="center" vertical="center" wrapText="1"/>
    </xf>
    <xf numFmtId="2" fontId="19" fillId="6" borderId="14" xfId="0" applyNumberFormat="1" applyFont="1" applyFill="1" applyBorder="1" applyAlignment="1">
      <alignment horizontal="right"/>
    </xf>
    <xf numFmtId="0" fontId="0" fillId="0" borderId="14"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protection locked="0"/>
    </xf>
    <xf numFmtId="9" fontId="0" fillId="0" borderId="14" xfId="0" applyNumberFormat="1" applyFont="1" applyFill="1" applyBorder="1" applyAlignment="1" applyProtection="1">
      <alignment horizontal="center" vertical="center"/>
      <protection locked="0"/>
    </xf>
    <xf numFmtId="0" fontId="56" fillId="10" borderId="14" xfId="0" applyFont="1" applyFill="1" applyBorder="1" applyAlignment="1">
      <alignment horizontal="center" vertical="center" wrapText="1"/>
    </xf>
    <xf numFmtId="0" fontId="0" fillId="0" borderId="0" xfId="0" applyFont="1" applyFill="1" applyAlignment="1">
      <alignment horizontal="center" vertical="center"/>
    </xf>
    <xf numFmtId="8" fontId="0" fillId="0" borderId="0" xfId="0" applyNumberFormat="1" applyFont="1" applyFill="1"/>
    <xf numFmtId="0" fontId="0" fillId="0" borderId="0" xfId="0" applyFont="1" applyFill="1" applyBorder="1" applyAlignment="1">
      <alignment horizontal="center" vertical="center"/>
    </xf>
    <xf numFmtId="0" fontId="0" fillId="0" borderId="0" xfId="0" applyFont="1" applyFill="1" applyBorder="1" applyAlignment="1" applyProtection="1">
      <alignment horizontal="left" vertical="center"/>
      <protection locked="0"/>
    </xf>
    <xf numFmtId="0" fontId="0" fillId="0" borderId="39" xfId="0" applyFont="1" applyFill="1" applyBorder="1" applyAlignment="1">
      <alignment horizontal="left"/>
    </xf>
    <xf numFmtId="0" fontId="0" fillId="0" borderId="14" xfId="0" applyFont="1" applyBorder="1" applyAlignment="1">
      <alignment horizontal="center"/>
    </xf>
    <xf numFmtId="0" fontId="0" fillId="0" borderId="14" xfId="0" applyFont="1" applyFill="1" applyBorder="1" applyAlignment="1">
      <alignment horizontal="center" vertical="center"/>
    </xf>
    <xf numFmtId="0" fontId="0" fillId="0" borderId="31" xfId="0" applyFont="1" applyFill="1" applyBorder="1" applyAlignment="1">
      <alignment/>
    </xf>
    <xf numFmtId="0" fontId="0" fillId="0" borderId="30" xfId="0" applyFont="1" applyFill="1" applyBorder="1" applyAlignment="1">
      <alignment/>
    </xf>
    <xf numFmtId="43" fontId="0" fillId="0" borderId="0" xfId="0" applyNumberFormat="1" applyFont="1"/>
    <xf numFmtId="0" fontId="0" fillId="0" borderId="13" xfId="0" applyFont="1" applyBorder="1" applyAlignment="1">
      <alignment horizontal="center" vertical="center"/>
    </xf>
    <xf numFmtId="0" fontId="0" fillId="0" borderId="0" xfId="0" applyFill="1" applyAlignment="1">
      <alignment wrapText="1"/>
    </xf>
    <xf numFmtId="0" fontId="16" fillId="8" borderId="58" xfId="0" applyFont="1" applyFill="1" applyBorder="1" applyAlignment="1">
      <alignment wrapText="1"/>
    </xf>
    <xf numFmtId="0" fontId="0" fillId="0" borderId="13" xfId="0" applyBorder="1" applyAlignment="1">
      <alignment wrapText="1"/>
    </xf>
    <xf numFmtId="0" fontId="0" fillId="0" borderId="67" xfId="0" applyFill="1" applyBorder="1" applyAlignment="1">
      <alignment wrapText="1"/>
    </xf>
    <xf numFmtId="0" fontId="0" fillId="8" borderId="53" xfId="0" applyFill="1" applyBorder="1" applyAlignment="1">
      <alignment wrapText="1"/>
    </xf>
    <xf numFmtId="0" fontId="3" fillId="0" borderId="0" xfId="0" applyFont="1" applyFill="1" applyBorder="1" applyAlignment="1">
      <alignment wrapText="1"/>
    </xf>
    <xf numFmtId="0" fontId="0" fillId="0" borderId="0" xfId="0" applyAlignment="1">
      <alignment horizontal="center" vertical="top"/>
    </xf>
    <xf numFmtId="0" fontId="3" fillId="11" borderId="14" xfId="0" applyFont="1" applyFill="1" applyBorder="1" applyAlignment="1">
      <alignment horizontal="center" vertical="top"/>
    </xf>
    <xf numFmtId="0" fontId="20" fillId="0" borderId="0" xfId="0" applyFont="1" applyFill="1" applyBorder="1" applyAlignment="1">
      <alignment horizontal="center" vertical="top"/>
    </xf>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center" vertical="top"/>
    </xf>
    <xf numFmtId="0" fontId="24" fillId="10" borderId="76" xfId="0" applyFont="1" applyFill="1" applyBorder="1" applyAlignment="1">
      <alignment horizontal="center" vertical="top" wrapText="1"/>
    </xf>
    <xf numFmtId="0" fontId="16" fillId="9" borderId="68" xfId="0" applyFont="1" applyFill="1" applyBorder="1" applyAlignment="1">
      <alignment horizontal="center" vertical="top" wrapText="1"/>
    </xf>
    <xf numFmtId="0" fontId="16" fillId="9" borderId="69" xfId="0" applyFont="1" applyFill="1" applyBorder="1" applyAlignment="1">
      <alignment horizontal="center" vertical="top"/>
    </xf>
    <xf numFmtId="0" fontId="16" fillId="9" borderId="32" xfId="0" applyFont="1" applyFill="1" applyBorder="1" applyAlignment="1">
      <alignment horizontal="center" vertical="top" wrapText="1"/>
    </xf>
    <xf numFmtId="0" fontId="16" fillId="8" borderId="69" xfId="0" applyFont="1" applyFill="1" applyBorder="1" applyAlignment="1">
      <alignment horizontal="center" vertical="top" wrapText="1"/>
    </xf>
    <xf numFmtId="0" fontId="22" fillId="8" borderId="32" xfId="0" applyFont="1" applyFill="1" applyBorder="1" applyAlignment="1">
      <alignment horizontal="center" vertical="top" wrapText="1"/>
    </xf>
    <xf numFmtId="0" fontId="19" fillId="10" borderId="29" xfId="0" applyFont="1" applyFill="1" applyBorder="1" applyAlignment="1">
      <alignment horizontal="center" vertical="top"/>
    </xf>
    <xf numFmtId="0" fontId="16" fillId="10" borderId="61" xfId="0" applyFont="1" applyFill="1" applyBorder="1" applyAlignment="1">
      <alignment vertical="top"/>
    </xf>
    <xf numFmtId="0" fontId="16" fillId="10" borderId="58" xfId="0" applyFont="1" applyFill="1" applyBorder="1" applyAlignment="1">
      <alignment vertical="top"/>
    </xf>
    <xf numFmtId="0" fontId="16" fillId="8" borderId="14" xfId="0" applyFont="1" applyFill="1" applyBorder="1" applyAlignment="1" applyProtection="1">
      <alignment horizontal="center" vertical="top" wrapText="1"/>
      <protection locked="0"/>
    </xf>
    <xf numFmtId="0" fontId="20" fillId="0" borderId="14" xfId="0" applyFont="1" applyFill="1" applyBorder="1" applyAlignment="1">
      <alignment horizontal="left" vertical="top"/>
    </xf>
    <xf numFmtId="44" fontId="20" fillId="0" borderId="37" xfId="0" applyNumberFormat="1" applyFont="1" applyFill="1" applyBorder="1" applyAlignment="1">
      <alignment horizontal="center" vertical="top"/>
    </xf>
    <xf numFmtId="44" fontId="20" fillId="0" borderId="13" xfId="0" applyNumberFormat="1" applyFont="1" applyFill="1" applyBorder="1" applyAlignment="1">
      <alignment horizontal="center" vertical="top"/>
    </xf>
    <xf numFmtId="2" fontId="20" fillId="0" borderId="37" xfId="0" applyNumberFormat="1" applyFont="1" applyFill="1" applyBorder="1" applyAlignment="1">
      <alignment horizontal="right" vertical="top"/>
    </xf>
    <xf numFmtId="2" fontId="20" fillId="0" borderId="14" xfId="0" applyNumberFormat="1" applyFont="1" applyFill="1" applyBorder="1" applyAlignment="1">
      <alignment horizontal="right" vertical="top"/>
    </xf>
    <xf numFmtId="2" fontId="20" fillId="0" borderId="13" xfId="0" applyNumberFormat="1" applyFont="1" applyFill="1" applyBorder="1" applyAlignment="1">
      <alignment horizontal="right" vertical="top"/>
    </xf>
    <xf numFmtId="0" fontId="18" fillId="0" borderId="14" xfId="0" applyFont="1" applyFill="1" applyBorder="1" applyAlignment="1" applyProtection="1">
      <alignment horizontal="left" vertical="top" wrapText="1"/>
      <protection locked="0"/>
    </xf>
    <xf numFmtId="10" fontId="0" fillId="0" borderId="14" xfId="22" applyNumberFormat="1" applyFont="1" applyFill="1" applyBorder="1" applyAlignment="1" applyProtection="1">
      <alignment horizontal="center" vertical="top"/>
      <protection locked="0"/>
    </xf>
    <xf numFmtId="0" fontId="0" fillId="0" borderId="14" xfId="0" applyFill="1" applyBorder="1" applyAlignment="1" applyProtection="1">
      <alignment horizontal="left" vertical="top"/>
      <protection locked="0"/>
    </xf>
    <xf numFmtId="44" fontId="20" fillId="0" borderId="14" xfId="0" applyNumberFormat="1" applyFont="1" applyFill="1" applyBorder="1" applyAlignment="1">
      <alignment horizontal="center" vertical="top"/>
    </xf>
    <xf numFmtId="2" fontId="20" fillId="0" borderId="70" xfId="0" applyNumberFormat="1" applyFont="1" applyFill="1" applyBorder="1" applyAlignment="1">
      <alignment horizontal="right" vertical="top"/>
    </xf>
    <xf numFmtId="9" fontId="0" fillId="0" borderId="14" xfId="0" applyNumberFormat="1" applyFill="1" applyBorder="1" applyAlignment="1" applyProtection="1">
      <alignment horizontal="center" vertical="top"/>
      <protection locked="0"/>
    </xf>
    <xf numFmtId="0" fontId="20" fillId="0" borderId="37" xfId="0" applyFont="1" applyFill="1" applyBorder="1" applyAlignment="1">
      <alignment horizontal="left" vertical="top"/>
    </xf>
    <xf numFmtId="44" fontId="20" fillId="0" borderId="70" xfId="0" applyNumberFormat="1" applyFont="1" applyFill="1" applyBorder="1" applyAlignment="1">
      <alignment horizontal="center" vertical="top"/>
    </xf>
    <xf numFmtId="2" fontId="20" fillId="0" borderId="47" xfId="0" applyNumberFormat="1" applyFont="1" applyFill="1" applyBorder="1" applyAlignment="1">
      <alignment horizontal="right" vertical="top"/>
    </xf>
    <xf numFmtId="2" fontId="20" fillId="0" borderId="11" xfId="0" applyNumberFormat="1" applyFont="1" applyFill="1" applyBorder="1" applyAlignment="1">
      <alignment horizontal="right" vertical="top"/>
    </xf>
    <xf numFmtId="2" fontId="20" fillId="0" borderId="10" xfId="0" applyNumberFormat="1" applyFont="1" applyFill="1" applyBorder="1" applyAlignment="1">
      <alignment horizontal="right" vertical="top"/>
    </xf>
    <xf numFmtId="8" fontId="26" fillId="0" borderId="0" xfId="0" applyNumberFormat="1" applyFont="1" applyFill="1" applyAlignment="1">
      <alignment horizontal="center" vertical="top"/>
    </xf>
    <xf numFmtId="8" fontId="0" fillId="0" borderId="0" xfId="0" applyNumberFormat="1" applyFill="1" applyAlignment="1">
      <alignment vertical="top"/>
    </xf>
    <xf numFmtId="0" fontId="20" fillId="0" borderId="74" xfId="0" applyFont="1" applyFill="1" applyBorder="1" applyAlignment="1">
      <alignment horizontal="left" vertical="top"/>
    </xf>
    <xf numFmtId="44" fontId="0" fillId="0" borderId="54" xfId="21" applyNumberFormat="1" applyFont="1" applyFill="1" applyBorder="1" applyAlignment="1">
      <alignment horizontal="center" vertical="top"/>
    </xf>
    <xf numFmtId="44" fontId="20" fillId="0" borderId="11" xfId="0" applyNumberFormat="1" applyFont="1" applyFill="1" applyBorder="1" applyAlignment="1">
      <alignment horizontal="center" vertical="top"/>
    </xf>
    <xf numFmtId="2" fontId="19" fillId="0" borderId="29" xfId="0" applyNumberFormat="1" applyFont="1" applyFill="1" applyBorder="1" applyAlignment="1">
      <alignment horizontal="right" vertical="top"/>
    </xf>
    <xf numFmtId="2" fontId="19" fillId="0" borderId="45" xfId="0" applyNumberFormat="1" applyFont="1" applyFill="1" applyBorder="1" applyAlignment="1">
      <alignment horizontal="right" vertical="top"/>
    </xf>
    <xf numFmtId="0" fontId="19" fillId="0" borderId="73" xfId="0" applyFont="1" applyFill="1" applyBorder="1" applyAlignment="1">
      <alignment horizontal="left" vertical="top"/>
    </xf>
    <xf numFmtId="44" fontId="19" fillId="0" borderId="60" xfId="21" applyFont="1" applyFill="1" applyBorder="1" applyAlignment="1">
      <alignment horizontal="center" vertical="top"/>
    </xf>
    <xf numFmtId="44" fontId="19" fillId="0" borderId="29" xfId="21" applyFont="1" applyFill="1" applyBorder="1" applyAlignment="1">
      <alignment horizontal="center" vertical="top"/>
    </xf>
    <xf numFmtId="44" fontId="19" fillId="0" borderId="45" xfId="21" applyFont="1" applyFill="1" applyBorder="1" applyAlignment="1">
      <alignment horizontal="center" vertical="top"/>
    </xf>
    <xf numFmtId="0" fontId="0" fillId="0" borderId="0" xfId="0" applyFill="1" applyBorder="1" applyAlignment="1">
      <alignment vertical="top"/>
    </xf>
    <xf numFmtId="2" fontId="20" fillId="10" borderId="1" xfId="0" applyNumberFormat="1" applyFont="1" applyFill="1" applyBorder="1" applyAlignment="1">
      <alignment vertical="top"/>
    </xf>
    <xf numFmtId="2" fontId="20" fillId="10" borderId="72" xfId="0" applyNumberFormat="1" applyFont="1" applyFill="1" applyBorder="1" applyAlignment="1">
      <alignment vertical="top"/>
    </xf>
    <xf numFmtId="0" fontId="0" fillId="0" borderId="0" xfId="0" applyFill="1" applyBorder="1" applyAlignment="1">
      <alignment vertical="top" wrapText="1"/>
    </xf>
    <xf numFmtId="176" fontId="0" fillId="0" borderId="14" xfId="21" applyNumberFormat="1" applyFont="1" applyFill="1" applyBorder="1" applyAlignment="1" applyProtection="1">
      <alignment horizontal="center" vertical="top"/>
      <protection locked="0"/>
    </xf>
    <xf numFmtId="0" fontId="0" fillId="0" borderId="0" xfId="0" applyFill="1" applyBorder="1" applyAlignment="1">
      <alignment horizontal="center" vertical="top"/>
    </xf>
    <xf numFmtId="0" fontId="19" fillId="10" borderId="71" xfId="0" applyFont="1" applyFill="1" applyBorder="1" applyAlignment="1">
      <alignment horizontal="center" vertical="top"/>
    </xf>
    <xf numFmtId="0" fontId="20" fillId="10" borderId="55" xfId="0" applyFont="1" applyFill="1" applyBorder="1" applyAlignment="1">
      <alignment vertical="top"/>
    </xf>
    <xf numFmtId="0" fontId="20" fillId="10" borderId="70" xfId="0" applyFont="1" applyFill="1" applyBorder="1" applyAlignment="1">
      <alignment vertical="top"/>
    </xf>
    <xf numFmtId="2" fontId="20" fillId="0" borderId="27" xfId="0" applyNumberFormat="1" applyFont="1" applyFill="1" applyBorder="1" applyAlignment="1">
      <alignment horizontal="right" vertical="top"/>
    </xf>
    <xf numFmtId="2" fontId="20" fillId="0" borderId="33" xfId="0" applyNumberFormat="1" applyFont="1" applyFill="1" applyBorder="1" applyAlignment="1">
      <alignment horizontal="right" vertical="top"/>
    </xf>
    <xf numFmtId="0" fontId="20" fillId="0" borderId="27" xfId="0" applyFont="1" applyFill="1" applyBorder="1" applyAlignment="1">
      <alignment horizontal="left" vertical="top"/>
    </xf>
    <xf numFmtId="44" fontId="20" fillId="0" borderId="28" xfId="0" applyNumberFormat="1" applyFont="1" applyFill="1" applyBorder="1" applyAlignment="1">
      <alignment horizontal="center" vertical="top"/>
    </xf>
    <xf numFmtId="44" fontId="20" fillId="0" borderId="27" xfId="0" applyNumberFormat="1" applyFont="1" applyFill="1" applyBorder="1" applyAlignment="1">
      <alignment horizontal="center" vertical="top"/>
    </xf>
    <xf numFmtId="44" fontId="20" fillId="0" borderId="33" xfId="0" applyNumberFormat="1" applyFont="1" applyFill="1" applyBorder="1" applyAlignment="1">
      <alignment horizontal="center" vertical="top"/>
    </xf>
    <xf numFmtId="0" fontId="18" fillId="0" borderId="0" xfId="0" applyFont="1" applyFill="1" applyBorder="1" applyAlignment="1" applyProtection="1">
      <alignment horizontal="left" vertical="top" wrapText="1"/>
      <protection locked="0"/>
    </xf>
    <xf numFmtId="176" fontId="0" fillId="0" borderId="0" xfId="21" applyNumberFormat="1" applyFont="1" applyFill="1" applyBorder="1" applyAlignment="1" applyProtection="1">
      <alignment horizontal="center" vertical="top"/>
      <protection locked="0"/>
    </xf>
    <xf numFmtId="0" fontId="0" fillId="0" borderId="0" xfId="0" applyFill="1" applyBorder="1" applyAlignment="1" applyProtection="1">
      <alignment horizontal="left" vertical="top"/>
      <protection locked="0"/>
    </xf>
    <xf numFmtId="2" fontId="19" fillId="0" borderId="69" xfId="0" applyNumberFormat="1" applyFont="1" applyFill="1" applyBorder="1" applyAlignment="1">
      <alignment horizontal="right" vertical="top"/>
    </xf>
    <xf numFmtId="2" fontId="19" fillId="0" borderId="32" xfId="0" applyNumberFormat="1" applyFont="1" applyFill="1" applyBorder="1" applyAlignment="1">
      <alignment horizontal="right" vertical="top"/>
    </xf>
    <xf numFmtId="0" fontId="19" fillId="0" borderId="69" xfId="0" applyFont="1" applyFill="1" applyBorder="1" applyAlignment="1">
      <alignment horizontal="left" vertical="top"/>
    </xf>
    <xf numFmtId="44" fontId="19" fillId="0" borderId="68" xfId="0" applyNumberFormat="1" applyFont="1" applyFill="1" applyBorder="1" applyAlignment="1">
      <alignment horizontal="center" vertical="top"/>
    </xf>
    <xf numFmtId="44" fontId="19" fillId="0" borderId="67" xfId="0" applyNumberFormat="1" applyFont="1" applyFill="1" applyBorder="1" applyAlignment="1">
      <alignment horizontal="center" vertical="top"/>
    </xf>
    <xf numFmtId="2" fontId="23" fillId="6" borderId="20" xfId="0" applyNumberFormat="1" applyFont="1" applyFill="1" applyBorder="1" applyAlignment="1">
      <alignment horizontal="right" vertical="top"/>
    </xf>
    <xf numFmtId="2" fontId="23" fillId="6" borderId="53" xfId="0" applyNumberFormat="1" applyFont="1" applyFill="1" applyBorder="1" applyAlignment="1">
      <alignment horizontal="right" vertical="top"/>
    </xf>
    <xf numFmtId="0" fontId="15" fillId="7" borderId="66" xfId="0" applyFont="1" applyFill="1" applyBorder="1" applyAlignment="1">
      <alignment horizontal="center" vertical="top"/>
    </xf>
    <xf numFmtId="44" fontId="23" fillId="9" borderId="21" xfId="0" applyNumberFormat="1" applyFont="1" applyFill="1" applyBorder="1" applyAlignment="1">
      <alignment horizontal="center" vertical="top"/>
    </xf>
    <xf numFmtId="44" fontId="23" fillId="9" borderId="65" xfId="0" applyNumberFormat="1" applyFont="1" applyFill="1" applyBorder="1" applyAlignment="1">
      <alignment horizontal="center" vertical="top"/>
    </xf>
    <xf numFmtId="0" fontId="19" fillId="0" borderId="0" xfId="0" applyFont="1" applyFill="1" applyBorder="1" applyAlignment="1">
      <alignment horizontal="center" vertical="top"/>
    </xf>
    <xf numFmtId="0" fontId="0" fillId="0" borderId="0" xfId="0" applyAlignment="1" applyProtection="1">
      <alignment vertical="top"/>
      <protection locked="0"/>
    </xf>
    <xf numFmtId="0" fontId="16" fillId="8" borderId="45" xfId="0" applyFont="1" applyFill="1" applyBorder="1" applyAlignment="1" applyProtection="1">
      <alignment horizontal="center" vertical="top" wrapText="1"/>
      <protection locked="0"/>
    </xf>
    <xf numFmtId="0" fontId="16" fillId="9" borderId="28" xfId="0" applyFont="1" applyFill="1" applyBorder="1" applyAlignment="1">
      <alignment horizontal="center" vertical="top"/>
    </xf>
    <xf numFmtId="0" fontId="16" fillId="9" borderId="28" xfId="0" applyFont="1" applyFill="1" applyBorder="1" applyAlignment="1">
      <alignment horizontal="center" vertical="top" wrapText="1"/>
    </xf>
    <xf numFmtId="0" fontId="16" fillId="9" borderId="27" xfId="0" applyFont="1" applyFill="1" applyBorder="1" applyAlignment="1">
      <alignment horizontal="center" vertical="top"/>
    </xf>
    <xf numFmtId="0" fontId="16" fillId="9" borderId="27" xfId="0" applyFont="1" applyFill="1" applyBorder="1" applyAlignment="1">
      <alignment horizontal="center" vertical="top" wrapText="1"/>
    </xf>
    <xf numFmtId="0" fontId="16" fillId="8" borderId="14" xfId="0" applyFont="1" applyFill="1" applyBorder="1" applyAlignment="1">
      <alignment horizontal="center" vertical="top" wrapText="1"/>
    </xf>
    <xf numFmtId="0" fontId="16" fillId="8" borderId="16" xfId="0" applyFont="1" applyFill="1" applyBorder="1" applyAlignment="1">
      <alignment horizontal="center" vertical="top" wrapText="1"/>
    </xf>
    <xf numFmtId="0" fontId="3" fillId="0" borderId="0" xfId="0" applyFont="1" applyAlignment="1">
      <alignment horizontal="center" vertical="top"/>
    </xf>
    <xf numFmtId="0" fontId="16" fillId="8" borderId="15" xfId="0" applyFont="1" applyFill="1" applyBorder="1" applyAlignment="1" applyProtection="1">
      <alignment horizontal="center" vertical="top" wrapText="1"/>
      <protection locked="0"/>
    </xf>
    <xf numFmtId="0" fontId="16" fillId="8" borderId="13" xfId="0" applyFont="1" applyFill="1" applyBorder="1" applyAlignment="1" applyProtection="1">
      <alignment horizontal="center" vertical="top" wrapText="1"/>
      <protection locked="0"/>
    </xf>
    <xf numFmtId="0" fontId="0" fillId="0" borderId="39" xfId="0" applyFill="1" applyBorder="1" applyAlignment="1">
      <alignment horizontal="left" vertical="top"/>
    </xf>
    <xf numFmtId="0" fontId="0" fillId="0" borderId="56" xfId="0" applyFill="1" applyBorder="1" applyAlignment="1">
      <alignment horizontal="center" vertical="top"/>
    </xf>
    <xf numFmtId="44" fontId="18" fillId="0" borderId="24" xfId="21" applyNumberFormat="1" applyFont="1" applyFill="1" applyBorder="1" applyAlignment="1">
      <alignment horizontal="center" vertical="top"/>
    </xf>
    <xf numFmtId="44" fontId="18" fillId="0" borderId="54" xfId="21" applyNumberFormat="1" applyFont="1" applyFill="1" applyBorder="1" applyAlignment="1">
      <alignment horizontal="center" vertical="top"/>
    </xf>
    <xf numFmtId="44" fontId="18" fillId="0" borderId="37" xfId="21" applyNumberFormat="1" applyFont="1" applyFill="1" applyBorder="1" applyAlignment="1">
      <alignment horizontal="center" vertical="top"/>
    </xf>
    <xf numFmtId="0" fontId="0" fillId="0" borderId="14" xfId="0" applyBorder="1" applyAlignment="1">
      <alignment horizontal="center" vertical="top"/>
    </xf>
    <xf numFmtId="0" fontId="18" fillId="0" borderId="24" xfId="21" applyNumberFormat="1" applyFont="1" applyFill="1" applyBorder="1" applyAlignment="1">
      <alignment horizontal="center" vertical="top"/>
    </xf>
    <xf numFmtId="168" fontId="18" fillId="0" borderId="14" xfId="20" applyNumberFormat="1" applyFont="1" applyFill="1" applyBorder="1" applyAlignment="1">
      <alignment horizontal="center" vertical="top"/>
    </xf>
    <xf numFmtId="169" fontId="18" fillId="0" borderId="14" xfId="20" applyNumberFormat="1" applyFont="1" applyFill="1" applyBorder="1" applyAlignment="1">
      <alignment horizontal="center" vertical="top"/>
    </xf>
    <xf numFmtId="43" fontId="18" fillId="0" borderId="14" xfId="20" applyNumberFormat="1" applyFont="1" applyFill="1" applyBorder="1" applyAlignment="1">
      <alignment horizontal="center" vertical="top"/>
    </xf>
    <xf numFmtId="0" fontId="0" fillId="0" borderId="13" xfId="0" applyBorder="1" applyAlignment="1">
      <alignment vertical="top" wrapText="1"/>
    </xf>
    <xf numFmtId="10" fontId="20" fillId="0" borderId="0" xfId="22" applyNumberFormat="1" applyFont="1" applyAlignment="1">
      <alignment horizontal="center" vertical="top"/>
    </xf>
    <xf numFmtId="10" fontId="0" fillId="0" borderId="15" xfId="22" applyNumberFormat="1" applyFont="1" applyFill="1" applyBorder="1" applyAlignment="1" applyProtection="1">
      <alignment horizontal="center" vertical="top" wrapText="1"/>
      <protection locked="0"/>
    </xf>
    <xf numFmtId="0" fontId="0" fillId="0" borderId="14" xfId="0" applyFill="1" applyBorder="1" applyAlignment="1" applyProtection="1">
      <alignment horizontal="center" vertical="top" wrapText="1"/>
      <protection locked="0"/>
    </xf>
    <xf numFmtId="43" fontId="0" fillId="0" borderId="14" xfId="0" applyNumberFormat="1" applyFill="1" applyBorder="1" applyAlignment="1" applyProtection="1">
      <alignment horizontal="center" vertical="top" wrapText="1"/>
      <protection locked="0"/>
    </xf>
    <xf numFmtId="44" fontId="0" fillId="0" borderId="14" xfId="21" applyNumberFormat="1" applyFont="1" applyFill="1" applyBorder="1" applyAlignment="1" applyProtection="1">
      <alignment horizontal="center" vertical="top" wrapText="1"/>
      <protection locked="0"/>
    </xf>
    <xf numFmtId="44" fontId="0" fillId="0" borderId="14" xfId="21" applyNumberFormat="1" applyFont="1" applyBorder="1" applyAlignment="1" applyProtection="1">
      <alignment horizontal="center" vertical="top" wrapText="1"/>
      <protection locked="0"/>
    </xf>
    <xf numFmtId="44" fontId="0" fillId="0" borderId="14" xfId="21" applyFont="1" applyFill="1" applyBorder="1" applyAlignment="1" applyProtection="1">
      <alignment horizontal="center" vertical="top" wrapText="1"/>
      <protection locked="0"/>
    </xf>
    <xf numFmtId="44" fontId="0" fillId="0" borderId="14" xfId="21" applyNumberFormat="1" applyFont="1" applyBorder="1" applyAlignment="1" applyProtection="1">
      <alignment horizontal="left" vertical="top"/>
      <protection locked="0"/>
    </xf>
    <xf numFmtId="44" fontId="0" fillId="0" borderId="14" xfId="21" applyFont="1" applyBorder="1" applyAlignment="1" applyProtection="1">
      <alignment horizontal="center" vertical="top" wrapText="1"/>
      <protection locked="0"/>
    </xf>
    <xf numFmtId="43" fontId="3" fillId="0" borderId="14" xfId="20" applyNumberFormat="1" applyFont="1" applyBorder="1" applyAlignment="1" applyProtection="1">
      <alignment horizontal="center" vertical="top" wrapText="1"/>
      <protection locked="0"/>
    </xf>
    <xf numFmtId="44" fontId="20" fillId="0" borderId="14" xfId="21" applyFont="1" applyBorder="1" applyAlignment="1" applyProtection="1">
      <alignment horizontal="center" vertical="top" wrapText="1"/>
      <protection locked="0"/>
    </xf>
    <xf numFmtId="43" fontId="3" fillId="0" borderId="13" xfId="20" applyNumberFormat="1" applyFont="1" applyBorder="1" applyAlignment="1" applyProtection="1">
      <alignment horizontal="center" vertical="top" wrapText="1"/>
      <protection locked="0"/>
    </xf>
    <xf numFmtId="175" fontId="0" fillId="0" borderId="15" xfId="21" applyNumberFormat="1" applyFont="1" applyFill="1" applyBorder="1" applyAlignment="1" applyProtection="1">
      <alignment horizontal="center" vertical="top"/>
      <protection locked="0"/>
    </xf>
    <xf numFmtId="0" fontId="0" fillId="0" borderId="14" xfId="0" applyFill="1" applyBorder="1" applyAlignment="1">
      <alignment horizontal="center" vertical="top"/>
    </xf>
    <xf numFmtId="175" fontId="0" fillId="0" borderId="13" xfId="21" applyNumberFormat="1" applyFont="1" applyFill="1" applyBorder="1" applyAlignment="1" applyProtection="1">
      <alignment horizontal="center" vertical="top"/>
      <protection locked="0"/>
    </xf>
    <xf numFmtId="0" fontId="15" fillId="7" borderId="77" xfId="0" applyFont="1" applyFill="1" applyBorder="1" applyAlignment="1">
      <alignment vertical="top"/>
    </xf>
    <xf numFmtId="0" fontId="15" fillId="7" borderId="22" xfId="0" applyFont="1" applyFill="1" applyBorder="1" applyAlignment="1">
      <alignment vertical="top"/>
    </xf>
    <xf numFmtId="44" fontId="3" fillId="9" borderId="21" xfId="21" applyFont="1" applyFill="1" applyBorder="1" applyAlignment="1">
      <alignment vertical="top"/>
    </xf>
    <xf numFmtId="0" fontId="3" fillId="6" borderId="20" xfId="0" applyFont="1" applyFill="1" applyBorder="1" applyAlignment="1">
      <alignment horizontal="center" vertical="top"/>
    </xf>
    <xf numFmtId="0" fontId="3" fillId="6" borderId="20" xfId="0" applyFont="1" applyFill="1" applyBorder="1" applyAlignment="1">
      <alignment vertical="top"/>
    </xf>
    <xf numFmtId="43" fontId="3" fillId="6" borderId="20" xfId="0" applyNumberFormat="1" applyFont="1" applyFill="1" applyBorder="1" applyAlignment="1">
      <alignment vertical="top"/>
    </xf>
    <xf numFmtId="168" fontId="3" fillId="6" borderId="20" xfId="0" applyNumberFormat="1" applyFont="1" applyFill="1" applyBorder="1" applyAlignment="1">
      <alignment vertical="top"/>
    </xf>
    <xf numFmtId="10" fontId="3" fillId="0" borderId="0" xfId="0" applyNumberFormat="1" applyFont="1" applyAlignment="1">
      <alignment horizontal="center" vertical="top"/>
    </xf>
    <xf numFmtId="10" fontId="3" fillId="14" borderId="12" xfId="22" applyNumberFormat="1" applyFont="1" applyFill="1" applyBorder="1" applyAlignment="1" applyProtection="1">
      <alignment horizontal="center" vertical="top" wrapText="1"/>
      <protection locked="0"/>
    </xf>
    <xf numFmtId="0" fontId="3" fillId="14" borderId="11" xfId="0" applyFont="1" applyFill="1" applyBorder="1" applyAlignment="1" applyProtection="1">
      <alignment horizontal="center" vertical="top" wrapText="1"/>
      <protection locked="0"/>
    </xf>
    <xf numFmtId="44" fontId="3" fillId="14" borderId="11" xfId="21" applyNumberFormat="1" applyFont="1" applyFill="1" applyBorder="1" applyAlignment="1" applyProtection="1">
      <alignment horizontal="center" vertical="top" wrapText="1"/>
      <protection locked="0"/>
    </xf>
    <xf numFmtId="44" fontId="3" fillId="14" borderId="11" xfId="21" applyFont="1" applyFill="1" applyBorder="1" applyAlignment="1" applyProtection="1">
      <alignment horizontal="center" vertical="top" wrapText="1"/>
      <protection locked="0"/>
    </xf>
    <xf numFmtId="44" fontId="3" fillId="14" borderId="11" xfId="21" applyNumberFormat="1" applyFont="1" applyFill="1" applyBorder="1" applyAlignment="1" applyProtection="1">
      <alignment horizontal="left" vertical="top" wrapText="1"/>
      <protection locked="0"/>
    </xf>
    <xf numFmtId="43" fontId="3" fillId="14" borderId="11" xfId="20" applyNumberFormat="1" applyFont="1" applyFill="1" applyBorder="1" applyAlignment="1" applyProtection="1">
      <alignment horizontal="center" vertical="top" wrapText="1"/>
      <protection locked="0"/>
    </xf>
    <xf numFmtId="175" fontId="0" fillId="14" borderId="12" xfId="21" applyNumberFormat="1" applyFont="1" applyFill="1" applyBorder="1" applyAlignment="1" applyProtection="1">
      <alignment horizontal="center" vertical="top"/>
      <protection locked="0"/>
    </xf>
    <xf numFmtId="175" fontId="0" fillId="14" borderId="11" xfId="21" applyNumberFormat="1" applyFont="1" applyFill="1" applyBorder="1" applyAlignment="1" applyProtection="1">
      <alignment horizontal="center" vertical="top"/>
      <protection locked="0"/>
    </xf>
    <xf numFmtId="175" fontId="0" fillId="14" borderId="10" xfId="21" applyNumberFormat="1" applyFont="1" applyFill="1" applyBorder="1" applyAlignment="1" applyProtection="1">
      <alignment horizontal="center" vertical="top"/>
      <protection locked="0"/>
    </xf>
    <xf numFmtId="0" fontId="3" fillId="0" borderId="52" xfId="0" applyFont="1" applyFill="1" applyBorder="1" applyAlignment="1">
      <alignment vertical="top"/>
    </xf>
    <xf numFmtId="44" fontId="3" fillId="0" borderId="52" xfId="21" applyFont="1" applyFill="1" applyBorder="1" applyAlignment="1">
      <alignment vertical="top"/>
    </xf>
    <xf numFmtId="0" fontId="3" fillId="0" borderId="52" xfId="0" applyFont="1" applyFill="1" applyBorder="1" applyAlignment="1">
      <alignment horizontal="center" vertical="top"/>
    </xf>
    <xf numFmtId="168" fontId="3" fillId="0" borderId="52" xfId="0" applyNumberFormat="1" applyFont="1" applyFill="1" applyBorder="1" applyAlignment="1">
      <alignment vertical="top"/>
    </xf>
    <xf numFmtId="0" fontId="0" fillId="0" borderId="67" xfId="0" applyFill="1" applyBorder="1" applyAlignment="1">
      <alignment vertical="top" wrapText="1"/>
    </xf>
    <xf numFmtId="0" fontId="16" fillId="9" borderId="19" xfId="0" applyFont="1" applyFill="1" applyBorder="1" applyAlignment="1">
      <alignment horizontal="center" vertical="top"/>
    </xf>
    <xf numFmtId="0" fontId="16" fillId="9" borderId="17" xfId="0" applyFont="1" applyFill="1" applyBorder="1" applyAlignment="1">
      <alignment horizontal="center" vertical="top"/>
    </xf>
    <xf numFmtId="0" fontId="16" fillId="9" borderId="78" xfId="0" applyFont="1" applyFill="1" applyBorder="1" applyAlignment="1">
      <alignment horizontal="center" vertical="top" wrapText="1"/>
    </xf>
    <xf numFmtId="0" fontId="16" fillId="9" borderId="26" xfId="0" applyFont="1" applyFill="1" applyBorder="1" applyAlignment="1">
      <alignment horizontal="center" vertical="top"/>
    </xf>
    <xf numFmtId="0" fontId="16" fillId="9" borderId="26" xfId="0" applyFont="1" applyFill="1" applyBorder="1" applyAlignment="1">
      <alignment horizontal="center" vertical="top" wrapText="1"/>
    </xf>
    <xf numFmtId="0" fontId="16" fillId="8" borderId="17" xfId="0" applyFont="1" applyFill="1" applyBorder="1" applyAlignment="1">
      <alignment horizontal="center" vertical="top" wrapText="1"/>
    </xf>
    <xf numFmtId="0" fontId="16" fillId="8" borderId="26" xfId="0" applyFont="1" applyFill="1" applyBorder="1" applyAlignment="1">
      <alignment horizontal="center" vertical="top" wrapText="1"/>
    </xf>
    <xf numFmtId="0" fontId="16" fillId="8" borderId="57" xfId="0" applyFont="1" applyFill="1" applyBorder="1" applyAlignment="1">
      <alignment horizontal="center" vertical="top" wrapText="1"/>
    </xf>
    <xf numFmtId="0" fontId="0" fillId="8" borderId="53" xfId="0" applyFill="1" applyBorder="1" applyAlignment="1">
      <alignment vertical="top" wrapText="1"/>
    </xf>
    <xf numFmtId="0" fontId="3" fillId="0" borderId="0" xfId="0" applyFont="1" applyFill="1" applyBorder="1" applyAlignment="1">
      <alignment vertical="top"/>
    </xf>
    <xf numFmtId="0" fontId="3" fillId="0" borderId="0" xfId="0" applyFont="1" applyFill="1" applyBorder="1" applyAlignment="1">
      <alignment vertical="top" wrapText="1"/>
    </xf>
    <xf numFmtId="0" fontId="16" fillId="9" borderId="18" xfId="0" applyFont="1" applyFill="1" applyBorder="1" applyAlignment="1">
      <alignment horizontal="center" vertical="top"/>
    </xf>
    <xf numFmtId="0" fontId="16" fillId="8" borderId="45" xfId="0" applyFont="1" applyFill="1" applyBorder="1" applyAlignment="1">
      <alignment horizontal="center" vertical="top" wrapText="1"/>
    </xf>
    <xf numFmtId="0" fontId="20" fillId="0" borderId="39" xfId="0" applyFont="1" applyFill="1" applyBorder="1" applyAlignment="1">
      <alignment horizontal="left" vertical="top"/>
    </xf>
    <xf numFmtId="0" fontId="20" fillId="0" borderId="56" xfId="0" applyFont="1" applyFill="1" applyBorder="1" applyAlignment="1">
      <alignment horizontal="center" vertical="top"/>
    </xf>
    <xf numFmtId="0" fontId="20" fillId="0" borderId="14" xfId="0" applyFont="1" applyBorder="1" applyAlignment="1">
      <alignment horizontal="center" vertical="top"/>
    </xf>
    <xf numFmtId="168" fontId="21" fillId="0" borderId="14" xfId="20" applyNumberFormat="1" applyFont="1" applyFill="1" applyBorder="1" applyAlignment="1">
      <alignment horizontal="center" vertical="top"/>
    </xf>
    <xf numFmtId="169" fontId="21" fillId="0" borderId="14" xfId="20" applyNumberFormat="1" applyFont="1" applyFill="1" applyBorder="1" applyAlignment="1">
      <alignment horizontal="center" vertical="top"/>
    </xf>
    <xf numFmtId="0" fontId="15" fillId="7" borderId="0" xfId="0" applyFont="1" applyFill="1" applyBorder="1" applyAlignment="1">
      <alignment vertical="top"/>
    </xf>
    <xf numFmtId="0" fontId="3" fillId="6" borderId="26" xfId="0" applyFont="1" applyFill="1" applyBorder="1" applyAlignment="1">
      <alignment horizontal="center" vertical="top"/>
    </xf>
    <xf numFmtId="0" fontId="3" fillId="6" borderId="26" xfId="0" applyFont="1" applyFill="1" applyBorder="1" applyAlignment="1">
      <alignment vertical="top"/>
    </xf>
    <xf numFmtId="43" fontId="3" fillId="6" borderId="26" xfId="0" applyNumberFormat="1" applyFont="1" applyFill="1" applyBorder="1" applyAlignment="1">
      <alignment vertical="top"/>
    </xf>
    <xf numFmtId="0" fontId="18" fillId="0" borderId="14" xfId="0" applyFont="1" applyFill="1" applyBorder="1" applyAlignment="1">
      <alignment horizontal="center" vertical="top"/>
    </xf>
    <xf numFmtId="4" fontId="18" fillId="0" borderId="14" xfId="0" applyNumberFormat="1" applyFont="1" applyFill="1" applyBorder="1" applyAlignment="1">
      <alignment horizontal="center" vertical="top"/>
    </xf>
    <xf numFmtId="1" fontId="18" fillId="0" borderId="14" xfId="0" applyNumberFormat="1" applyFont="1" applyFill="1" applyBorder="1" applyAlignment="1">
      <alignment horizontal="center" vertical="top"/>
    </xf>
    <xf numFmtId="0" fontId="0" fillId="0" borderId="30" xfId="0" applyFill="1" applyBorder="1" applyAlignment="1">
      <alignment vertical="top"/>
    </xf>
    <xf numFmtId="0" fontId="0" fillId="0" borderId="0" xfId="0" applyBorder="1" applyAlignment="1">
      <alignment vertical="top"/>
    </xf>
    <xf numFmtId="43" fontId="21" fillId="0" borderId="14" xfId="20" applyNumberFormat="1" applyFont="1" applyFill="1" applyBorder="1" applyAlignment="1">
      <alignment horizontal="center" vertical="top"/>
    </xf>
    <xf numFmtId="0" fontId="15" fillId="0" borderId="19" xfId="0" applyFont="1" applyFill="1" applyBorder="1" applyAlignment="1">
      <alignment horizontal="center" vertical="top"/>
    </xf>
    <xf numFmtId="0" fontId="15" fillId="0" borderId="0" xfId="0" applyFont="1" applyFill="1" applyBorder="1" applyAlignment="1">
      <alignment horizontal="center" vertical="top"/>
    </xf>
    <xf numFmtId="3" fontId="15" fillId="0" borderId="0" xfId="0" applyNumberFormat="1" applyFont="1" applyFill="1" applyBorder="1" applyAlignment="1">
      <alignment horizontal="center" vertical="top"/>
    </xf>
    <xf numFmtId="3" fontId="0" fillId="0" borderId="0" xfId="0" applyNumberFormat="1" applyAlignment="1">
      <alignment vertical="top"/>
    </xf>
    <xf numFmtId="43" fontId="0" fillId="0" borderId="0" xfId="0" applyNumberFormat="1" applyAlignment="1">
      <alignment vertical="top"/>
    </xf>
    <xf numFmtId="0" fontId="0" fillId="0" borderId="15" xfId="0" applyBorder="1" applyAlignment="1">
      <alignment vertical="top"/>
    </xf>
    <xf numFmtId="0" fontId="0" fillId="0" borderId="13" xfId="0" applyBorder="1" applyAlignment="1">
      <alignment horizontal="center" vertical="top"/>
    </xf>
    <xf numFmtId="0" fontId="15" fillId="7" borderId="12" xfId="0" applyFont="1" applyFill="1" applyBorder="1" applyAlignment="1">
      <alignment vertical="top"/>
    </xf>
    <xf numFmtId="0" fontId="3" fillId="6" borderId="11" xfId="0" applyFont="1" applyFill="1" applyBorder="1" applyAlignment="1">
      <alignment vertical="top"/>
    </xf>
    <xf numFmtId="0" fontId="3" fillId="6" borderId="10" xfId="0" applyFont="1" applyFill="1" applyBorder="1" applyAlignment="1">
      <alignment vertical="top"/>
    </xf>
    <xf numFmtId="0" fontId="20" fillId="0" borderId="14" xfId="0" applyFont="1" applyBorder="1" applyAlignment="1">
      <alignment wrapText="1"/>
    </xf>
    <xf numFmtId="0" fontId="20" fillId="0" borderId="13" xfId="0" applyFont="1" applyBorder="1" applyAlignment="1">
      <alignment wrapText="1"/>
    </xf>
    <xf numFmtId="0" fontId="0" fillId="0" borderId="0" xfId="0" applyFont="1" applyFill="1" applyAlignment="1">
      <alignment wrapText="1"/>
    </xf>
    <xf numFmtId="170"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14" xfId="0" applyFont="1" applyBorder="1" applyAlignment="1">
      <alignment wrapText="1"/>
    </xf>
    <xf numFmtId="0" fontId="0" fillId="8" borderId="53" xfId="0" applyFont="1" applyFill="1" applyBorder="1" applyAlignment="1">
      <alignment wrapText="1"/>
    </xf>
    <xf numFmtId="0" fontId="0" fillId="0" borderId="51" xfId="0" applyFont="1" applyFill="1" applyBorder="1" applyAlignment="1">
      <alignment horizontal="left"/>
    </xf>
    <xf numFmtId="0" fontId="0" fillId="0" borderId="50" xfId="0" applyFont="1" applyFill="1" applyBorder="1" applyAlignment="1">
      <alignment horizontal="left"/>
    </xf>
    <xf numFmtId="0" fontId="0" fillId="0" borderId="49" xfId="0" applyFont="1" applyBorder="1" applyAlignment="1">
      <alignment horizontal="center"/>
    </xf>
    <xf numFmtId="0" fontId="0" fillId="0" borderId="33" xfId="0" applyFont="1" applyBorder="1" applyAlignment="1">
      <alignment wrapText="1"/>
    </xf>
    <xf numFmtId="0" fontId="0" fillId="8" borderId="32" xfId="0" applyFont="1" applyFill="1" applyBorder="1" applyAlignment="1">
      <alignment wrapText="1"/>
    </xf>
    <xf numFmtId="0" fontId="0" fillId="0" borderId="13" xfId="0" applyFont="1" applyBorder="1" applyAlignment="1">
      <alignment wrapText="1"/>
    </xf>
    <xf numFmtId="0" fontId="0" fillId="0" borderId="38" xfId="0" applyFont="1" applyFill="1" applyBorder="1" applyAlignment="1">
      <alignment horizontal="left"/>
    </xf>
    <xf numFmtId="0" fontId="0" fillId="0" borderId="36" xfId="0" applyFont="1" applyBorder="1" applyAlignment="1">
      <alignment horizontal="center"/>
    </xf>
    <xf numFmtId="0" fontId="0" fillId="0" borderId="0" xfId="0" applyFont="1" applyAlignment="1">
      <alignment wrapText="1"/>
    </xf>
    <xf numFmtId="182" fontId="21" fillId="0" borderId="14" xfId="20" applyNumberFormat="1" applyFont="1" applyFill="1" applyBorder="1" applyAlignment="1">
      <alignment horizontal="center"/>
    </xf>
    <xf numFmtId="3" fontId="18" fillId="0" borderId="24" xfId="21" applyNumberFormat="1" applyFont="1" applyFill="1" applyBorder="1" applyAlignment="1">
      <alignment horizontal="center" vertical="top"/>
    </xf>
    <xf numFmtId="44" fontId="0" fillId="0" borderId="0" xfId="0" applyNumberFormat="1" applyAlignment="1">
      <alignment vertical="top"/>
    </xf>
    <xf numFmtId="0" fontId="3" fillId="0" borderId="77" xfId="0" applyFont="1" applyBorder="1" applyAlignment="1">
      <alignment vertical="top"/>
    </xf>
    <xf numFmtId="0" fontId="3" fillId="0" borderId="22" xfId="0" applyFont="1" applyBorder="1" applyAlignment="1">
      <alignment vertical="top"/>
    </xf>
    <xf numFmtId="0" fontId="0" fillId="0" borderId="22" xfId="0" applyBorder="1" applyAlignment="1">
      <alignment vertical="top"/>
    </xf>
    <xf numFmtId="0" fontId="0" fillId="0" borderId="65" xfId="0" applyBorder="1" applyAlignment="1">
      <alignment vertical="top" wrapText="1"/>
    </xf>
    <xf numFmtId="0" fontId="19" fillId="0" borderId="0" xfId="0" applyFont="1"/>
    <xf numFmtId="0" fontId="20" fillId="0" borderId="0" xfId="0" applyFont="1" applyFill="1"/>
    <xf numFmtId="0" fontId="19" fillId="11" borderId="14" xfId="0" applyFont="1" applyFill="1" applyBorder="1" applyAlignment="1">
      <alignment horizontal="center" vertical="center"/>
    </xf>
    <xf numFmtId="8" fontId="20" fillId="0" borderId="0" xfId="0" applyNumberFormat="1" applyFont="1"/>
    <xf numFmtId="0" fontId="57" fillId="0" borderId="31" xfId="0" applyFont="1" applyBorder="1"/>
    <xf numFmtId="0" fontId="20" fillId="0" borderId="30" xfId="0" applyFont="1" applyBorder="1"/>
    <xf numFmtId="0" fontId="20" fillId="0" borderId="43" xfId="0" applyFont="1" applyBorder="1"/>
    <xf numFmtId="0" fontId="58" fillId="0" borderId="19" xfId="0" applyFont="1" applyBorder="1"/>
    <xf numFmtId="0" fontId="20" fillId="0" borderId="0" xfId="0" applyFont="1" applyBorder="1"/>
    <xf numFmtId="0" fontId="20" fillId="0" borderId="74" xfId="0" applyFont="1" applyBorder="1"/>
    <xf numFmtId="0" fontId="20" fillId="0" borderId="19" xfId="0" applyFont="1" applyBorder="1"/>
    <xf numFmtId="0" fontId="27" fillId="11" borderId="77" xfId="0" applyFont="1" applyFill="1" applyBorder="1"/>
    <xf numFmtId="9" fontId="27" fillId="11" borderId="22" xfId="30" applyFont="1" applyFill="1" applyBorder="1"/>
    <xf numFmtId="0" fontId="27" fillId="0" borderId="22" xfId="0" applyFont="1" applyBorder="1"/>
    <xf numFmtId="0" fontId="20" fillId="0" borderId="22" xfId="0" applyFont="1" applyBorder="1"/>
    <xf numFmtId="0" fontId="27" fillId="0" borderId="65" xfId="0" applyFont="1" applyBorder="1"/>
    <xf numFmtId="0" fontId="27" fillId="0" borderId="0" xfId="0" applyFont="1" applyFill="1" applyBorder="1"/>
    <xf numFmtId="9" fontId="27" fillId="0" borderId="0" xfId="30" applyFont="1" applyFill="1" applyBorder="1"/>
    <xf numFmtId="0" fontId="20" fillId="0" borderId="0" xfId="0" applyFont="1" applyFill="1" applyBorder="1"/>
    <xf numFmtId="0" fontId="20" fillId="11" borderId="0" xfId="0" applyFont="1" applyFill="1"/>
    <xf numFmtId="0" fontId="57" fillId="0" borderId="0" xfId="0" applyFont="1" applyBorder="1"/>
    <xf numFmtId="0" fontId="58" fillId="0" borderId="0" xfId="0" applyFont="1" applyBorder="1"/>
    <xf numFmtId="0" fontId="20" fillId="0" borderId="0" xfId="0" applyFont="1" applyBorder="1" applyAlignment="1">
      <alignment vertical="center"/>
    </xf>
    <xf numFmtId="0" fontId="19" fillId="0" borderId="0" xfId="0" applyFont="1" applyBorder="1" applyAlignment="1">
      <alignment vertical="center"/>
    </xf>
    <xf numFmtId="0" fontId="19" fillId="11" borderId="0" xfId="0" applyFont="1" applyFill="1"/>
    <xf numFmtId="0" fontId="59" fillId="0" borderId="0" xfId="0" applyFont="1" applyBorder="1" applyAlignment="1">
      <alignment horizontal="center"/>
    </xf>
    <xf numFmtId="0" fontId="59" fillId="0" borderId="31" xfId="0" applyFont="1" applyBorder="1" applyAlignment="1">
      <alignment horizontal="center" wrapText="1"/>
    </xf>
    <xf numFmtId="0" fontId="59" fillId="0" borderId="30" xfId="0" applyFont="1" applyBorder="1" applyAlignment="1">
      <alignment horizontal="center" wrapText="1"/>
    </xf>
    <xf numFmtId="0" fontId="59" fillId="0" borderId="43" xfId="0" applyFont="1" applyBorder="1" applyAlignment="1">
      <alignment horizontal="center" wrapText="1"/>
    </xf>
    <xf numFmtId="0" fontId="59" fillId="11" borderId="81" xfId="0" applyFont="1" applyFill="1" applyBorder="1" applyAlignment="1">
      <alignment horizontal="center" wrapText="1"/>
    </xf>
    <xf numFmtId="0" fontId="59" fillId="0" borderId="0" xfId="0" applyFont="1" applyBorder="1" applyAlignment="1">
      <alignment horizontal="center" wrapText="1"/>
    </xf>
    <xf numFmtId="0" fontId="27" fillId="0" borderId="81" xfId="0" applyFont="1" applyFill="1" applyBorder="1" applyAlignment="1">
      <alignment horizontal="center" vertical="center" wrapText="1"/>
    </xf>
    <xf numFmtId="0" fontId="20" fillId="11" borderId="14" xfId="0" applyFont="1" applyFill="1" applyBorder="1" applyAlignment="1">
      <alignment horizontal="center" vertical="center"/>
    </xf>
    <xf numFmtId="0" fontId="20" fillId="0" borderId="0" xfId="0" applyFont="1" applyBorder="1" applyAlignment="1">
      <alignment horizontal="center"/>
    </xf>
    <xf numFmtId="180" fontId="27" fillId="0" borderId="19" xfId="32" applyNumberFormat="1" applyFont="1" applyBorder="1"/>
    <xf numFmtId="175" fontId="27" fillId="0" borderId="0" xfId="33" applyNumberFormat="1" applyFont="1" applyFill="1" applyBorder="1"/>
    <xf numFmtId="0" fontId="20" fillId="9" borderId="0" xfId="0" applyFont="1" applyFill="1" applyBorder="1"/>
    <xf numFmtId="0" fontId="20" fillId="9" borderId="74" xfId="0" applyFont="1" applyFill="1" applyBorder="1"/>
    <xf numFmtId="180" fontId="20" fillId="11" borderId="82" xfId="0" applyNumberFormat="1" applyFont="1" applyFill="1" applyBorder="1"/>
    <xf numFmtId="181" fontId="27" fillId="0" borderId="19" xfId="34" applyNumberFormat="1" applyFont="1" applyBorder="1" applyAlignment="1">
      <alignment horizontal="center"/>
      <protection/>
    </xf>
    <xf numFmtId="181" fontId="27" fillId="0" borderId="0" xfId="35" applyNumberFormat="1" applyFont="1" applyBorder="1" applyAlignment="1">
      <alignment horizontal="center"/>
      <protection/>
    </xf>
    <xf numFmtId="44" fontId="27" fillId="0" borderId="81" xfId="32" applyFont="1" applyFill="1" applyBorder="1"/>
    <xf numFmtId="181" fontId="20" fillId="11" borderId="82" xfId="0" applyNumberFormat="1" applyFont="1" applyFill="1" applyBorder="1"/>
    <xf numFmtId="44" fontId="27" fillId="0" borderId="82" xfId="32" applyFont="1" applyFill="1" applyBorder="1"/>
    <xf numFmtId="0" fontId="20" fillId="11" borderId="82" xfId="0" applyFont="1" applyFill="1" applyBorder="1"/>
    <xf numFmtId="0" fontId="20" fillId="9" borderId="19" xfId="0" applyFont="1" applyFill="1" applyBorder="1"/>
    <xf numFmtId="180" fontId="20" fillId="0" borderId="74" xfId="32" applyNumberFormat="1" applyFont="1" applyBorder="1" applyAlignment="1">
      <alignment horizontal="center"/>
    </xf>
    <xf numFmtId="0" fontId="20" fillId="9" borderId="77" xfId="0" applyFont="1" applyFill="1" applyBorder="1"/>
    <xf numFmtId="175" fontId="27" fillId="0" borderId="22" xfId="33" applyNumberFormat="1" applyFont="1" applyFill="1" applyBorder="1"/>
    <xf numFmtId="180" fontId="20" fillId="0" borderId="65" xfId="32" applyNumberFormat="1" applyFont="1" applyBorder="1" applyAlignment="1">
      <alignment horizontal="center"/>
    </xf>
    <xf numFmtId="180" fontId="20" fillId="11" borderId="79" xfId="0" applyNumberFormat="1" applyFont="1" applyFill="1" applyBorder="1"/>
    <xf numFmtId="181" fontId="27" fillId="0" borderId="77" xfId="34" applyNumberFormat="1" applyFont="1" applyBorder="1" applyAlignment="1">
      <alignment horizontal="center"/>
      <protection/>
    </xf>
    <xf numFmtId="181" fontId="27" fillId="0" borderId="22" xfId="35" applyNumberFormat="1" applyFont="1" applyBorder="1" applyAlignment="1">
      <alignment horizontal="center"/>
      <protection/>
    </xf>
    <xf numFmtId="44" fontId="27" fillId="0" borderId="79" xfId="32" applyFont="1" applyFill="1" applyBorder="1"/>
    <xf numFmtId="0" fontId="20" fillId="11" borderId="79" xfId="0" applyFont="1" applyFill="1" applyBorder="1"/>
    <xf numFmtId="0" fontId="20" fillId="0" borderId="0" xfId="0" applyFont="1" applyBorder="1" quotePrefix="1"/>
    <xf numFmtId="0" fontId="27" fillId="0" borderId="0" xfId="0" applyFont="1" applyBorder="1"/>
    <xf numFmtId="0" fontId="5" fillId="0" borderId="0" xfId="27" applyFill="1">
      <alignment/>
      <protection/>
    </xf>
    <xf numFmtId="0" fontId="11" fillId="0" borderId="0" xfId="27" applyFont="1" applyFill="1">
      <alignment/>
      <protection/>
    </xf>
    <xf numFmtId="2" fontId="5" fillId="0" borderId="0" xfId="27" applyNumberFormat="1" applyFill="1">
      <alignment/>
      <protection/>
    </xf>
    <xf numFmtId="2" fontId="1" fillId="0" borderId="0" xfId="27" applyNumberFormat="1" applyFont="1" applyFill="1">
      <alignment/>
      <protection/>
    </xf>
    <xf numFmtId="0" fontId="5" fillId="0" borderId="0" xfId="27" applyFont="1" applyFill="1">
      <alignment/>
      <protection/>
    </xf>
    <xf numFmtId="0" fontId="0" fillId="0" borderId="0" xfId="0" applyAlignment="1">
      <alignment horizontal="left" vertical="top"/>
    </xf>
    <xf numFmtId="0" fontId="11" fillId="0" borderId="0" xfId="27" applyFont="1" applyAlignment="1">
      <alignment horizontal="left" vertical="top"/>
      <protection/>
    </xf>
    <xf numFmtId="0" fontId="0" fillId="0" borderId="0" xfId="0" applyFont="1" applyAlignment="1">
      <alignment horizontal="left" vertical="top" wrapText="1"/>
    </xf>
    <xf numFmtId="0" fontId="0" fillId="0" borderId="0" xfId="0" applyAlignment="1">
      <alignment horizontal="left" vertical="top" wrapText="1"/>
    </xf>
    <xf numFmtId="0" fontId="46" fillId="0" borderId="0" xfId="0" applyFont="1" applyAlignment="1">
      <alignment horizontal="left" vertical="top"/>
    </xf>
    <xf numFmtId="0" fontId="3" fillId="0" borderId="0" xfId="0" applyFont="1" applyAlignment="1">
      <alignment horizontal="left" vertical="top"/>
    </xf>
    <xf numFmtId="0" fontId="11" fillId="0" borderId="0" xfId="0" applyFont="1" applyAlignment="1">
      <alignment horizontal="left" vertical="top"/>
    </xf>
    <xf numFmtId="0" fontId="11" fillId="0" borderId="0" xfId="0" applyFont="1" applyAlignment="1">
      <alignment horizontal="left" vertical="top" wrapText="1"/>
    </xf>
    <xf numFmtId="3" fontId="0" fillId="0" borderId="0" xfId="0" applyNumberFormat="1" applyAlignment="1">
      <alignment horizontal="left" vertical="top"/>
    </xf>
    <xf numFmtId="0" fontId="47" fillId="0" borderId="0" xfId="0" applyFont="1" applyAlignment="1">
      <alignment horizontal="left" vertical="top" wrapText="1"/>
    </xf>
    <xf numFmtId="0" fontId="0" fillId="0" borderId="0" xfId="0" applyFill="1" applyAlignment="1">
      <alignment horizontal="left" vertical="top"/>
    </xf>
    <xf numFmtId="9" fontId="0" fillId="0" borderId="0" xfId="0" applyNumberFormat="1" applyAlignment="1">
      <alignment horizontal="left" vertical="top"/>
    </xf>
    <xf numFmtId="10" fontId="0" fillId="0" borderId="0" xfId="0" applyNumberFormat="1" applyAlignment="1">
      <alignment horizontal="left" vertical="top"/>
    </xf>
    <xf numFmtId="3" fontId="0" fillId="0" borderId="0" xfId="0" applyNumberFormat="1" applyFill="1" applyAlignment="1">
      <alignment horizontal="left" vertical="top"/>
    </xf>
    <xf numFmtId="0" fontId="5" fillId="0" borderId="0" xfId="0" applyFont="1" applyAlignment="1">
      <alignment horizontal="left" vertical="top" wrapText="1"/>
    </xf>
    <xf numFmtId="0" fontId="40" fillId="0" borderId="0" xfId="0" applyFont="1" applyAlignment="1">
      <alignment horizontal="left" vertical="top" wrapText="1"/>
    </xf>
    <xf numFmtId="0" fontId="0" fillId="0" borderId="0" xfId="0" applyFill="1" applyBorder="1" applyAlignment="1" quotePrefix="1">
      <alignment wrapText="1"/>
    </xf>
    <xf numFmtId="10" fontId="3" fillId="0" borderId="0" xfId="22" applyNumberFormat="1" applyFont="1" applyFill="1" applyAlignment="1">
      <alignment wrapText="1"/>
    </xf>
    <xf numFmtId="43" fontId="0" fillId="0" borderId="14" xfId="25" applyNumberFormat="1" applyFont="1" applyFill="1" applyBorder="1"/>
    <xf numFmtId="9" fontId="0" fillId="0" borderId="14" xfId="24" applyNumberFormat="1" applyFont="1" applyFill="1" applyBorder="1">
      <alignment/>
      <protection/>
    </xf>
    <xf numFmtId="9" fontId="0" fillId="0" borderId="14" xfId="26" applyFont="1" applyFill="1" applyBorder="1"/>
    <xf numFmtId="43" fontId="0" fillId="0" borderId="14" xfId="25" applyFont="1" applyFill="1" applyBorder="1"/>
    <xf numFmtId="0" fontId="3" fillId="0" borderId="0" xfId="24" applyFont="1" applyAlignment="1">
      <alignment/>
      <protection/>
    </xf>
    <xf numFmtId="0" fontId="0" fillId="0" borderId="0" xfId="24" applyAlignment="1">
      <alignment/>
      <protection/>
    </xf>
    <xf numFmtId="0" fontId="26" fillId="0" borderId="0" xfId="24" applyFont="1" applyAlignment="1">
      <alignment/>
      <protection/>
    </xf>
    <xf numFmtId="43" fontId="0" fillId="0" borderId="0" xfId="24" applyNumberFormat="1" applyAlignment="1">
      <alignment/>
      <protection/>
    </xf>
    <xf numFmtId="0" fontId="3" fillId="0" borderId="14" xfId="24" applyFont="1" applyBorder="1" applyAlignment="1">
      <alignment/>
      <protection/>
    </xf>
    <xf numFmtId="0" fontId="0" fillId="0" borderId="14" xfId="24" applyFont="1" applyBorder="1" applyAlignment="1">
      <alignment/>
      <protection/>
    </xf>
    <xf numFmtId="43" fontId="0" fillId="0" borderId="14" xfId="25" applyNumberFormat="1" applyFont="1" applyFill="1" applyBorder="1" applyAlignment="1">
      <alignment/>
    </xf>
    <xf numFmtId="0" fontId="0" fillId="0" borderId="14" xfId="24" applyBorder="1" applyAlignment="1">
      <alignment/>
      <protection/>
    </xf>
    <xf numFmtId="0" fontId="0" fillId="0" borderId="14" xfId="24" applyFont="1" applyBorder="1" applyAlignment="1">
      <alignment/>
      <protection/>
    </xf>
    <xf numFmtId="0" fontId="0" fillId="0" borderId="14" xfId="24" applyFont="1" applyFill="1" applyBorder="1" applyAlignment="1">
      <alignment/>
      <protection/>
    </xf>
    <xf numFmtId="9" fontId="0" fillId="0" borderId="14" xfId="24" applyNumberFormat="1" applyFont="1" applyFill="1" applyBorder="1" applyAlignment="1">
      <alignment/>
      <protection/>
    </xf>
    <xf numFmtId="169" fontId="0" fillId="0" borderId="14" xfId="25" applyNumberFormat="1" applyFont="1" applyFill="1" applyBorder="1" applyAlignment="1">
      <alignment/>
    </xf>
    <xf numFmtId="9" fontId="0" fillId="0" borderId="14" xfId="26" applyFont="1" applyFill="1" applyBorder="1" applyAlignment="1">
      <alignment/>
    </xf>
    <xf numFmtId="9" fontId="0" fillId="0" borderId="14" xfId="26" applyFont="1" applyBorder="1" applyAlignment="1">
      <alignment/>
    </xf>
    <xf numFmtId="0" fontId="3" fillId="0" borderId="14" xfId="24" applyFont="1" applyBorder="1" applyAlignment="1">
      <alignment vertical="center" wrapText="1"/>
      <protection/>
    </xf>
    <xf numFmtId="168" fontId="0" fillId="0" borderId="14" xfId="25" applyNumberFormat="1" applyFont="1" applyFill="1" applyBorder="1" applyAlignment="1">
      <alignment vertical="center"/>
    </xf>
    <xf numFmtId="43" fontId="0" fillId="0" borderId="14" xfId="25" applyFont="1" applyBorder="1" applyAlignment="1">
      <alignment/>
    </xf>
    <xf numFmtId="43" fontId="0" fillId="0" borderId="14" xfId="25" applyFont="1" applyFill="1" applyBorder="1" applyAlignment="1">
      <alignment/>
    </xf>
    <xf numFmtId="9" fontId="0" fillId="0" borderId="14" xfId="24" applyNumberFormat="1" applyBorder="1" applyAlignment="1">
      <alignment/>
      <protection/>
    </xf>
    <xf numFmtId="0" fontId="0" fillId="0" borderId="0" xfId="24" applyFont="1" applyFill="1" applyBorder="1" applyAlignment="1">
      <alignment/>
      <protection/>
    </xf>
    <xf numFmtId="0" fontId="19" fillId="0" borderId="14" xfId="24" applyFont="1" applyBorder="1" applyAlignment="1">
      <alignment vertical="center" wrapText="1"/>
      <protection/>
    </xf>
    <xf numFmtId="0" fontId="0" fillId="0" borderId="0" xfId="24" applyAlignment="1">
      <alignment vertical="center"/>
      <protection/>
    </xf>
    <xf numFmtId="8" fontId="20" fillId="0" borderId="14" xfId="24" applyNumberFormat="1" applyFont="1" applyBorder="1" applyAlignment="1">
      <alignment vertical="center" wrapText="1"/>
      <protection/>
    </xf>
    <xf numFmtId="0" fontId="20" fillId="0" borderId="14" xfId="24" applyFont="1" applyBorder="1" applyAlignment="1">
      <alignment vertical="center" wrapText="1"/>
      <protection/>
    </xf>
    <xf numFmtId="0" fontId="3" fillId="0" borderId="0" xfId="24" applyFont="1" applyAlignment="1">
      <alignment vertical="center"/>
      <protection/>
    </xf>
    <xf numFmtId="10" fontId="20" fillId="0" borderId="14" xfId="24" applyNumberFormat="1" applyFont="1" applyBorder="1" applyAlignment="1">
      <alignment vertical="center"/>
      <protection/>
    </xf>
    <xf numFmtId="0" fontId="20" fillId="0" borderId="14" xfId="0" applyFont="1" applyBorder="1" applyAlignment="1">
      <alignment vertical="center" wrapText="1"/>
    </xf>
    <xf numFmtId="0" fontId="0" fillId="0" borderId="0" xfId="24" applyFont="1" applyAlignment="1">
      <alignment vertical="center"/>
      <protection/>
    </xf>
    <xf numFmtId="43" fontId="0" fillId="0" borderId="0" xfId="24" applyNumberFormat="1" applyAlignment="1">
      <alignment vertical="center"/>
      <protection/>
    </xf>
    <xf numFmtId="0" fontId="3" fillId="0" borderId="0" xfId="24" applyFont="1" applyFill="1">
      <alignment/>
      <protection/>
    </xf>
    <xf numFmtId="0" fontId="0" fillId="0" borderId="0" xfId="24" applyFill="1">
      <alignment/>
      <protection/>
    </xf>
    <xf numFmtId="0" fontId="11" fillId="0" borderId="0" xfId="0" applyFont="1" applyFill="1"/>
    <xf numFmtId="0" fontId="3" fillId="0" borderId="14" xfId="24" applyFont="1" applyFill="1" applyBorder="1">
      <alignment/>
      <protection/>
    </xf>
    <xf numFmtId="0" fontId="0" fillId="0" borderId="14" xfId="24" applyFill="1" applyBorder="1">
      <alignment/>
      <protection/>
    </xf>
    <xf numFmtId="0" fontId="0" fillId="0" borderId="14" xfId="24" applyFont="1" applyFill="1" applyBorder="1">
      <alignment/>
      <protection/>
    </xf>
    <xf numFmtId="9" fontId="0" fillId="0" borderId="14" xfId="26" applyFont="1" applyFill="1" applyBorder="1"/>
    <xf numFmtId="168" fontId="0" fillId="0" borderId="14" xfId="25" applyNumberFormat="1" applyFont="1" applyFill="1" applyBorder="1"/>
    <xf numFmtId="174" fontId="0" fillId="0" borderId="14" xfId="25" applyNumberFormat="1" applyFont="1" applyFill="1" applyBorder="1"/>
    <xf numFmtId="0" fontId="0" fillId="0" borderId="0" xfId="24" applyFont="1" applyFill="1">
      <alignment/>
      <protection/>
    </xf>
    <xf numFmtId="9" fontId="0" fillId="0" borderId="14" xfId="24" applyNumberFormat="1" applyFill="1" applyBorder="1">
      <alignment/>
      <protection/>
    </xf>
    <xf numFmtId="0" fontId="3" fillId="0" borderId="14" xfId="24" applyFont="1" applyFill="1" applyBorder="1" applyAlignment="1">
      <alignment horizontal="center" vertical="center" wrapText="1"/>
      <protection/>
    </xf>
    <xf numFmtId="8" fontId="0" fillId="0" borderId="14" xfId="24" applyNumberFormat="1" applyFill="1" applyBorder="1" applyAlignment="1">
      <alignment horizontal="center" vertical="center" wrapText="1"/>
      <protection/>
    </xf>
    <xf numFmtId="0" fontId="0" fillId="0" borderId="14" xfId="24" applyFont="1" applyFill="1" applyBorder="1" applyAlignment="1">
      <alignment horizontal="center" vertical="center" wrapText="1"/>
      <protection/>
    </xf>
    <xf numFmtId="0" fontId="3" fillId="0" borderId="0" xfId="24" applyFont="1" applyFill="1" applyAlignment="1">
      <alignment horizontal="left" vertical="center"/>
      <protection/>
    </xf>
    <xf numFmtId="10" fontId="0" fillId="0" borderId="0" xfId="24" applyNumberFormat="1" applyFont="1" applyFill="1" applyAlignment="1">
      <alignment horizontal="center" vertical="center"/>
      <protection/>
    </xf>
    <xf numFmtId="0" fontId="0" fillId="0" borderId="0" xfId="24" applyFont="1" applyFill="1" applyAlignment="1">
      <alignment horizontal="center" vertical="center"/>
      <protection/>
    </xf>
    <xf numFmtId="0" fontId="3" fillId="0" borderId="0" xfId="0" applyFont="1" applyFill="1"/>
    <xf numFmtId="0" fontId="48" fillId="0" borderId="0" xfId="0" applyFont="1" applyFill="1"/>
    <xf numFmtId="0" fontId="3" fillId="0" borderId="14" xfId="36" applyNumberFormat="1" applyFont="1" applyFill="1" applyBorder="1" applyAlignment="1">
      <alignment horizontal="center"/>
      <protection/>
    </xf>
    <xf numFmtId="0" fontId="3" fillId="0" borderId="14" xfId="36" applyNumberFormat="1" applyFont="1" applyFill="1" applyBorder="1" applyAlignment="1">
      <alignment horizontal="center" vertical="center"/>
      <protection/>
    </xf>
    <xf numFmtId="3" fontId="1" fillId="0" borderId="14" xfId="36" applyNumberFormat="1" applyFont="1" applyFill="1" applyBorder="1" applyAlignment="1">
      <alignment horizontal="center"/>
      <protection/>
    </xf>
    <xf numFmtId="0" fontId="1" fillId="0" borderId="14" xfId="36" applyNumberFormat="1" applyFont="1" applyFill="1" applyBorder="1" applyAlignment="1">
      <alignment horizontal="left"/>
      <protection/>
    </xf>
    <xf numFmtId="165" fontId="1" fillId="0" borderId="14" xfId="36" applyNumberFormat="1" applyFont="1" applyFill="1" applyBorder="1" applyAlignment="1">
      <alignment horizontal="center"/>
      <protection/>
    </xf>
    <xf numFmtId="178" fontId="48" fillId="0" borderId="14" xfId="0" applyNumberFormat="1" applyFont="1" applyFill="1" applyBorder="1"/>
    <xf numFmtId="0" fontId="48" fillId="0" borderId="14" xfId="0" applyFont="1" applyFill="1" applyBorder="1"/>
    <xf numFmtId="0" fontId="2" fillId="0" borderId="0" xfId="0" applyFont="1" applyFill="1"/>
    <xf numFmtId="0" fontId="11" fillId="0" borderId="0" xfId="0" applyFont="1" applyFill="1" applyAlignment="1">
      <alignment wrapText="1"/>
    </xf>
    <xf numFmtId="0" fontId="11" fillId="0" borderId="14"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4" xfId="0" applyFill="1" applyBorder="1" applyAlignment="1">
      <alignment wrapText="1"/>
    </xf>
    <xf numFmtId="168" fontId="0" fillId="0" borderId="14" xfId="29" applyNumberFormat="1" applyFont="1" applyFill="1" applyBorder="1" applyAlignment="1">
      <alignment horizontal="center" vertical="center"/>
    </xf>
    <xf numFmtId="183" fontId="0" fillId="0" borderId="14" xfId="29" applyNumberFormat="1" applyFont="1" applyFill="1" applyBorder="1" applyAlignment="1">
      <alignment horizontal="center" vertical="center"/>
    </xf>
    <xf numFmtId="43" fontId="0" fillId="0" borderId="14" xfId="20" applyNumberFormat="1" applyFont="1" applyFill="1" applyBorder="1" applyAlignment="1">
      <alignment horizontal="center" vertical="center"/>
    </xf>
    <xf numFmtId="43" fontId="0" fillId="0" borderId="14" xfId="29" applyNumberFormat="1" applyFont="1" applyFill="1" applyBorder="1" applyAlignment="1">
      <alignment horizontal="center" vertical="center"/>
    </xf>
    <xf numFmtId="168" fontId="0" fillId="0" borderId="14" xfId="29" applyNumberFormat="1" applyFont="1" applyFill="1" applyBorder="1" applyAlignment="1">
      <alignment horizontal="center" vertical="center"/>
    </xf>
    <xf numFmtId="168" fontId="0" fillId="0" borderId="14" xfId="20" applyNumberFormat="1" applyFont="1" applyFill="1" applyBorder="1" applyAlignment="1">
      <alignment horizontal="center" vertical="center"/>
    </xf>
    <xf numFmtId="0" fontId="20" fillId="0" borderId="14" xfId="0" applyFont="1" applyFill="1" applyBorder="1"/>
    <xf numFmtId="0" fontId="20" fillId="0" borderId="14" xfId="0" applyFont="1" applyFill="1" applyBorder="1" applyAlignment="1">
      <alignment wrapText="1"/>
    </xf>
    <xf numFmtId="168" fontId="20" fillId="0" borderId="14" xfId="29" applyNumberFormat="1" applyFont="1" applyFill="1" applyBorder="1" applyAlignment="1">
      <alignment horizontal="center" vertical="center"/>
    </xf>
    <xf numFmtId="183" fontId="20" fillId="0" borderId="14" xfId="29" applyNumberFormat="1" applyFont="1" applyFill="1" applyBorder="1" applyAlignment="1">
      <alignment horizontal="center" vertical="center"/>
    </xf>
    <xf numFmtId="168" fontId="20" fillId="0" borderId="14" xfId="20" applyNumberFormat="1" applyFont="1" applyFill="1" applyBorder="1" applyAlignment="1">
      <alignment horizontal="center" vertical="center"/>
    </xf>
    <xf numFmtId="0" fontId="11" fillId="0" borderId="14" xfId="0" applyFont="1" applyFill="1" applyBorder="1"/>
    <xf numFmtId="0" fontId="11" fillId="0" borderId="14" xfId="0" applyFont="1" applyFill="1" applyBorder="1" applyAlignment="1">
      <alignment wrapText="1"/>
    </xf>
    <xf numFmtId="0" fontId="5" fillId="0" borderId="14" xfId="31" applyFont="1" applyFill="1" applyBorder="1" applyAlignment="1">
      <alignment vertical="top"/>
      <protection/>
    </xf>
    <xf numFmtId="9" fontId="5" fillId="0" borderId="14" xfId="31" applyNumberFormat="1" applyFont="1" applyFill="1" applyBorder="1" applyAlignment="1">
      <alignment vertical="top"/>
      <protection/>
    </xf>
    <xf numFmtId="0" fontId="0" fillId="0" borderId="14" xfId="31" applyFont="1" applyFill="1" applyBorder="1" applyAlignment="1">
      <alignment vertical="top" wrapText="1"/>
      <protection/>
    </xf>
    <xf numFmtId="0" fontId="0" fillId="0" borderId="0" xfId="31" applyFill="1" applyBorder="1" applyAlignment="1">
      <alignment vertical="top"/>
      <protection/>
    </xf>
    <xf numFmtId="0" fontId="5" fillId="0" borderId="14" xfId="31" applyFont="1" applyFill="1" applyBorder="1">
      <alignment/>
      <protection/>
    </xf>
    <xf numFmtId="10" fontId="5" fillId="0" borderId="14" xfId="31" applyNumberFormat="1" applyFont="1" applyFill="1" applyBorder="1">
      <alignment/>
      <protection/>
    </xf>
    <xf numFmtId="0" fontId="0" fillId="0" borderId="14" xfId="31" applyFill="1" applyBorder="1" applyAlignment="1">
      <alignment wrapText="1"/>
      <protection/>
    </xf>
    <xf numFmtId="0" fontId="0" fillId="0" borderId="0" xfId="31" applyFill="1" applyBorder="1">
      <alignment/>
      <protection/>
    </xf>
    <xf numFmtId="0" fontId="0" fillId="0" borderId="0" xfId="0" applyFill="1" applyAlignment="1">
      <alignment horizontal="left" vertical="center" wrapText="1"/>
    </xf>
    <xf numFmtId="0" fontId="3" fillId="0" borderId="0" xfId="0" applyFont="1" applyFill="1" applyAlignment="1">
      <alignment wrapText="1"/>
    </xf>
    <xf numFmtId="10" fontId="0" fillId="0" borderId="0" xfId="22" applyNumberFormat="1" applyFont="1" applyFill="1" applyAlignment="1">
      <alignment wrapText="1"/>
    </xf>
    <xf numFmtId="0" fontId="27" fillId="0" borderId="0" xfId="0" applyFont="1" applyFill="1"/>
    <xf numFmtId="0" fontId="19" fillId="0" borderId="0" xfId="0" applyFont="1" applyFill="1"/>
    <xf numFmtId="9" fontId="19" fillId="0" borderId="0" xfId="22" applyFont="1" applyFill="1"/>
    <xf numFmtId="0" fontId="19" fillId="0" borderId="14" xfId="0" applyFont="1" applyFill="1" applyBorder="1"/>
    <xf numFmtId="0" fontId="19" fillId="0" borderId="56" xfId="0" applyFont="1" applyFill="1" applyBorder="1"/>
    <xf numFmtId="9" fontId="20" fillId="0" borderId="14" xfId="22" applyFont="1" applyFill="1" applyBorder="1"/>
    <xf numFmtId="9" fontId="20" fillId="0" borderId="56" xfId="0" applyNumberFormat="1" applyFont="1" applyFill="1" applyBorder="1"/>
    <xf numFmtId="44" fontId="20" fillId="0" borderId="14" xfId="0" applyNumberFormat="1" applyFont="1" applyFill="1" applyBorder="1"/>
    <xf numFmtId="44" fontId="20" fillId="0" borderId="0" xfId="21" applyFont="1" applyFill="1"/>
    <xf numFmtId="43" fontId="20" fillId="0" borderId="0" xfId="20" applyFont="1" applyFill="1"/>
    <xf numFmtId="2" fontId="20" fillId="0" borderId="0" xfId="0" applyNumberFormat="1" applyFont="1" applyFill="1"/>
    <xf numFmtId="9" fontId="20" fillId="0" borderId="0" xfId="22" applyFont="1" applyFill="1"/>
    <xf numFmtId="168" fontId="20" fillId="0" borderId="0" xfId="20" applyNumberFormat="1" applyFont="1" applyFill="1"/>
    <xf numFmtId="0" fontId="20" fillId="0" borderId="0" xfId="0" applyFont="1" applyFill="1" applyAlignment="1">
      <alignment horizontal="center" vertical="center"/>
    </xf>
    <xf numFmtId="9" fontId="20" fillId="0" borderId="0" xfId="0" applyNumberFormat="1" applyFont="1" applyFill="1"/>
    <xf numFmtId="43" fontId="20" fillId="0" borderId="0" xfId="0" applyNumberFormat="1" applyFont="1" applyFill="1"/>
    <xf numFmtId="44" fontId="20" fillId="0" borderId="0" xfId="0" applyNumberFormat="1" applyFont="1" applyFill="1"/>
    <xf numFmtId="44" fontId="19" fillId="0" borderId="14" xfId="0" applyNumberFormat="1" applyFont="1" applyFill="1" applyBorder="1"/>
    <xf numFmtId="1" fontId="20" fillId="0" borderId="0" xfId="0" applyNumberFormat="1" applyFont="1" applyFill="1"/>
    <xf numFmtId="44" fontId="19" fillId="0" borderId="0" xfId="21" applyNumberFormat="1" applyFont="1" applyFill="1"/>
    <xf numFmtId="0" fontId="20" fillId="0" borderId="0" xfId="0" applyFont="1" applyFill="1" applyAlignment="1">
      <alignment/>
    </xf>
    <xf numFmtId="44" fontId="20" fillId="0" borderId="0" xfId="21" applyNumberFormat="1" applyFont="1" applyFill="1"/>
    <xf numFmtId="0" fontId="20" fillId="0" borderId="0" xfId="0" applyFont="1" applyFill="1" applyAlignment="1">
      <alignment wrapText="1"/>
    </xf>
    <xf numFmtId="0" fontId="19" fillId="0" borderId="0" xfId="0" applyFont="1" applyFill="1" applyAlignment="1">
      <alignment wrapText="1"/>
    </xf>
    <xf numFmtId="9" fontId="20" fillId="0" borderId="14" xfId="22" applyFont="1" applyBorder="1"/>
    <xf numFmtId="9" fontId="20" fillId="0" borderId="56" xfId="0" applyNumberFormat="1" applyFont="1" applyBorder="1"/>
    <xf numFmtId="44" fontId="20" fillId="0" borderId="14" xfId="0" applyNumberFormat="1" applyFont="1" applyBorder="1"/>
    <xf numFmtId="44" fontId="20" fillId="0" borderId="0" xfId="21" applyFont="1"/>
    <xf numFmtId="43" fontId="20" fillId="0" borderId="0" xfId="20" applyFont="1"/>
    <xf numFmtId="2" fontId="20" fillId="0" borderId="0" xfId="0" applyNumberFormat="1" applyFont="1"/>
    <xf numFmtId="9" fontId="20" fillId="0" borderId="0" xfId="22" applyFont="1"/>
    <xf numFmtId="168" fontId="20" fillId="0" borderId="0" xfId="20" applyNumberFormat="1" applyFont="1"/>
    <xf numFmtId="9" fontId="20" fillId="0" borderId="0" xfId="0" applyNumberFormat="1" applyFont="1"/>
    <xf numFmtId="44" fontId="20" fillId="0" borderId="0" xfId="0" applyNumberFormat="1" applyFont="1"/>
    <xf numFmtId="0" fontId="54" fillId="0" borderId="0" xfId="0" applyFont="1"/>
    <xf numFmtId="0" fontId="0" fillId="0" borderId="0" xfId="0" applyFont="1" applyProtection="1">
      <protection/>
    </xf>
    <xf numFmtId="38" fontId="63" fillId="0" borderId="0" xfId="0" applyNumberFormat="1" applyFont="1" applyFill="1" applyAlignment="1" applyProtection="1">
      <alignment horizontal="center"/>
      <protection/>
    </xf>
    <xf numFmtId="3" fontId="64" fillId="0" borderId="0" xfId="0" applyNumberFormat="1" applyFont="1" applyFill="1" applyAlignment="1" applyProtection="1">
      <alignment horizontal="center"/>
      <protection/>
    </xf>
    <xf numFmtId="3" fontId="66" fillId="0" borderId="83" xfId="0" applyNumberFormat="1" applyFont="1" applyFill="1" applyBorder="1" applyAlignment="1" applyProtection="1" quotePrefix="1">
      <alignment horizontal="center" vertical="center"/>
      <protection/>
    </xf>
    <xf numFmtId="3" fontId="66" fillId="0" borderId="84" xfId="0" applyNumberFormat="1" applyFont="1" applyFill="1" applyBorder="1" applyAlignment="1" applyProtection="1">
      <alignment horizontal="center" vertical="center"/>
      <protection/>
    </xf>
    <xf numFmtId="3" fontId="66" fillId="0" borderId="85" xfId="0" applyNumberFormat="1" applyFont="1" applyFill="1" applyBorder="1" applyAlignment="1" applyProtection="1">
      <alignment horizontal="center" vertical="center"/>
      <protection/>
    </xf>
    <xf numFmtId="0" fontId="21" fillId="0" borderId="0" xfId="0" applyFont="1" applyFill="1" applyBorder="1" applyAlignment="1" applyProtection="1">
      <alignment vertical="center"/>
      <protection/>
    </xf>
    <xf numFmtId="172" fontId="64" fillId="0" borderId="14" xfId="0" applyNumberFormat="1" applyFont="1" applyFill="1" applyBorder="1" applyAlignment="1" applyProtection="1">
      <alignment horizontal="center"/>
      <protection/>
    </xf>
    <xf numFmtId="0" fontId="20" fillId="0" borderId="0" xfId="0" applyFont="1" applyFill="1" applyBorder="1" applyProtection="1">
      <protection/>
    </xf>
    <xf numFmtId="0" fontId="64" fillId="0" borderId="0" xfId="0" applyFont="1" applyFill="1" applyBorder="1" applyAlignment="1" applyProtection="1">
      <alignment horizontal="center" vertical="center" wrapText="1"/>
      <protection/>
    </xf>
    <xf numFmtId="9" fontId="20" fillId="0" borderId="0" xfId="22" applyFont="1" applyFill="1" applyBorder="1" applyAlignment="1" applyProtection="1">
      <alignment horizontal="center"/>
      <protection/>
    </xf>
    <xf numFmtId="0" fontId="20" fillId="0" borderId="0" xfId="0" applyFont="1" applyFill="1" applyProtection="1">
      <protection/>
    </xf>
    <xf numFmtId="0" fontId="19" fillId="0" borderId="14" xfId="0" applyFont="1" applyFill="1" applyBorder="1" applyAlignment="1" applyProtection="1">
      <alignment horizontal="center" vertical="center" wrapText="1"/>
      <protection/>
    </xf>
    <xf numFmtId="0" fontId="19" fillId="0" borderId="14" xfId="0" applyFont="1" applyFill="1" applyBorder="1" applyAlignment="1" applyProtection="1">
      <alignment horizontal="center" vertical="center"/>
      <protection/>
    </xf>
    <xf numFmtId="0" fontId="68" fillId="0" borderId="0" xfId="23" applyFont="1" applyFill="1" applyAlignment="1" applyProtection="1">
      <alignment/>
      <protection/>
    </xf>
    <xf numFmtId="0" fontId="64" fillId="0" borderId="14" xfId="0" applyFont="1" applyFill="1" applyBorder="1" applyAlignment="1" applyProtection="1">
      <alignment horizontal="center" vertical="center" wrapText="1"/>
      <protection/>
    </xf>
    <xf numFmtId="0" fontId="20" fillId="0" borderId="14" xfId="0" applyFont="1" applyFill="1" applyBorder="1" applyAlignment="1" applyProtection="1">
      <alignment horizontal="center" vertical="center" wrapText="1"/>
      <protection/>
    </xf>
    <xf numFmtId="0" fontId="20" fillId="0" borderId="0" xfId="0" applyFont="1" applyFill="1" applyAlignment="1">
      <alignment horizontal="center" vertical="center" wrapText="1"/>
    </xf>
    <xf numFmtId="0" fontId="64" fillId="0" borderId="14" xfId="0" applyFont="1" applyFill="1" applyBorder="1" applyAlignment="1" applyProtection="1">
      <alignment horizontal="center"/>
      <protection/>
    </xf>
    <xf numFmtId="170" fontId="20" fillId="0" borderId="14" xfId="0" applyNumberFormat="1" applyFont="1" applyFill="1" applyBorder="1" applyAlignment="1" applyProtection="1">
      <alignment horizontal="center"/>
      <protection/>
    </xf>
    <xf numFmtId="3" fontId="20" fillId="0" borderId="14" xfId="0" applyNumberFormat="1" applyFont="1" applyFill="1" applyBorder="1" applyAlignment="1" applyProtection="1">
      <alignment horizontal="center"/>
      <protection/>
    </xf>
    <xf numFmtId="9" fontId="20" fillId="0" borderId="14" xfId="22" applyFont="1" applyFill="1" applyBorder="1" applyAlignment="1" applyProtection="1">
      <alignment horizontal="center"/>
      <protection/>
    </xf>
    <xf numFmtId="3" fontId="20" fillId="0" borderId="0" xfId="0" applyNumberFormat="1" applyFont="1" applyFill="1" applyBorder="1" applyAlignment="1" applyProtection="1">
      <alignment horizontal="center"/>
      <protection/>
    </xf>
    <xf numFmtId="0" fontId="20" fillId="0" borderId="0" xfId="0" applyFont="1" applyFill="1" applyBorder="1" applyAlignment="1" applyProtection="1">
      <alignment horizontal="center"/>
      <protection/>
    </xf>
    <xf numFmtId="9" fontId="20" fillId="0" borderId="0" xfId="22" applyFont="1" applyFill="1" applyProtection="1">
      <protection/>
    </xf>
    <xf numFmtId="168" fontId="20" fillId="0" borderId="0" xfId="20" applyNumberFormat="1" applyFont="1" applyFill="1" applyProtection="1">
      <protection/>
    </xf>
    <xf numFmtId="2" fontId="20" fillId="0" borderId="0" xfId="0" applyNumberFormat="1" applyFont="1" applyFill="1" applyProtection="1">
      <protection/>
    </xf>
    <xf numFmtId="0" fontId="20" fillId="0" borderId="0" xfId="0" applyFont="1" applyFill="1" applyAlignment="1">
      <alignment horizontal="left" vertical="center" wrapText="1"/>
    </xf>
    <xf numFmtId="0" fontId="20" fillId="0" borderId="14" xfId="0" applyFont="1" applyFill="1" applyBorder="1" applyAlignment="1" applyProtection="1">
      <alignment horizontal="center" vertical="center"/>
      <protection/>
    </xf>
    <xf numFmtId="0" fontId="67" fillId="0" borderId="14" xfId="0" applyFont="1" applyFill="1" applyBorder="1" applyAlignment="1" applyProtection="1">
      <alignment horizontal="center" vertical="center" wrapText="1"/>
      <protection/>
    </xf>
    <xf numFmtId="168" fontId="64" fillId="0" borderId="14" xfId="20" applyNumberFormat="1" applyFont="1" applyFill="1" applyBorder="1" applyAlignment="1" applyProtection="1">
      <alignment horizontal="center" vertical="center" wrapText="1"/>
      <protection/>
    </xf>
    <xf numFmtId="0" fontId="67" fillId="0" borderId="0" xfId="0" applyFont="1" applyFill="1" applyBorder="1" applyAlignment="1" applyProtection="1">
      <alignment vertical="center" wrapText="1"/>
      <protection/>
    </xf>
    <xf numFmtId="0" fontId="20" fillId="0" borderId="0" xfId="0" applyFont="1" applyFill="1" applyAlignment="1" applyProtection="1">
      <alignment horizontal="center"/>
      <protection/>
    </xf>
    <xf numFmtId="0" fontId="20" fillId="0" borderId="0" xfId="0" applyFont="1" applyFill="1" applyAlignment="1">
      <alignment vertical="center" wrapText="1"/>
    </xf>
    <xf numFmtId="0" fontId="20" fillId="0" borderId="0" xfId="0" applyFont="1" applyFill="1" applyAlignment="1" applyProtection="1">
      <alignment wrapText="1"/>
      <protection/>
    </xf>
    <xf numFmtId="9" fontId="20" fillId="0" borderId="14" xfId="22" applyFont="1" applyFill="1" applyBorder="1" applyAlignment="1" applyProtection="1">
      <alignment horizontal="center" vertical="center" wrapText="1"/>
      <protection/>
    </xf>
    <xf numFmtId="9" fontId="19" fillId="0" borderId="14" xfId="22" applyFont="1" applyFill="1" applyBorder="1" applyAlignment="1" applyProtection="1">
      <alignment horizontal="center" vertical="center" wrapText="1"/>
      <protection/>
    </xf>
    <xf numFmtId="9" fontId="20" fillId="0" borderId="0" xfId="22" applyFont="1" applyFill="1" applyAlignment="1" applyProtection="1">
      <alignment wrapText="1"/>
      <protection/>
    </xf>
    <xf numFmtId="0" fontId="19" fillId="0" borderId="0" xfId="0" applyFont="1" applyFill="1" applyAlignment="1" applyProtection="1">
      <alignment wrapText="1"/>
      <protection/>
    </xf>
    <xf numFmtId="0" fontId="24" fillId="0" borderId="12" xfId="0" applyFont="1" applyFill="1" applyBorder="1" applyAlignment="1" applyProtection="1">
      <alignment horizontal="center"/>
      <protection/>
    </xf>
    <xf numFmtId="0" fontId="24" fillId="0" borderId="11" xfId="0" applyFont="1" applyFill="1" applyBorder="1" applyAlignment="1" applyProtection="1">
      <alignment horizontal="center"/>
      <protection/>
    </xf>
    <xf numFmtId="0" fontId="24" fillId="0" borderId="10" xfId="0" applyFont="1" applyFill="1" applyBorder="1" applyAlignment="1" applyProtection="1">
      <alignment horizontal="center"/>
      <protection/>
    </xf>
    <xf numFmtId="38" fontId="63" fillId="0" borderId="75" xfId="0" applyNumberFormat="1" applyFont="1" applyFill="1" applyBorder="1" applyAlignment="1" applyProtection="1">
      <alignment horizontal="center"/>
      <protection/>
    </xf>
    <xf numFmtId="38" fontId="65" fillId="0" borderId="68" xfId="0" applyNumberFormat="1" applyFont="1" applyFill="1" applyBorder="1" applyAlignment="1" applyProtection="1">
      <alignment horizontal="center" vertical="center"/>
      <protection/>
    </xf>
    <xf numFmtId="38" fontId="65" fillId="0" borderId="69" xfId="0" applyNumberFormat="1" applyFont="1" applyFill="1" applyBorder="1" applyAlignment="1" applyProtection="1">
      <alignment horizontal="center" vertical="center"/>
      <protection/>
    </xf>
    <xf numFmtId="38" fontId="65" fillId="0" borderId="32" xfId="0" applyNumberFormat="1" applyFont="1" applyFill="1" applyBorder="1" applyAlignment="1" applyProtection="1">
      <alignment horizontal="center" vertical="center"/>
      <protection/>
    </xf>
    <xf numFmtId="38" fontId="24" fillId="0" borderId="45" xfId="0" applyNumberFormat="1" applyFont="1" applyFill="1" applyBorder="1" applyAlignment="1" applyProtection="1">
      <alignment horizontal="center"/>
      <protection/>
    </xf>
    <xf numFmtId="172" fontId="21" fillId="0" borderId="73" xfId="0" applyNumberFormat="1" applyFont="1" applyFill="1" applyBorder="1" applyAlignment="1" applyProtection="1">
      <alignment horizontal="center" vertical="center"/>
      <protection/>
    </xf>
    <xf numFmtId="172" fontId="21" fillId="0" borderId="29" xfId="0" applyNumberFormat="1" applyFont="1" applyFill="1" applyBorder="1" applyAlignment="1" applyProtection="1">
      <alignment horizontal="center" vertical="center"/>
      <protection/>
    </xf>
    <xf numFmtId="172" fontId="21" fillId="0" borderId="45" xfId="0" applyNumberFormat="1" applyFont="1" applyFill="1" applyBorder="1" applyAlignment="1" applyProtection="1">
      <alignment horizontal="center" vertical="center"/>
      <protection/>
    </xf>
    <xf numFmtId="38" fontId="24" fillId="0" borderId="13" xfId="0" applyNumberFormat="1" applyFont="1" applyFill="1" applyBorder="1" applyAlignment="1" applyProtection="1">
      <alignment horizontal="center"/>
      <protection/>
    </xf>
    <xf numFmtId="172" fontId="21" fillId="0" borderId="15" xfId="0" applyNumberFormat="1" applyFont="1" applyFill="1" applyBorder="1" applyAlignment="1" applyProtection="1">
      <alignment horizontal="center" vertical="center"/>
      <protection/>
    </xf>
    <xf numFmtId="172" fontId="21" fillId="0" borderId="14" xfId="0" applyNumberFormat="1" applyFont="1" applyFill="1" applyBorder="1" applyAlignment="1" applyProtection="1">
      <alignment horizontal="center" vertical="center"/>
      <protection/>
    </xf>
    <xf numFmtId="172" fontId="21" fillId="0" borderId="13" xfId="0" applyNumberFormat="1" applyFont="1" applyFill="1" applyBorder="1" applyAlignment="1" applyProtection="1">
      <alignment horizontal="center" vertical="center"/>
      <protection/>
    </xf>
    <xf numFmtId="3" fontId="24" fillId="0" borderId="13" xfId="0" applyNumberFormat="1" applyFont="1" applyFill="1" applyBorder="1" applyAlignment="1" applyProtection="1">
      <alignment horizontal="center"/>
      <protection/>
    </xf>
    <xf numFmtId="3" fontId="24" fillId="0" borderId="10" xfId="0" applyNumberFormat="1" applyFont="1" applyFill="1" applyBorder="1" applyAlignment="1" applyProtection="1">
      <alignment horizontal="center"/>
      <protection/>
    </xf>
    <xf numFmtId="172" fontId="21" fillId="0" borderId="12" xfId="0" applyNumberFormat="1" applyFont="1" applyFill="1" applyBorder="1" applyAlignment="1" applyProtection="1">
      <alignment horizontal="center" vertical="center"/>
      <protection/>
    </xf>
    <xf numFmtId="172" fontId="21" fillId="0" borderId="11" xfId="0" applyNumberFormat="1" applyFont="1" applyFill="1" applyBorder="1" applyAlignment="1" applyProtection="1">
      <alignment horizontal="center" vertical="center"/>
      <protection/>
    </xf>
    <xf numFmtId="172" fontId="21" fillId="0" borderId="10" xfId="0" applyNumberFormat="1" applyFont="1" applyFill="1" applyBorder="1" applyAlignment="1" applyProtection="1">
      <alignment horizontal="center" vertical="center"/>
      <protection/>
    </xf>
    <xf numFmtId="0" fontId="23" fillId="0" borderId="14" xfId="0" applyFont="1" applyFill="1" applyBorder="1" applyAlignment="1" applyProtection="1">
      <alignment horizontal="center" vertical="center"/>
      <protection/>
    </xf>
    <xf numFmtId="0" fontId="23" fillId="0" borderId="56" xfId="0" applyFont="1" applyFill="1" applyBorder="1" applyAlignment="1" applyProtection="1">
      <alignment horizontal="center" vertical="center"/>
      <protection/>
    </xf>
    <xf numFmtId="0" fontId="63" fillId="0" borderId="14" xfId="0" applyFont="1" applyFill="1" applyBorder="1" applyAlignment="1" applyProtection="1">
      <alignment horizontal="center" vertical="center" wrapText="1"/>
      <protection/>
    </xf>
    <xf numFmtId="0" fontId="63" fillId="0" borderId="56" xfId="0" applyFont="1" applyFill="1" applyBorder="1" applyAlignment="1" applyProtection="1">
      <alignment horizontal="center" vertical="center" wrapText="1"/>
      <protection/>
    </xf>
    <xf numFmtId="0" fontId="64" fillId="0" borderId="14" xfId="0" applyFont="1" applyFill="1" applyBorder="1" applyAlignment="1" applyProtection="1">
      <alignment horizontal="left"/>
      <protection locked="0"/>
    </xf>
    <xf numFmtId="0" fontId="19" fillId="0" borderId="14" xfId="0" applyFont="1" applyFill="1" applyBorder="1" applyAlignment="1">
      <alignment horizontal="center" vertical="center"/>
    </xf>
    <xf numFmtId="0" fontId="20" fillId="0" borderId="14" xfId="0" applyFont="1" applyFill="1" applyBorder="1" applyAlignment="1">
      <alignment horizontal="center" vertical="center"/>
    </xf>
    <xf numFmtId="3" fontId="20" fillId="0" borderId="0" xfId="0" applyNumberFormat="1" applyFont="1" applyFill="1" applyAlignment="1" applyProtection="1">
      <alignment horizontal="center"/>
      <protection/>
    </xf>
    <xf numFmtId="0" fontId="20" fillId="0" borderId="14" xfId="0" applyFont="1" applyFill="1" applyBorder="1" applyAlignment="1" applyProtection="1">
      <alignment horizontal="center"/>
      <protection locked="0"/>
    </xf>
    <xf numFmtId="0" fontId="20" fillId="0" borderId="14" xfId="0" applyFont="1" applyFill="1" applyBorder="1" applyAlignment="1" applyProtection="1">
      <alignment horizontal="left"/>
      <protection locked="0"/>
    </xf>
    <xf numFmtId="14" fontId="20" fillId="0" borderId="14" xfId="0" applyNumberFormat="1" applyFont="1" applyFill="1" applyBorder="1" applyAlignment="1" applyProtection="1">
      <alignment horizontal="center"/>
      <protection locked="0"/>
    </xf>
    <xf numFmtId="3" fontId="20" fillId="0" borderId="14" xfId="0" applyNumberFormat="1" applyFont="1" applyFill="1" applyBorder="1" applyAlignment="1" applyProtection="1">
      <alignment horizontal="center"/>
      <protection locked="0"/>
    </xf>
    <xf numFmtId="172" fontId="20" fillId="0" borderId="14" xfId="0" applyNumberFormat="1" applyFont="1" applyFill="1" applyBorder="1" applyAlignment="1" applyProtection="1">
      <alignment horizontal="center" wrapText="1"/>
      <protection locked="0"/>
    </xf>
    <xf numFmtId="0" fontId="20" fillId="0" borderId="14" xfId="0" applyFont="1" applyFill="1" applyBorder="1" applyAlignment="1" applyProtection="1">
      <alignment horizontal="center" wrapText="1"/>
      <protection locked="0"/>
    </xf>
    <xf numFmtId="14" fontId="20" fillId="0" borderId="14" xfId="0" applyNumberFormat="1" applyFont="1" applyFill="1" applyBorder="1" applyAlignment="1" applyProtection="1">
      <alignment horizontal="center" wrapText="1"/>
      <protection locked="0"/>
    </xf>
    <xf numFmtId="172" fontId="20" fillId="0" borderId="14" xfId="0" applyNumberFormat="1" applyFont="1" applyFill="1" applyBorder="1" applyAlignment="1" applyProtection="1">
      <alignment horizontal="center"/>
      <protection locked="0"/>
    </xf>
    <xf numFmtId="0" fontId="20" fillId="0" borderId="56" xfId="0" applyFont="1" applyFill="1" applyBorder="1" applyProtection="1">
      <protection/>
    </xf>
    <xf numFmtId="0" fontId="20" fillId="0" borderId="56" xfId="0" applyFont="1" applyFill="1" applyBorder="1" applyAlignment="1" applyProtection="1">
      <alignment horizontal="center" vertical="center"/>
      <protection/>
    </xf>
    <xf numFmtId="168" fontId="20" fillId="0" borderId="56" xfId="20" applyNumberFormat="1" applyFont="1" applyFill="1" applyBorder="1" applyAlignment="1" applyProtection="1">
      <alignment horizontal="center" vertical="center"/>
      <protection/>
    </xf>
    <xf numFmtId="43" fontId="20" fillId="0" borderId="14" xfId="20" applyNumberFormat="1" applyFont="1" applyFill="1" applyBorder="1" applyAlignment="1" applyProtection="1">
      <alignment horizontal="center" vertical="center"/>
      <protection/>
    </xf>
    <xf numFmtId="168" fontId="20" fillId="0" borderId="14" xfId="20" applyNumberFormat="1" applyFont="1" applyFill="1" applyBorder="1" applyAlignment="1" applyProtection="1">
      <alignment horizontal="center" vertical="center"/>
      <protection/>
    </xf>
    <xf numFmtId="0" fontId="20" fillId="0" borderId="56" xfId="0" applyFont="1" applyFill="1" applyBorder="1" applyAlignment="1" applyProtection="1">
      <alignment horizontal="center"/>
      <protection/>
    </xf>
    <xf numFmtId="171" fontId="20" fillId="0" borderId="14" xfId="0" applyNumberFormat="1" applyFont="1" applyFill="1" applyBorder="1" applyAlignment="1" applyProtection="1">
      <alignment horizontal="center"/>
      <protection locked="0"/>
    </xf>
    <xf numFmtId="0" fontId="20" fillId="0" borderId="14" xfId="0" applyNumberFormat="1" applyFont="1" applyFill="1" applyBorder="1" applyAlignment="1" applyProtection="1">
      <alignment horizontal="center"/>
      <protection locked="0"/>
    </xf>
    <xf numFmtId="0" fontId="20" fillId="0" borderId="14" xfId="0" applyNumberFormat="1" applyFont="1" applyFill="1" applyBorder="1" applyAlignment="1" applyProtection="1">
      <alignment horizontal="center" wrapText="1"/>
      <protection locked="0"/>
    </xf>
    <xf numFmtId="16" fontId="20" fillId="0" borderId="14" xfId="0" applyNumberFormat="1" applyFont="1" applyFill="1" applyBorder="1" applyAlignment="1" applyProtection="1">
      <alignment horizontal="center" wrapText="1"/>
      <protection locked="0"/>
    </xf>
    <xf numFmtId="17" fontId="20" fillId="0" borderId="14" xfId="0" applyNumberFormat="1" applyFont="1" applyFill="1" applyBorder="1" applyAlignment="1" applyProtection="1">
      <alignment horizontal="center" wrapText="1"/>
      <protection locked="0"/>
    </xf>
    <xf numFmtId="14" fontId="20" fillId="0" borderId="14" xfId="0" applyNumberFormat="1" applyFont="1" applyFill="1" applyBorder="1" applyProtection="1">
      <protection locked="0"/>
    </xf>
    <xf numFmtId="3" fontId="20" fillId="0" borderId="14" xfId="0" applyNumberFormat="1" applyFont="1" applyFill="1" applyBorder="1" applyProtection="1">
      <protection locked="0"/>
    </xf>
    <xf numFmtId="0" fontId="20" fillId="0" borderId="14" xfId="0" applyFont="1" applyFill="1" applyBorder="1" applyProtection="1">
      <protection locked="0"/>
    </xf>
    <xf numFmtId="172" fontId="20" fillId="0" borderId="14" xfId="0" applyNumberFormat="1" applyFont="1" applyFill="1" applyBorder="1" applyAlignment="1" applyProtection="1">
      <alignment wrapText="1"/>
      <protection locked="0"/>
    </xf>
    <xf numFmtId="0" fontId="20" fillId="0" borderId="14" xfId="0" applyFont="1" applyFill="1" applyBorder="1" applyAlignment="1" applyProtection="1">
      <alignment wrapText="1"/>
      <protection locked="0"/>
    </xf>
    <xf numFmtId="14" fontId="20" fillId="0" borderId="14" xfId="0" applyNumberFormat="1" applyFont="1" applyFill="1" applyBorder="1" applyAlignment="1" applyProtection="1">
      <alignment wrapText="1"/>
      <protection locked="0"/>
    </xf>
    <xf numFmtId="0" fontId="33" fillId="0" borderId="14" xfId="28" applyFont="1" applyFill="1" applyBorder="1" applyAlignment="1">
      <alignment horizontal="right" wrapText="1"/>
      <protection/>
    </xf>
    <xf numFmtId="0" fontId="32" fillId="0" borderId="14" xfId="0" applyFont="1" applyFill="1" applyBorder="1" applyAlignment="1" applyProtection="1">
      <alignment horizontal="left"/>
      <protection/>
    </xf>
    <xf numFmtId="0" fontId="33" fillId="0" borderId="14" xfId="0" applyFont="1" applyFill="1" applyBorder="1" applyAlignment="1" applyProtection="1">
      <alignment horizontal="left" indent="1"/>
      <protection/>
    </xf>
    <xf numFmtId="0" fontId="33" fillId="0" borderId="14" xfId="0" applyNumberFormat="1" applyFont="1" applyFill="1" applyBorder="1" applyAlignment="1" quotePrefix="1">
      <alignment horizontal="left" indent="1"/>
    </xf>
    <xf numFmtId="0" fontId="32" fillId="0" borderId="14" xfId="0" applyNumberFormat="1" applyFont="1" applyFill="1" applyBorder="1" applyAlignment="1" quotePrefix="1">
      <alignment horizontal="left" indent="1"/>
    </xf>
    <xf numFmtId="0" fontId="32" fillId="0" borderId="14" xfId="28" applyFont="1" applyFill="1" applyBorder="1" applyAlignment="1">
      <alignment horizontal="right" wrapText="1"/>
      <protection/>
    </xf>
    <xf numFmtId="0" fontId="72" fillId="0" borderId="0" xfId="0" applyFont="1" applyFill="1" applyBorder="1" applyAlignment="1">
      <alignment horizontal="left" vertical="center" indent="1"/>
    </xf>
    <xf numFmtId="0" fontId="20" fillId="0" borderId="14" xfId="0" applyFont="1" applyFill="1" applyBorder="1" applyProtection="1">
      <protection/>
    </xf>
    <xf numFmtId="0" fontId="1" fillId="0" borderId="0" xfId="0" applyFont="1" applyFill="1" applyBorder="1" applyProtection="1">
      <protection/>
    </xf>
    <xf numFmtId="0" fontId="1" fillId="0" borderId="14" xfId="0" applyFont="1" applyFill="1" applyBorder="1" applyAlignment="1" applyProtection="1">
      <alignment horizontal="center" vertical="center" wrapText="1"/>
      <protection/>
    </xf>
    <xf numFmtId="0" fontId="1" fillId="0" borderId="14" xfId="0" applyFont="1" applyFill="1" applyBorder="1" applyAlignment="1" applyProtection="1">
      <alignment horizontal="center"/>
      <protection/>
    </xf>
    <xf numFmtId="0" fontId="71" fillId="0" borderId="0" xfId="23" applyFont="1" applyFill="1" applyAlignment="1" applyProtection="1">
      <alignment/>
      <protection/>
    </xf>
    <xf numFmtId="0" fontId="71" fillId="0" borderId="0" xfId="23" applyFont="1" applyFill="1" applyAlignment="1" applyProtection="1">
      <alignment vertical="center"/>
      <protection/>
    </xf>
    <xf numFmtId="0" fontId="73" fillId="0" borderId="0" xfId="0" applyFont="1" applyFill="1" applyAlignment="1">
      <alignment vertical="center"/>
    </xf>
    <xf numFmtId="0" fontId="20" fillId="0" borderId="0" xfId="0" applyFont="1" applyFill="1" applyAlignment="1" applyProtection="1">
      <alignment/>
      <protection/>
    </xf>
    <xf numFmtId="0" fontId="75" fillId="0" borderId="0" xfId="0" applyFont="1" applyFill="1" applyAlignment="1">
      <alignment horizontal="center" vertical="center" wrapText="1"/>
    </xf>
    <xf numFmtId="0" fontId="76" fillId="0" borderId="86" xfId="0" applyFont="1" applyFill="1" applyBorder="1" applyAlignment="1">
      <alignment vertical="center" wrapText="1"/>
    </xf>
    <xf numFmtId="15" fontId="74" fillId="0" borderId="86" xfId="0" applyNumberFormat="1" applyFont="1" applyFill="1" applyBorder="1" applyAlignment="1">
      <alignment horizontal="center" vertical="center" wrapText="1"/>
    </xf>
    <xf numFmtId="0" fontId="76" fillId="0" borderId="87" xfId="0" applyFont="1" applyFill="1" applyBorder="1" applyAlignment="1">
      <alignment vertical="center" wrapText="1"/>
    </xf>
    <xf numFmtId="0" fontId="74" fillId="0" borderId="87" xfId="0" applyFont="1" applyFill="1" applyBorder="1" applyAlignment="1">
      <alignment horizontal="center" vertical="center" wrapText="1"/>
    </xf>
    <xf numFmtId="0" fontId="74" fillId="0" borderId="88" xfId="0" applyFont="1" applyFill="1" applyBorder="1" applyAlignment="1">
      <alignment vertical="center" wrapText="1"/>
    </xf>
    <xf numFmtId="0" fontId="74" fillId="0" borderId="88" xfId="0" applyFont="1" applyFill="1" applyBorder="1" applyAlignment="1">
      <alignment horizontal="center" vertical="center" wrapText="1"/>
    </xf>
    <xf numFmtId="9" fontId="20" fillId="0" borderId="0" xfId="0" applyNumberFormat="1" applyFont="1" applyFill="1" applyProtection="1">
      <protection/>
    </xf>
    <xf numFmtId="10" fontId="20" fillId="0" borderId="0" xfId="0" applyNumberFormat="1" applyFont="1" applyFill="1" applyProtection="1">
      <protection/>
    </xf>
    <xf numFmtId="0" fontId="70" fillId="0" borderId="14" xfId="0" applyFont="1" applyFill="1" applyBorder="1" applyAlignment="1" applyProtection="1">
      <alignment horizontal="center" vertical="center" wrapText="1"/>
      <protection/>
    </xf>
    <xf numFmtId="168" fontId="1" fillId="0" borderId="14" xfId="20" applyNumberFormat="1" applyFont="1" applyFill="1" applyBorder="1" applyAlignment="1" applyProtection="1">
      <alignment horizontal="center" vertical="center" wrapText="1"/>
      <protection/>
    </xf>
    <xf numFmtId="0" fontId="1" fillId="0" borderId="14" xfId="0" applyFont="1" applyFill="1" applyBorder="1" applyAlignment="1" applyProtection="1">
      <alignment/>
      <protection locked="0"/>
    </xf>
    <xf numFmtId="0" fontId="1" fillId="0" borderId="14" xfId="0" applyNumberFormat="1" applyFont="1" applyFill="1" applyBorder="1" applyAlignment="1" applyProtection="1">
      <alignment horizontal="center"/>
      <protection locked="0"/>
    </xf>
    <xf numFmtId="2" fontId="20" fillId="0" borderId="14" xfId="0" applyNumberFormat="1" applyFont="1" applyFill="1" applyBorder="1" applyAlignment="1" applyProtection="1">
      <alignment horizontal="center"/>
      <protection locked="0"/>
    </xf>
    <xf numFmtId="171" fontId="1" fillId="0" borderId="14" xfId="0" applyNumberFormat="1" applyFont="1" applyFill="1" applyBorder="1" applyAlignment="1" applyProtection="1">
      <alignment horizontal="center"/>
      <protection locked="0"/>
    </xf>
    <xf numFmtId="0" fontId="27" fillId="0" borderId="14" xfId="0" applyFont="1" applyFill="1" applyBorder="1" applyProtection="1">
      <protection/>
    </xf>
    <xf numFmtId="177" fontId="20" fillId="0" borderId="14" xfId="20" applyNumberFormat="1" applyFont="1" applyFill="1" applyBorder="1" applyProtection="1">
      <protection/>
    </xf>
    <xf numFmtId="0" fontId="1" fillId="0" borderId="73" xfId="0" applyFont="1" applyFill="1" applyBorder="1" applyAlignment="1" applyProtection="1">
      <alignment horizontal="center" vertical="center" wrapText="1"/>
      <protection/>
    </xf>
    <xf numFmtId="0" fontId="1" fillId="0" borderId="29" xfId="0" applyFont="1" applyFill="1" applyBorder="1" applyAlignment="1" applyProtection="1">
      <alignment horizontal="center" vertical="center" wrapText="1"/>
      <protection/>
    </xf>
    <xf numFmtId="0" fontId="1" fillId="0" borderId="15" xfId="0" applyFont="1" applyFill="1" applyBorder="1" applyAlignment="1" applyProtection="1">
      <alignment horizontal="center"/>
      <protection/>
    </xf>
    <xf numFmtId="0" fontId="1" fillId="0" borderId="12" xfId="0" applyFont="1" applyFill="1" applyBorder="1" applyAlignment="1" applyProtection="1">
      <alignment horizontal="center"/>
      <protection/>
    </xf>
    <xf numFmtId="0" fontId="1" fillId="0" borderId="76" xfId="0" applyFont="1" applyFill="1" applyBorder="1" applyAlignment="1" applyProtection="1">
      <alignment horizontal="center"/>
      <protection/>
    </xf>
    <xf numFmtId="0" fontId="27" fillId="0" borderId="14" xfId="0" applyFont="1" applyFill="1" applyBorder="1" applyProtection="1">
      <protection locked="0"/>
    </xf>
    <xf numFmtId="0" fontId="19" fillId="0" borderId="14" xfId="0" applyFont="1" applyFill="1" applyBorder="1" applyProtection="1">
      <protection/>
    </xf>
    <xf numFmtId="0" fontId="20" fillId="0" borderId="29" xfId="0" applyFont="1" applyFill="1" applyBorder="1" applyAlignment="1" applyProtection="1">
      <alignment horizontal="center" vertical="center" wrapText="1"/>
      <protection/>
    </xf>
    <xf numFmtId="0" fontId="20" fillId="0" borderId="45" xfId="0" applyFont="1" applyFill="1" applyBorder="1" applyAlignment="1" applyProtection="1">
      <alignment horizontal="center" vertical="center" wrapText="1"/>
      <protection/>
    </xf>
    <xf numFmtId="3" fontId="20" fillId="0" borderId="13" xfId="0" applyNumberFormat="1" applyFont="1" applyFill="1" applyBorder="1" applyAlignment="1" applyProtection="1">
      <alignment horizontal="center"/>
      <protection/>
    </xf>
    <xf numFmtId="177" fontId="19" fillId="0" borderId="14" xfId="20" applyNumberFormat="1" applyFont="1" applyFill="1" applyBorder="1" applyProtection="1">
      <protection/>
    </xf>
    <xf numFmtId="0" fontId="19" fillId="0" borderId="0" xfId="0" applyFont="1" applyFill="1" applyBorder="1" applyProtection="1">
      <protection/>
    </xf>
    <xf numFmtId="170" fontId="20" fillId="0" borderId="69" xfId="0" applyNumberFormat="1" applyFont="1" applyFill="1" applyBorder="1" applyAlignment="1" applyProtection="1">
      <alignment horizontal="center"/>
      <protection/>
    </xf>
    <xf numFmtId="3" fontId="20" fillId="0" borderId="69" xfId="0" applyNumberFormat="1" applyFont="1" applyFill="1" applyBorder="1" applyAlignment="1" applyProtection="1">
      <alignment horizontal="center"/>
      <protection/>
    </xf>
    <xf numFmtId="0" fontId="20" fillId="0" borderId="69" xfId="0" applyFont="1" applyFill="1" applyBorder="1" applyAlignment="1" applyProtection="1">
      <alignment horizontal="center"/>
      <protection/>
    </xf>
    <xf numFmtId="0" fontId="20" fillId="0" borderId="32" xfId="0" applyFont="1" applyFill="1" applyBorder="1" applyAlignment="1" applyProtection="1">
      <alignment horizontal="center"/>
      <protection/>
    </xf>
    <xf numFmtId="8" fontId="20" fillId="0" borderId="67" xfId="0" applyNumberFormat="1" applyFont="1" applyFill="1" applyBorder="1" applyProtection="1">
      <protection/>
    </xf>
    <xf numFmtId="170" fontId="20" fillId="0" borderId="0" xfId="0" applyNumberFormat="1" applyFont="1" applyFill="1" applyBorder="1" applyAlignment="1" applyProtection="1">
      <alignment horizontal="center"/>
      <protection/>
    </xf>
    <xf numFmtId="0" fontId="20" fillId="0" borderId="0" xfId="0" applyFont="1" applyFill="1" applyBorder="1" applyAlignment="1" applyProtection="1">
      <alignment/>
      <protection/>
    </xf>
    <xf numFmtId="0" fontId="1" fillId="0" borderId="0" xfId="0" applyFont="1" applyFill="1" applyBorder="1" applyAlignment="1" applyProtection="1">
      <alignment/>
      <protection/>
    </xf>
    <xf numFmtId="0" fontId="19" fillId="0" borderId="14" xfId="0" applyFont="1" applyFill="1" applyBorder="1" applyAlignment="1">
      <alignment horizontal="center" vertical="center" wrapText="1"/>
    </xf>
    <xf numFmtId="168" fontId="20" fillId="0" borderId="14" xfId="20" applyNumberFormat="1" applyFont="1" applyFill="1" applyBorder="1" applyAlignment="1" applyProtection="1">
      <alignment horizontal="center"/>
      <protection/>
    </xf>
    <xf numFmtId="2" fontId="20" fillId="0" borderId="14" xfId="0" applyNumberFormat="1" applyFont="1" applyFill="1" applyBorder="1" applyAlignment="1" applyProtection="1">
      <alignment horizontal="center"/>
      <protection/>
    </xf>
    <xf numFmtId="173" fontId="20" fillId="0" borderId="14" xfId="0" applyNumberFormat="1" applyFont="1" applyFill="1" applyBorder="1" applyAlignment="1" applyProtection="1">
      <alignment horizontal="center"/>
      <protection/>
    </xf>
    <xf numFmtId="168" fontId="20" fillId="0" borderId="0" xfId="20" applyNumberFormat="1" applyFont="1" applyFill="1" applyBorder="1" applyAlignment="1" applyProtection="1">
      <alignment horizontal="center"/>
      <protection/>
    </xf>
    <xf numFmtId="173" fontId="20" fillId="0" borderId="0" xfId="0" applyNumberFormat="1" applyFont="1" applyFill="1" applyBorder="1" applyAlignment="1" applyProtection="1">
      <alignment horizontal="center"/>
      <protection/>
    </xf>
    <xf numFmtId="0" fontId="1" fillId="0" borderId="14" xfId="0" applyFont="1" applyFill="1" applyBorder="1" applyAlignment="1" applyProtection="1">
      <alignment horizontal="left"/>
      <protection/>
    </xf>
    <xf numFmtId="0" fontId="31" fillId="0" borderId="0" xfId="0" applyFont="1" applyFill="1" applyBorder="1" applyAlignment="1" applyProtection="1">
      <alignment vertical="center"/>
      <protection/>
    </xf>
    <xf numFmtId="0" fontId="1" fillId="0" borderId="0" xfId="0" applyFont="1" applyFill="1" applyBorder="1" applyAlignment="1" applyProtection="1">
      <alignment horizontal="left"/>
      <protection/>
    </xf>
    <xf numFmtId="2" fontId="20" fillId="0" borderId="14" xfId="0" applyNumberFormat="1" applyFont="1" applyFill="1" applyBorder="1" applyAlignment="1" applyProtection="1">
      <alignment horizontal="center" vertical="center"/>
      <protection/>
    </xf>
    <xf numFmtId="0" fontId="29" fillId="0" borderId="0" xfId="0" applyFont="1" applyFill="1" applyBorder="1" applyAlignment="1" applyProtection="1">
      <alignment horizontal="left" vertical="center"/>
      <protection/>
    </xf>
    <xf numFmtId="0" fontId="29" fillId="0" borderId="0" xfId="0" applyFont="1" applyFill="1" applyBorder="1" applyAlignment="1" applyProtection="1">
      <alignment horizontal="center" vertical="center"/>
      <protection/>
    </xf>
    <xf numFmtId="0" fontId="20" fillId="0" borderId="14" xfId="0" applyFont="1" applyFill="1" applyBorder="1" applyAlignment="1" applyProtection="1">
      <alignment/>
      <protection locked="0"/>
    </xf>
    <xf numFmtId="8" fontId="20" fillId="0" borderId="14" xfId="0" applyNumberFormat="1" applyFont="1" applyFill="1" applyBorder="1" applyAlignment="1" applyProtection="1">
      <alignment horizontal="center"/>
      <protection/>
    </xf>
    <xf numFmtId="0" fontId="1" fillId="0" borderId="14" xfId="0" applyFont="1" applyFill="1" applyBorder="1" applyProtection="1">
      <protection locked="0"/>
    </xf>
    <xf numFmtId="0" fontId="1" fillId="0" borderId="14" xfId="0" applyFont="1" applyFill="1" applyBorder="1" applyAlignment="1" applyProtection="1">
      <alignment horizontal="center" vertical="center"/>
      <protection/>
    </xf>
    <xf numFmtId="0" fontId="31" fillId="0" borderId="0" xfId="0" applyFont="1" applyFill="1" applyBorder="1" applyAlignment="1" applyProtection="1">
      <alignment horizontal="center" vertical="center"/>
      <protection/>
    </xf>
    <xf numFmtId="170" fontId="20" fillId="0" borderId="14" xfId="0" applyNumberFormat="1" applyFont="1" applyFill="1" applyBorder="1" applyAlignment="1" applyProtection="1">
      <alignment horizontal="center" vertical="center"/>
      <protection/>
    </xf>
    <xf numFmtId="9" fontId="20" fillId="0" borderId="0" xfId="0" applyNumberFormat="1" applyFont="1" applyFill="1" applyBorder="1" applyAlignment="1" applyProtection="1">
      <alignment horizontal="center"/>
      <protection/>
    </xf>
    <xf numFmtId="0" fontId="20" fillId="0" borderId="0" xfId="0" applyFont="1" applyFill="1" applyBorder="1" applyAlignment="1" applyProtection="1">
      <alignment horizontal="left" vertical="center"/>
      <protection/>
    </xf>
    <xf numFmtId="178" fontId="20" fillId="0" borderId="14" xfId="0" applyNumberFormat="1" applyFont="1" applyFill="1" applyBorder="1" applyProtection="1">
      <protection/>
    </xf>
    <xf numFmtId="0" fontId="1" fillId="0" borderId="31" xfId="0" applyFont="1" applyFill="1" applyBorder="1" applyAlignment="1" applyProtection="1">
      <alignment horizontal="center"/>
      <protection/>
    </xf>
    <xf numFmtId="0" fontId="1" fillId="0" borderId="30" xfId="0" applyFont="1" applyFill="1" applyBorder="1" applyProtection="1">
      <protection/>
    </xf>
    <xf numFmtId="0" fontId="1" fillId="0" borderId="0" xfId="0" applyFont="1" applyFill="1" applyProtection="1">
      <protection/>
    </xf>
    <xf numFmtId="0" fontId="1" fillId="0" borderId="22" xfId="0" applyFont="1" applyFill="1" applyBorder="1" applyProtection="1">
      <protection/>
    </xf>
    <xf numFmtId="0" fontId="20" fillId="0" borderId="30" xfId="0" applyFont="1" applyFill="1" applyBorder="1" applyProtection="1">
      <protection/>
    </xf>
    <xf numFmtId="0" fontId="20" fillId="0" borderId="43" xfId="0" applyFont="1" applyFill="1" applyBorder="1" applyProtection="1">
      <protection/>
    </xf>
    <xf numFmtId="0" fontId="20" fillId="0" borderId="19" xfId="0" applyFont="1" applyFill="1" applyBorder="1" applyProtection="1">
      <protection/>
    </xf>
    <xf numFmtId="0" fontId="20" fillId="0" borderId="74" xfId="0" applyFont="1" applyFill="1" applyBorder="1" applyProtection="1">
      <protection/>
    </xf>
    <xf numFmtId="0" fontId="20" fillId="0" borderId="77" xfId="0" applyFont="1" applyFill="1" applyBorder="1" applyProtection="1">
      <protection/>
    </xf>
    <xf numFmtId="0" fontId="20" fillId="0" borderId="22" xfId="0" applyFont="1" applyFill="1" applyBorder="1" applyProtection="1">
      <protection/>
    </xf>
    <xf numFmtId="0" fontId="20" fillId="0" borderId="65" xfId="0" applyFont="1" applyFill="1" applyBorder="1" applyProtection="1">
      <protection/>
    </xf>
    <xf numFmtId="173" fontId="20" fillId="0" borderId="14" xfId="0" applyNumberFormat="1" applyFont="1" applyFill="1" applyBorder="1" applyAlignment="1" applyProtection="1">
      <alignment horizontal="center" vertical="center"/>
      <protection/>
    </xf>
    <xf numFmtId="0" fontId="20" fillId="0" borderId="0" xfId="0" applyFont="1" applyFill="1" applyBorder="1" applyAlignment="1" applyProtection="1">
      <alignment horizontal="center" vertical="center"/>
      <protection/>
    </xf>
    <xf numFmtId="2" fontId="20" fillId="0" borderId="0" xfId="0" applyNumberFormat="1" applyFont="1" applyFill="1" applyBorder="1" applyAlignment="1" applyProtection="1">
      <alignment horizontal="center" vertical="center"/>
      <protection/>
    </xf>
    <xf numFmtId="0" fontId="20" fillId="0" borderId="14" xfId="0" applyFont="1" applyFill="1" applyBorder="1" applyAlignment="1">
      <alignment horizontal="left" vertical="center"/>
    </xf>
    <xf numFmtId="43" fontId="20" fillId="0" borderId="14" xfId="0" applyNumberFormat="1" applyFont="1" applyFill="1" applyBorder="1" applyAlignment="1" applyProtection="1">
      <alignment horizontal="center" vertical="center" wrapText="1"/>
      <protection/>
    </xf>
    <xf numFmtId="168" fontId="19" fillId="0" borderId="14" xfId="20" applyNumberFormat="1" applyFont="1" applyFill="1" applyBorder="1" applyAlignment="1" applyProtection="1">
      <alignment horizontal="center" vertical="center"/>
      <protection/>
    </xf>
    <xf numFmtId="43" fontId="19" fillId="0" borderId="14" xfId="0" applyNumberFormat="1" applyFont="1" applyFill="1" applyBorder="1" applyAlignment="1" applyProtection="1">
      <alignment horizontal="center" vertical="center" wrapText="1"/>
      <protection/>
    </xf>
    <xf numFmtId="179" fontId="20" fillId="0" borderId="14" xfId="0" applyNumberFormat="1" applyFont="1" applyFill="1" applyBorder="1" applyProtection="1">
      <protection/>
    </xf>
    <xf numFmtId="168" fontId="20" fillId="0" borderId="14" xfId="20" applyNumberFormat="1" applyFont="1" applyFill="1" applyBorder="1" applyProtection="1">
      <protection/>
    </xf>
    <xf numFmtId="43" fontId="20" fillId="0" borderId="14" xfId="20" applyNumberFormat="1" applyFont="1" applyFill="1" applyBorder="1" applyProtection="1">
      <protection/>
    </xf>
    <xf numFmtId="43" fontId="20" fillId="0" borderId="0" xfId="0" applyNumberFormat="1" applyFont="1" applyFill="1" applyProtection="1">
      <protection/>
    </xf>
    <xf numFmtId="0" fontId="63" fillId="0" borderId="14" xfId="0" applyFont="1" applyFill="1" applyBorder="1" applyAlignment="1" applyProtection="1">
      <alignment horizontal="center"/>
      <protection/>
    </xf>
    <xf numFmtId="1" fontId="64" fillId="0" borderId="14" xfId="0" applyNumberFormat="1" applyFont="1" applyFill="1" applyBorder="1" applyAlignment="1" applyProtection="1">
      <alignment horizontal="center" vertical="center"/>
      <protection/>
    </xf>
    <xf numFmtId="2" fontId="3" fillId="0" borderId="14" xfId="0" applyNumberFormat="1" applyFont="1" applyBorder="1" applyAlignment="1">
      <alignment horizontal="center" vertical="center"/>
    </xf>
    <xf numFmtId="184" fontId="3" fillId="0" borderId="14" xfId="0" applyNumberFormat="1" applyFont="1" applyBorder="1" applyAlignment="1">
      <alignment horizontal="center" vertical="center"/>
    </xf>
    <xf numFmtId="178" fontId="0" fillId="0" borderId="0" xfId="0" applyNumberFormat="1" applyFont="1"/>
    <xf numFmtId="173" fontId="0" fillId="0" borderId="0" xfId="0" applyNumberFormat="1" applyFont="1"/>
    <xf numFmtId="177" fontId="0" fillId="0" borderId="0" xfId="0" applyNumberFormat="1" applyFont="1"/>
    <xf numFmtId="43" fontId="78" fillId="21" borderId="76" xfId="20" applyNumberFormat="1" applyFont="1" applyFill="1" applyBorder="1" applyAlignment="1">
      <alignment horizontal="center" vertical="center" wrapText="1"/>
    </xf>
    <xf numFmtId="44" fontId="78" fillId="21" borderId="69" xfId="21" applyFont="1" applyFill="1" applyBorder="1" applyAlignment="1">
      <alignment horizontal="center" vertical="center" wrapText="1"/>
    </xf>
    <xf numFmtId="43" fontId="78" fillId="21" borderId="69" xfId="20" applyNumberFormat="1" applyFont="1" applyFill="1" applyBorder="1" applyAlignment="1">
      <alignment horizontal="center" vertical="center" wrapText="1"/>
    </xf>
    <xf numFmtId="43" fontId="78" fillId="21" borderId="32" xfId="20" applyNumberFormat="1" applyFont="1" applyFill="1" applyBorder="1" applyAlignment="1">
      <alignment horizontal="center" vertical="center" wrapText="1"/>
    </xf>
    <xf numFmtId="0" fontId="79" fillId="0" borderId="18" xfId="0" applyFont="1" applyBorder="1"/>
    <xf numFmtId="166" fontId="79" fillId="0" borderId="17" xfId="21" applyNumberFormat="1" applyFont="1" applyFill="1" applyBorder="1"/>
    <xf numFmtId="10" fontId="79" fillId="0" borderId="17" xfId="22" applyNumberFormat="1" applyFont="1" applyFill="1" applyBorder="1" applyAlignment="1">
      <alignment horizontal="center" vertical="center"/>
    </xf>
    <xf numFmtId="10" fontId="79" fillId="0" borderId="16" xfId="22" applyNumberFormat="1" applyFont="1" applyFill="1" applyBorder="1" applyAlignment="1">
      <alignment horizontal="center" vertical="center"/>
    </xf>
    <xf numFmtId="0" fontId="79" fillId="0" borderId="15" xfId="0" applyFont="1" applyBorder="1"/>
    <xf numFmtId="166" fontId="79" fillId="0" borderId="14" xfId="21" applyNumberFormat="1" applyFont="1" applyBorder="1"/>
    <xf numFmtId="10" fontId="79" fillId="0" borderId="14" xfId="22" applyNumberFormat="1" applyFont="1" applyFill="1" applyBorder="1" applyAlignment="1">
      <alignment horizontal="center" vertical="center"/>
    </xf>
    <xf numFmtId="10" fontId="79" fillId="0" borderId="13" xfId="22" applyNumberFormat="1" applyFont="1" applyFill="1" applyBorder="1" applyAlignment="1">
      <alignment horizontal="center" vertical="center"/>
    </xf>
    <xf numFmtId="0" fontId="79" fillId="0" borderId="71" xfId="0" applyFont="1" applyBorder="1"/>
    <xf numFmtId="166" fontId="79" fillId="0" borderId="26" xfId="21" applyNumberFormat="1" applyFont="1" applyBorder="1"/>
    <xf numFmtId="0" fontId="80" fillId="0" borderId="76" xfId="0" applyFont="1" applyBorder="1"/>
    <xf numFmtId="166" fontId="80" fillId="0" borderId="69" xfId="21" applyNumberFormat="1" applyFont="1" applyBorder="1"/>
    <xf numFmtId="10" fontId="80" fillId="0" borderId="69" xfId="22" applyNumberFormat="1" applyFont="1" applyBorder="1" applyAlignment="1">
      <alignment horizontal="center" vertical="center"/>
    </xf>
    <xf numFmtId="10" fontId="80" fillId="0" borderId="32" xfId="22" applyNumberFormat="1" applyFont="1" applyBorder="1" applyAlignment="1">
      <alignment horizontal="center" vertical="center"/>
    </xf>
    <xf numFmtId="0" fontId="0" fillId="0" borderId="63" xfId="0" applyFont="1" applyBorder="1"/>
    <xf numFmtId="0" fontId="17" fillId="0" borderId="63" xfId="0" applyFont="1" applyBorder="1"/>
    <xf numFmtId="185" fontId="0" fillId="0" borderId="0" xfId="22" applyNumberFormat="1" applyFont="1"/>
    <xf numFmtId="186" fontId="0" fillId="0" borderId="0" xfId="22" applyNumberFormat="1" applyFont="1"/>
    <xf numFmtId="43" fontId="3" fillId="4" borderId="0" xfId="20" applyFont="1" applyFill="1"/>
    <xf numFmtId="1" fontId="0" fillId="0" borderId="14" xfId="0" applyNumberFormat="1" applyFont="1" applyBorder="1" applyAlignment="1">
      <alignment horizontal="left" vertical="center" indent="5"/>
    </xf>
    <xf numFmtId="185" fontId="0" fillId="0" borderId="14" xfId="22" applyNumberFormat="1" applyFont="1" applyBorder="1" applyAlignment="1">
      <alignment horizontal="center" vertical="center"/>
    </xf>
    <xf numFmtId="185" fontId="0" fillId="0" borderId="17" xfId="22" applyNumberFormat="1" applyFont="1" applyBorder="1" applyAlignment="1">
      <alignment horizontal="center" vertical="center"/>
    </xf>
    <xf numFmtId="185" fontId="0" fillId="0" borderId="16" xfId="22" applyNumberFormat="1" applyFont="1" applyBorder="1" applyAlignment="1">
      <alignment horizontal="center" vertical="center"/>
    </xf>
    <xf numFmtId="185" fontId="0" fillId="0" borderId="13" xfId="22" applyNumberFormat="1" applyFont="1" applyBorder="1" applyAlignment="1">
      <alignment horizontal="center" vertical="center"/>
    </xf>
    <xf numFmtId="168" fontId="3" fillId="0" borderId="69" xfId="20" applyNumberFormat="1" applyFont="1" applyBorder="1" applyAlignment="1">
      <alignment horizontal="center" vertical="center"/>
    </xf>
    <xf numFmtId="0" fontId="0" fillId="22" borderId="63" xfId="0" applyFont="1" applyFill="1" applyBorder="1"/>
    <xf numFmtId="0" fontId="17" fillId="22" borderId="63" xfId="0" applyFont="1" applyFill="1" applyBorder="1"/>
    <xf numFmtId="0" fontId="0" fillId="22" borderId="63" xfId="0" applyFont="1" applyFill="1" applyBorder="1" applyAlignment="1">
      <alignment horizontal="left"/>
    </xf>
    <xf numFmtId="0" fontId="0" fillId="22" borderId="0" xfId="0" applyFont="1" applyFill="1"/>
    <xf numFmtId="0" fontId="20" fillId="0" borderId="19" xfId="0" applyFont="1" applyFill="1" applyBorder="1" applyAlignment="1">
      <alignment horizontal="left"/>
    </xf>
    <xf numFmtId="44" fontId="21" fillId="0" borderId="0" xfId="21" applyNumberFormat="1" applyFont="1" applyFill="1" applyBorder="1" applyAlignment="1">
      <alignment horizontal="center"/>
    </xf>
    <xf numFmtId="44" fontId="21" fillId="0" borderId="78" xfId="21" applyNumberFormat="1" applyFont="1" applyFill="1" applyBorder="1" applyAlignment="1">
      <alignment horizontal="center"/>
    </xf>
    <xf numFmtId="0" fontId="20" fillId="0" borderId="26" xfId="0" applyFont="1" applyBorder="1" applyAlignment="1">
      <alignment horizontal="center"/>
    </xf>
    <xf numFmtId="43" fontId="18" fillId="0" borderId="24" xfId="20" applyFont="1" applyFill="1" applyBorder="1" applyAlignment="1">
      <alignment horizontal="center" vertical="top"/>
    </xf>
    <xf numFmtId="168" fontId="0" fillId="0" borderId="0" xfId="20" applyNumberFormat="1" applyFont="1" applyAlignment="1">
      <alignment vertical="top"/>
    </xf>
    <xf numFmtId="168" fontId="0" fillId="0" borderId="0" xfId="0" applyNumberFormat="1"/>
    <xf numFmtId="0" fontId="0" fillId="0" borderId="0" xfId="0" applyAlignment="1">
      <alignment wrapText="1"/>
    </xf>
    <xf numFmtId="3" fontId="21" fillId="0" borderId="0" xfId="21" applyNumberFormat="1" applyFont="1" applyFill="1" applyBorder="1" applyAlignment="1">
      <alignment horizontal="center"/>
    </xf>
    <xf numFmtId="187" fontId="0" fillId="0" borderId="0" xfId="0" applyNumberFormat="1"/>
    <xf numFmtId="0" fontId="24" fillId="10" borderId="76" xfId="0" applyFont="1" applyFill="1" applyBorder="1" applyAlignment="1">
      <alignment horizontal="center" vertical="top" wrapText="1"/>
    </xf>
    <xf numFmtId="0" fontId="4" fillId="0" borderId="0" xfId="0" applyFont="1"/>
    <xf numFmtId="0" fontId="4" fillId="0" borderId="0" xfId="0" applyFont="1" applyAlignment="1">
      <alignment horizontal="center" wrapText="1"/>
    </xf>
    <xf numFmtId="0" fontId="4" fillId="0" borderId="0" xfId="0" applyFont="1" applyAlignment="1">
      <alignment horizontal="left" wrapText="1"/>
    </xf>
    <xf numFmtId="0" fontId="13" fillId="0" borderId="14" xfId="0" applyFont="1" applyBorder="1" applyAlignment="1">
      <alignment wrapText="1"/>
    </xf>
    <xf numFmtId="0" fontId="13" fillId="0" borderId="14" xfId="0" applyFont="1" applyBorder="1" applyAlignment="1">
      <alignment horizontal="center" wrapText="1"/>
    </xf>
    <xf numFmtId="0" fontId="13" fillId="0" borderId="14" xfId="0" applyFont="1" applyBorder="1" applyAlignment="1">
      <alignment horizontal="left" wrapText="1"/>
    </xf>
    <xf numFmtId="0" fontId="4" fillId="0" borderId="14" xfId="0" applyFont="1" applyBorder="1"/>
    <xf numFmtId="168" fontId="4" fillId="0" borderId="14" xfId="20" applyNumberFormat="1" applyFont="1" applyBorder="1"/>
    <xf numFmtId="3" fontId="4" fillId="0" borderId="14" xfId="0" applyNumberFormat="1" applyFont="1" applyBorder="1"/>
    <xf numFmtId="185" fontId="4" fillId="0" borderId="14" xfId="22" applyNumberFormat="1" applyFont="1" applyBorder="1" applyAlignment="1">
      <alignment horizontal="center" wrapText="1"/>
    </xf>
    <xf numFmtId="0" fontId="4" fillId="0" borderId="14" xfId="0" applyFont="1" applyBorder="1" applyAlignment="1">
      <alignment horizontal="center" wrapText="1"/>
    </xf>
    <xf numFmtId="168" fontId="4" fillId="0" borderId="14" xfId="20" applyNumberFormat="1" applyFont="1" applyBorder="1" applyAlignment="1">
      <alignment horizontal="center" wrapText="1"/>
    </xf>
    <xf numFmtId="3" fontId="4" fillId="0" borderId="14" xfId="0" applyNumberFormat="1" applyFont="1" applyBorder="1" applyAlignment="1">
      <alignment horizontal="left" wrapText="1"/>
    </xf>
    <xf numFmtId="9" fontId="4" fillId="0" borderId="14" xfId="22" applyFont="1" applyBorder="1" applyAlignment="1">
      <alignment horizontal="center" wrapText="1"/>
    </xf>
    <xf numFmtId="9" fontId="4" fillId="0" borderId="14" xfId="0" applyNumberFormat="1" applyFont="1" applyBorder="1" applyAlignment="1">
      <alignment horizontal="center" wrapText="1"/>
    </xf>
    <xf numFmtId="168" fontId="4" fillId="0" borderId="0" xfId="0" applyNumberFormat="1" applyFont="1" applyAlignment="1">
      <alignment horizontal="center" wrapText="1"/>
    </xf>
    <xf numFmtId="168" fontId="4" fillId="0" borderId="0" xfId="0" applyNumberFormat="1" applyFont="1"/>
    <xf numFmtId="0" fontId="0" fillId="14" borderId="53" xfId="0" applyFont="1" applyFill="1" applyBorder="1" applyAlignment="1">
      <alignment wrapText="1"/>
    </xf>
    <xf numFmtId="0" fontId="0" fillId="0" borderId="67" xfId="0" applyFont="1" applyFill="1" applyBorder="1" applyAlignment="1">
      <alignment wrapText="1"/>
    </xf>
    <xf numFmtId="0" fontId="20" fillId="0" borderId="0" xfId="0" applyFont="1" applyFill="1" applyBorder="1" applyAlignment="1">
      <alignment horizontal="center" wrapText="1"/>
    </xf>
    <xf numFmtId="0" fontId="16" fillId="10" borderId="61" xfId="0" applyFont="1" applyFill="1" applyBorder="1" applyAlignment="1">
      <alignment wrapText="1"/>
    </xf>
    <xf numFmtId="44" fontId="20" fillId="0" borderId="37" xfId="0" applyNumberFormat="1" applyFont="1" applyFill="1" applyBorder="1" applyAlignment="1">
      <alignment horizontal="center" wrapText="1"/>
    </xf>
    <xf numFmtId="44" fontId="20" fillId="0" borderId="14" xfId="0" applyNumberFormat="1" applyFont="1" applyFill="1" applyBorder="1" applyAlignment="1">
      <alignment horizontal="center" wrapText="1"/>
    </xf>
    <xf numFmtId="44" fontId="0" fillId="0" borderId="54" xfId="21" applyNumberFormat="1" applyFont="1" applyFill="1" applyBorder="1" applyAlignment="1">
      <alignment horizontal="center" wrapText="1"/>
    </xf>
    <xf numFmtId="44" fontId="19" fillId="0" borderId="60" xfId="21" applyFont="1" applyFill="1" applyBorder="1" applyAlignment="1">
      <alignment horizontal="center" wrapText="1"/>
    </xf>
    <xf numFmtId="0" fontId="20" fillId="10" borderId="55" xfId="0" applyFont="1" applyFill="1" applyBorder="1" applyAlignment="1">
      <alignment wrapText="1"/>
    </xf>
    <xf numFmtId="44" fontId="20" fillId="0" borderId="28" xfId="0" applyNumberFormat="1" applyFont="1" applyFill="1" applyBorder="1" applyAlignment="1">
      <alignment horizontal="center" wrapText="1"/>
    </xf>
    <xf numFmtId="44" fontId="19" fillId="0" borderId="68" xfId="0" applyNumberFormat="1" applyFont="1" applyFill="1" applyBorder="1" applyAlignment="1">
      <alignment horizontal="center" wrapText="1"/>
    </xf>
    <xf numFmtId="44" fontId="23" fillId="9" borderId="21" xfId="0" applyNumberFormat="1" applyFont="1" applyFill="1" applyBorder="1" applyAlignment="1">
      <alignment horizontal="center" wrapText="1"/>
    </xf>
    <xf numFmtId="0" fontId="19" fillId="0" borderId="0" xfId="0" applyFont="1" applyFill="1" applyBorder="1" applyAlignment="1">
      <alignment horizontal="center" wrapText="1"/>
    </xf>
    <xf numFmtId="0" fontId="22" fillId="9" borderId="63" xfId="0" applyFont="1" applyFill="1" applyBorder="1" applyAlignment="1">
      <alignment horizontal="center" wrapText="1"/>
    </xf>
    <xf numFmtId="0" fontId="0" fillId="0" borderId="56" xfId="0" applyFont="1" applyFill="1" applyBorder="1" applyAlignment="1">
      <alignment horizontal="center" wrapText="1"/>
    </xf>
    <xf numFmtId="0" fontId="15" fillId="7" borderId="22" xfId="0" applyFont="1" applyFill="1" applyBorder="1" applyAlignment="1">
      <alignment wrapText="1"/>
    </xf>
    <xf numFmtId="0" fontId="3" fillId="0" borderId="52" xfId="0" applyFont="1" applyFill="1" applyBorder="1" applyAlignment="1">
      <alignment wrapText="1"/>
    </xf>
    <xf numFmtId="44" fontId="3" fillId="9" borderId="21" xfId="21" applyFont="1" applyFill="1" applyBorder="1" applyAlignment="1">
      <alignment wrapText="1"/>
    </xf>
    <xf numFmtId="0" fontId="20" fillId="0" borderId="56" xfId="0" applyFont="1" applyFill="1" applyBorder="1" applyAlignment="1">
      <alignment horizontal="center" wrapText="1"/>
    </xf>
    <xf numFmtId="0" fontId="15" fillId="7" borderId="0" xfId="0" applyFont="1" applyFill="1" applyBorder="1" applyAlignment="1">
      <alignment wrapText="1"/>
    </xf>
    <xf numFmtId="0" fontId="0" fillId="0" borderId="14" xfId="0" applyFont="1" applyFill="1" applyBorder="1" applyAlignment="1">
      <alignment horizontal="center" wrapText="1"/>
    </xf>
    <xf numFmtId="0" fontId="0" fillId="0" borderId="30" xfId="0" applyFont="1" applyFill="1" applyBorder="1" applyAlignment="1">
      <alignment wrapText="1"/>
    </xf>
    <xf numFmtId="0" fontId="15" fillId="0" borderId="0" xfId="0" applyFont="1" applyFill="1" applyBorder="1" applyAlignment="1">
      <alignment horizontal="center" vertical="center" wrapText="1"/>
    </xf>
    <xf numFmtId="0" fontId="3" fillId="6" borderId="11" xfId="0" applyFont="1" applyFill="1" applyBorder="1" applyAlignment="1">
      <alignment wrapText="1"/>
    </xf>
    <xf numFmtId="0" fontId="16" fillId="9" borderId="14" xfId="0" applyFont="1" applyFill="1" applyBorder="1" applyAlignment="1">
      <alignment horizontal="center"/>
    </xf>
    <xf numFmtId="0" fontId="20" fillId="0" borderId="14" xfId="0" applyFont="1" applyFill="1" applyBorder="1" applyAlignment="1">
      <alignment horizontal="center" wrapText="1"/>
    </xf>
    <xf numFmtId="44" fontId="18" fillId="0" borderId="14" xfId="21" applyNumberFormat="1" applyFont="1" applyFill="1" applyBorder="1" applyAlignment="1">
      <alignment horizontal="center"/>
    </xf>
    <xf numFmtId="0" fontId="18" fillId="0" borderId="14" xfId="21" applyNumberFormat="1" applyFont="1" applyFill="1" applyBorder="1" applyAlignment="1">
      <alignment horizontal="center"/>
    </xf>
    <xf numFmtId="0" fontId="21" fillId="0" borderId="14" xfId="21" applyNumberFormat="1" applyFont="1" applyFill="1" applyBorder="1" applyAlignment="1">
      <alignment horizontal="center"/>
    </xf>
    <xf numFmtId="0" fontId="15" fillId="7" borderId="14" xfId="0" applyFont="1" applyFill="1" applyBorder="1"/>
    <xf numFmtId="0" fontId="22" fillId="9" borderId="14" xfId="0" applyFont="1" applyFill="1" applyBorder="1" applyAlignment="1">
      <alignment horizontal="center" wrapText="1"/>
    </xf>
    <xf numFmtId="0" fontId="22" fillId="9" borderId="14" xfId="0" applyFont="1" applyFill="1" applyBorder="1" applyAlignment="1">
      <alignment horizontal="left"/>
    </xf>
    <xf numFmtId="2" fontId="22" fillId="9" borderId="14" xfId="0" applyNumberFormat="1" applyFont="1" applyFill="1" applyBorder="1" applyAlignment="1">
      <alignment horizontal="center" wrapText="1"/>
    </xf>
    <xf numFmtId="174" fontId="18" fillId="0" borderId="14" xfId="20" applyNumberFormat="1" applyFont="1" applyFill="1" applyBorder="1" applyAlignment="1">
      <alignment horizontal="center"/>
    </xf>
    <xf numFmtId="174" fontId="21" fillId="0" borderId="14" xfId="20" applyNumberFormat="1" applyFont="1" applyFill="1" applyBorder="1" applyAlignment="1">
      <alignment horizontal="center"/>
    </xf>
    <xf numFmtId="174" fontId="22" fillId="9" borderId="14" xfId="0" applyNumberFormat="1" applyFont="1" applyFill="1" applyBorder="1" applyAlignment="1">
      <alignment horizontal="center" wrapText="1"/>
    </xf>
    <xf numFmtId="0" fontId="20" fillId="0" borderId="0" xfId="0" applyFont="1" applyFill="1" applyBorder="1" applyAlignment="1">
      <alignment horizontal="center" vertical="top" wrapText="1"/>
    </xf>
    <xf numFmtId="0" fontId="19" fillId="10" borderId="29" xfId="0" applyFont="1" applyFill="1" applyBorder="1" applyAlignment="1">
      <alignment horizontal="center" vertical="top" wrapText="1"/>
    </xf>
    <xf numFmtId="0" fontId="20" fillId="0" borderId="14" xfId="0" applyFont="1" applyFill="1" applyBorder="1" applyAlignment="1">
      <alignment horizontal="left" vertical="top" wrapText="1"/>
    </xf>
    <xf numFmtId="0" fontId="20" fillId="0" borderId="37" xfId="0" applyFont="1" applyFill="1" applyBorder="1" applyAlignment="1">
      <alignment horizontal="left" vertical="top" wrapText="1"/>
    </xf>
    <xf numFmtId="0" fontId="20" fillId="0" borderId="74" xfId="0" applyFont="1" applyFill="1" applyBorder="1" applyAlignment="1">
      <alignment horizontal="left" vertical="top" wrapText="1"/>
    </xf>
    <xf numFmtId="0" fontId="19" fillId="0" borderId="73" xfId="0" applyFont="1" applyFill="1" applyBorder="1" applyAlignment="1">
      <alignment horizontal="left" vertical="top" wrapText="1"/>
    </xf>
    <xf numFmtId="0" fontId="19" fillId="10" borderId="71" xfId="0" applyFont="1" applyFill="1" applyBorder="1" applyAlignment="1">
      <alignment horizontal="center" vertical="top" wrapText="1"/>
    </xf>
    <xf numFmtId="0" fontId="20" fillId="0" borderId="27" xfId="0" applyFont="1" applyFill="1" applyBorder="1" applyAlignment="1">
      <alignment horizontal="left" vertical="top" wrapText="1"/>
    </xf>
    <xf numFmtId="0" fontId="19" fillId="0" borderId="69" xfId="0" applyFont="1" applyFill="1" applyBorder="1" applyAlignment="1">
      <alignment horizontal="left" vertical="top" wrapText="1"/>
    </xf>
    <xf numFmtId="0" fontId="15" fillId="7" borderId="66" xfId="0" applyFont="1" applyFill="1" applyBorder="1" applyAlignment="1">
      <alignment horizontal="center" vertical="top" wrapText="1"/>
    </xf>
    <xf numFmtId="0" fontId="19" fillId="0" borderId="0" xfId="0" applyFont="1" applyFill="1" applyBorder="1" applyAlignment="1">
      <alignment horizontal="center" vertical="top" wrapText="1"/>
    </xf>
    <xf numFmtId="0" fontId="0" fillId="0" borderId="39" xfId="0" applyFill="1" applyBorder="1" applyAlignment="1">
      <alignment horizontal="left" vertical="top" wrapText="1"/>
    </xf>
    <xf numFmtId="0" fontId="15" fillId="7" borderId="77" xfId="0" applyFont="1" applyFill="1" applyBorder="1" applyAlignment="1">
      <alignment vertical="top" wrapText="1"/>
    </xf>
    <xf numFmtId="0" fontId="3" fillId="0" borderId="23" xfId="0" applyFont="1" applyFill="1" applyBorder="1" applyAlignment="1">
      <alignment vertical="top" wrapText="1"/>
    </xf>
    <xf numFmtId="0" fontId="16" fillId="9" borderId="19" xfId="0" applyFont="1" applyFill="1" applyBorder="1" applyAlignment="1">
      <alignment horizontal="center" vertical="top" wrapText="1"/>
    </xf>
    <xf numFmtId="0" fontId="16" fillId="9" borderId="18" xfId="0" applyFont="1" applyFill="1" applyBorder="1" applyAlignment="1">
      <alignment horizontal="center" vertical="top" wrapText="1"/>
    </xf>
    <xf numFmtId="0" fontId="20" fillId="0" borderId="39" xfId="0" applyFont="1" applyFill="1" applyBorder="1" applyAlignment="1">
      <alignment horizontal="left" vertical="top" wrapText="1"/>
    </xf>
    <xf numFmtId="0" fontId="15" fillId="7" borderId="19" xfId="0" applyFont="1" applyFill="1" applyBorder="1" applyAlignment="1">
      <alignment vertical="top" wrapText="1"/>
    </xf>
    <xf numFmtId="0" fontId="21" fillId="0" borderId="15" xfId="0" applyFont="1" applyFill="1" applyBorder="1" applyAlignment="1">
      <alignment horizontal="left" vertical="top" wrapText="1"/>
    </xf>
    <xf numFmtId="0" fontId="0" fillId="0" borderId="31" xfId="0" applyFill="1" applyBorder="1" applyAlignment="1">
      <alignment vertical="top" wrapText="1"/>
    </xf>
    <xf numFmtId="0" fontId="15" fillId="0" borderId="19" xfId="0" applyFont="1" applyFill="1" applyBorder="1" applyAlignment="1">
      <alignment horizontal="center" vertical="top" wrapText="1"/>
    </xf>
    <xf numFmtId="0" fontId="0" fillId="0" borderId="15" xfId="0" applyBorder="1" applyAlignment="1">
      <alignment vertical="top" wrapText="1"/>
    </xf>
    <xf numFmtId="0" fontId="15" fillId="7" borderId="12" xfId="0" applyFont="1" applyFill="1" applyBorder="1" applyAlignment="1">
      <alignment vertical="top" wrapText="1"/>
    </xf>
    <xf numFmtId="0" fontId="16" fillId="9" borderId="14" xfId="0" applyFont="1" applyFill="1" applyBorder="1" applyAlignment="1">
      <alignment horizontal="center" vertical="top" wrapText="1"/>
    </xf>
    <xf numFmtId="0" fontId="3" fillId="0" borderId="77" xfId="0" applyFont="1" applyFill="1" applyBorder="1" applyAlignment="1">
      <alignment vertical="top" wrapText="1"/>
    </xf>
    <xf numFmtId="0" fontId="3" fillId="0" borderId="22" xfId="0" applyFont="1" applyFill="1" applyBorder="1" applyAlignment="1">
      <alignment vertical="top"/>
    </xf>
    <xf numFmtId="44" fontId="3" fillId="0" borderId="22" xfId="21" applyFont="1" applyFill="1" applyBorder="1" applyAlignment="1">
      <alignment vertical="top"/>
    </xf>
    <xf numFmtId="0" fontId="3" fillId="0" borderId="22" xfId="0" applyFont="1" applyFill="1" applyBorder="1" applyAlignment="1">
      <alignment horizontal="center" vertical="top"/>
    </xf>
    <xf numFmtId="168" fontId="3" fillId="0" borderId="22" xfId="0" applyNumberFormat="1" applyFont="1" applyFill="1" applyBorder="1" applyAlignment="1">
      <alignment vertical="top"/>
    </xf>
    <xf numFmtId="0" fontId="0" fillId="0" borderId="65" xfId="0" applyFill="1" applyBorder="1" applyAlignment="1">
      <alignment vertical="top" wrapText="1"/>
    </xf>
    <xf numFmtId="0" fontId="22" fillId="9" borderId="14" xfId="0" applyFont="1" applyFill="1" applyBorder="1" applyAlignment="1">
      <alignment horizontal="center" vertical="top" wrapText="1"/>
    </xf>
    <xf numFmtId="0" fontId="22" fillId="9" borderId="14" xfId="0" applyFont="1" applyFill="1" applyBorder="1" applyAlignment="1">
      <alignment horizontal="center" vertical="top"/>
    </xf>
    <xf numFmtId="0" fontId="16" fillId="9" borderId="14" xfId="0" applyFont="1" applyFill="1" applyBorder="1" applyAlignment="1">
      <alignment vertical="top"/>
    </xf>
    <xf numFmtId="0" fontId="16" fillId="9" borderId="14" xfId="0" applyFont="1" applyFill="1" applyBorder="1" applyAlignment="1">
      <alignment vertical="top" wrapText="1"/>
    </xf>
    <xf numFmtId="166" fontId="18" fillId="0" borderId="14" xfId="21" applyNumberFormat="1" applyFont="1" applyFill="1" applyBorder="1" applyAlignment="1">
      <alignment horizontal="center" vertical="top"/>
    </xf>
    <xf numFmtId="0" fontId="18" fillId="0" borderId="14" xfId="21" applyNumberFormat="1" applyFont="1" applyFill="1" applyBorder="1" applyAlignment="1">
      <alignment horizontal="center" vertical="top"/>
    </xf>
    <xf numFmtId="0" fontId="22" fillId="9" borderId="14" xfId="0" applyFont="1" applyFill="1" applyBorder="1" applyAlignment="1">
      <alignment vertical="center"/>
    </xf>
    <xf numFmtId="168" fontId="18" fillId="0" borderId="14" xfId="20" applyNumberFormat="1" applyFont="1" applyFill="1" applyBorder="1" applyAlignment="1">
      <alignment vertical="center"/>
    </xf>
    <xf numFmtId="168" fontId="18" fillId="0" borderId="14" xfId="20" applyNumberFormat="1" applyFont="1" applyFill="1" applyBorder="1" applyAlignment="1">
      <alignment horizontal="center" vertical="center"/>
    </xf>
    <xf numFmtId="169" fontId="18" fillId="0" borderId="14" xfId="20" applyNumberFormat="1" applyFont="1" applyFill="1" applyBorder="1" applyAlignment="1">
      <alignment horizontal="center" vertical="center"/>
    </xf>
    <xf numFmtId="174" fontId="18" fillId="0" borderId="14" xfId="20" applyNumberFormat="1" applyFont="1" applyFill="1" applyBorder="1" applyAlignment="1">
      <alignment horizontal="center" vertical="center"/>
    </xf>
    <xf numFmtId="43" fontId="18" fillId="0" borderId="14" xfId="20" applyNumberFormat="1" applyFont="1" applyFill="1" applyBorder="1" applyAlignment="1">
      <alignment horizontal="center" vertical="center"/>
    </xf>
    <xf numFmtId="0" fontId="18" fillId="0" borderId="0" xfId="0" applyFont="1" applyAlignment="1">
      <alignment vertical="top"/>
    </xf>
    <xf numFmtId="0" fontId="18" fillId="0" borderId="0" xfId="0" applyFont="1" applyAlignment="1" applyProtection="1">
      <alignment vertical="top"/>
      <protection locked="0"/>
    </xf>
    <xf numFmtId="0" fontId="18" fillId="0" borderId="0" xfId="0" applyFont="1" applyAlignment="1">
      <alignment vertical="top" wrapText="1"/>
    </xf>
    <xf numFmtId="0" fontId="22" fillId="0" borderId="0" xfId="0" applyFont="1" applyAlignment="1">
      <alignment horizontal="center" vertical="top" wrapText="1"/>
    </xf>
    <xf numFmtId="0" fontId="18" fillId="0" borderId="0" xfId="0" applyFont="1" applyAlignment="1" applyProtection="1">
      <alignment vertical="top" wrapText="1"/>
      <protection locked="0"/>
    </xf>
    <xf numFmtId="0" fontId="18" fillId="0" borderId="14" xfId="0" applyFont="1" applyFill="1" applyBorder="1" applyAlignment="1">
      <alignment horizontal="left" vertical="top" wrapText="1"/>
    </xf>
    <xf numFmtId="0" fontId="18" fillId="0" borderId="14" xfId="0" applyFont="1" applyBorder="1" applyAlignment="1">
      <alignment horizontal="center" vertical="top"/>
    </xf>
    <xf numFmtId="0" fontId="18" fillId="0" borderId="14" xfId="0" applyFont="1" applyBorder="1" applyAlignment="1">
      <alignment vertical="top" wrapText="1"/>
    </xf>
    <xf numFmtId="10" fontId="21" fillId="0" borderId="0" xfId="22" applyNumberFormat="1" applyFont="1" applyAlignment="1">
      <alignment horizontal="center" vertical="top"/>
    </xf>
    <xf numFmtId="10" fontId="18" fillId="0" borderId="15" xfId="22" applyNumberFormat="1" applyFont="1" applyFill="1" applyBorder="1" applyAlignment="1" applyProtection="1">
      <alignment horizontal="center" vertical="top" wrapText="1"/>
      <protection locked="0"/>
    </xf>
    <xf numFmtId="0" fontId="18" fillId="0" borderId="14" xfId="0" applyFont="1" applyFill="1" applyBorder="1" applyAlignment="1" applyProtection="1">
      <alignment horizontal="center" vertical="top" wrapText="1"/>
      <protection locked="0"/>
    </xf>
    <xf numFmtId="43" fontId="18" fillId="0" borderId="14" xfId="0" applyNumberFormat="1" applyFont="1" applyFill="1" applyBorder="1" applyAlignment="1" applyProtection="1">
      <alignment horizontal="center" vertical="top" wrapText="1"/>
      <protection locked="0"/>
    </xf>
    <xf numFmtId="44" fontId="18" fillId="0" borderId="14" xfId="21" applyNumberFormat="1" applyFont="1" applyFill="1" applyBorder="1" applyAlignment="1" applyProtection="1">
      <alignment horizontal="center" vertical="top" wrapText="1"/>
      <protection locked="0"/>
    </xf>
    <xf numFmtId="44" fontId="18" fillId="0" borderId="14" xfId="21" applyNumberFormat="1" applyFont="1" applyBorder="1" applyAlignment="1" applyProtection="1">
      <alignment horizontal="center" vertical="top" wrapText="1"/>
      <protection locked="0"/>
    </xf>
    <xf numFmtId="44" fontId="18" fillId="0" borderId="14" xfId="21" applyFont="1" applyFill="1" applyBorder="1" applyAlignment="1" applyProtection="1">
      <alignment horizontal="center" vertical="top" wrapText="1"/>
      <protection locked="0"/>
    </xf>
    <xf numFmtId="44" fontId="18" fillId="0" borderId="14" xfId="21" applyNumberFormat="1" applyFont="1" applyBorder="1" applyAlignment="1" applyProtection="1">
      <alignment horizontal="left" vertical="top"/>
      <protection locked="0"/>
    </xf>
    <xf numFmtId="44" fontId="18" fillId="0" borderId="14" xfId="21" applyFont="1" applyBorder="1" applyAlignment="1" applyProtection="1">
      <alignment horizontal="center" vertical="top" wrapText="1"/>
      <protection locked="0"/>
    </xf>
    <xf numFmtId="43" fontId="22" fillId="0" borderId="14" xfId="20" applyNumberFormat="1" applyFont="1" applyBorder="1" applyAlignment="1" applyProtection="1">
      <alignment horizontal="center" vertical="top" wrapText="1"/>
      <protection locked="0"/>
    </xf>
    <xf numFmtId="44" fontId="21" fillId="0" borderId="14" xfId="21" applyFont="1" applyBorder="1" applyAlignment="1" applyProtection="1">
      <alignment horizontal="center" vertical="top" wrapText="1"/>
      <protection locked="0"/>
    </xf>
    <xf numFmtId="43" fontId="22" fillId="0" borderId="13" xfId="20" applyNumberFormat="1" applyFont="1" applyBorder="1" applyAlignment="1" applyProtection="1">
      <alignment horizontal="center" vertical="top" wrapText="1"/>
      <protection locked="0"/>
    </xf>
    <xf numFmtId="175" fontId="18" fillId="0" borderId="15" xfId="21" applyNumberFormat="1" applyFont="1" applyFill="1" applyBorder="1" applyAlignment="1" applyProtection="1">
      <alignment horizontal="center" vertical="top"/>
      <protection locked="0"/>
    </xf>
    <xf numFmtId="175" fontId="18" fillId="0" borderId="13" xfId="21" applyNumberFormat="1" applyFont="1" applyFill="1" applyBorder="1" applyAlignment="1" applyProtection="1">
      <alignment horizontal="center" vertical="top"/>
      <protection locked="0"/>
    </xf>
    <xf numFmtId="166" fontId="22" fillId="9" borderId="14" xfId="21" applyNumberFormat="1" applyFont="1" applyFill="1" applyBorder="1" applyAlignment="1">
      <alignment vertical="center"/>
    </xf>
    <xf numFmtId="0" fontId="22" fillId="9" borderId="14" xfId="0" applyFont="1" applyFill="1" applyBorder="1" applyAlignment="1">
      <alignment horizontal="center" vertical="center"/>
    </xf>
    <xf numFmtId="43" fontId="22" fillId="9" borderId="14" xfId="0" applyNumberFormat="1" applyFont="1" applyFill="1" applyBorder="1" applyAlignment="1">
      <alignment horizontal="center" vertical="center"/>
    </xf>
    <xf numFmtId="174" fontId="22" fillId="9" borderId="14" xfId="0" applyNumberFormat="1" applyFont="1" applyFill="1" applyBorder="1" applyAlignment="1">
      <alignment horizontal="center" vertical="center"/>
    </xf>
    <xf numFmtId="0" fontId="18" fillId="9" borderId="14" xfId="0" applyFont="1" applyFill="1" applyBorder="1" applyAlignment="1">
      <alignment vertical="center" wrapText="1"/>
    </xf>
    <xf numFmtId="10" fontId="22" fillId="0" borderId="0" xfId="0" applyNumberFormat="1" applyFont="1" applyAlignment="1">
      <alignment horizontal="center" vertical="top"/>
    </xf>
    <xf numFmtId="10" fontId="22" fillId="14" borderId="12" xfId="22" applyNumberFormat="1" applyFont="1" applyFill="1" applyBorder="1" applyAlignment="1" applyProtection="1">
      <alignment horizontal="center" vertical="top" wrapText="1"/>
      <protection locked="0"/>
    </xf>
    <xf numFmtId="0" fontId="22" fillId="14" borderId="11" xfId="0" applyFont="1" applyFill="1" applyBorder="1" applyAlignment="1" applyProtection="1">
      <alignment horizontal="center" vertical="top" wrapText="1"/>
      <protection locked="0"/>
    </xf>
    <xf numFmtId="44" fontId="22" fillId="14" borderId="11" xfId="21" applyNumberFormat="1" applyFont="1" applyFill="1" applyBorder="1" applyAlignment="1" applyProtection="1">
      <alignment horizontal="center" vertical="top" wrapText="1"/>
      <protection locked="0"/>
    </xf>
    <xf numFmtId="44" fontId="22" fillId="14" borderId="11" xfId="21" applyFont="1" applyFill="1" applyBorder="1" applyAlignment="1" applyProtection="1">
      <alignment horizontal="center" vertical="top" wrapText="1"/>
      <protection locked="0"/>
    </xf>
    <xf numFmtId="44" fontId="22" fillId="14" borderId="11" xfId="21" applyNumberFormat="1" applyFont="1" applyFill="1" applyBorder="1" applyAlignment="1" applyProtection="1">
      <alignment horizontal="left" vertical="top" wrapText="1"/>
      <protection locked="0"/>
    </xf>
    <xf numFmtId="43" fontId="22" fillId="14" borderId="11" xfId="20" applyNumberFormat="1" applyFont="1" applyFill="1" applyBorder="1" applyAlignment="1" applyProtection="1">
      <alignment horizontal="center" vertical="top" wrapText="1"/>
      <protection locked="0"/>
    </xf>
    <xf numFmtId="43" fontId="22" fillId="14" borderId="10" xfId="20" applyNumberFormat="1" applyFont="1" applyFill="1" applyBorder="1" applyAlignment="1" applyProtection="1">
      <alignment horizontal="center" vertical="top" wrapText="1"/>
      <protection locked="0"/>
    </xf>
    <xf numFmtId="175" fontId="18" fillId="14" borderId="12" xfId="21" applyNumberFormat="1" applyFont="1" applyFill="1" applyBorder="1" applyAlignment="1" applyProtection="1">
      <alignment horizontal="center" vertical="top"/>
      <protection locked="0"/>
    </xf>
    <xf numFmtId="175" fontId="18" fillId="14" borderId="11" xfId="21" applyNumberFormat="1" applyFont="1" applyFill="1" applyBorder="1" applyAlignment="1" applyProtection="1">
      <alignment horizontal="center" vertical="top"/>
      <protection locked="0"/>
    </xf>
    <xf numFmtId="175" fontId="18" fillId="14" borderId="10" xfId="21" applyNumberFormat="1" applyFont="1" applyFill="1" applyBorder="1" applyAlignment="1" applyProtection="1">
      <alignment horizontal="center" vertical="top"/>
      <protection locked="0"/>
    </xf>
    <xf numFmtId="0" fontId="22" fillId="9" borderId="14" xfId="0" applyFont="1" applyFill="1" applyBorder="1" applyAlignment="1">
      <alignment horizontal="center"/>
    </xf>
    <xf numFmtId="0" fontId="22" fillId="9" borderId="14" xfId="0" applyFont="1" applyFill="1" applyBorder="1" applyAlignment="1">
      <alignment horizontal="center"/>
    </xf>
    <xf numFmtId="0" fontId="16" fillId="9" borderId="14" xfId="0" applyFont="1" applyFill="1" applyBorder="1" applyAlignment="1">
      <alignment/>
    </xf>
    <xf numFmtId="0" fontId="15" fillId="9" borderId="14" xfId="0" applyFont="1" applyFill="1" applyBorder="1"/>
    <xf numFmtId="0" fontId="22" fillId="9" borderId="14" xfId="0" applyFont="1" applyFill="1" applyBorder="1"/>
    <xf numFmtId="0" fontId="18" fillId="0" borderId="14" xfId="0" applyFont="1" applyFill="1" applyBorder="1" applyAlignment="1">
      <alignment horizontal="left"/>
    </xf>
    <xf numFmtId="0" fontId="18" fillId="0" borderId="14" xfId="0" applyFont="1" applyBorder="1" applyAlignment="1">
      <alignment horizontal="center"/>
    </xf>
    <xf numFmtId="0" fontId="18" fillId="0" borderId="14" xfId="0" applyFont="1" applyBorder="1"/>
    <xf numFmtId="44" fontId="22" fillId="9" borderId="14" xfId="21" applyFont="1" applyFill="1" applyBorder="1"/>
    <xf numFmtId="43" fontId="22" fillId="9" borderId="14" xfId="0" applyNumberFormat="1" applyFont="1" applyFill="1" applyBorder="1"/>
    <xf numFmtId="168" fontId="22" fillId="9" borderId="14" xfId="0" applyNumberFormat="1" applyFont="1" applyFill="1" applyBorder="1"/>
    <xf numFmtId="0" fontId="18" fillId="9" borderId="14" xfId="0" applyFont="1" applyFill="1" applyBorder="1"/>
    <xf numFmtId="0" fontId="18" fillId="0" borderId="14" xfId="0" applyFont="1" applyBorder="1" applyAlignment="1">
      <alignment horizontal="center" wrapText="1"/>
    </xf>
    <xf numFmtId="0" fontId="18" fillId="0" borderId="14" xfId="0" applyFont="1" applyFill="1" applyBorder="1" applyAlignment="1">
      <alignment horizontal="left" wrapText="1"/>
    </xf>
    <xf numFmtId="174" fontId="22" fillId="9" borderId="14" xfId="0" applyNumberFormat="1" applyFont="1" applyFill="1" applyBorder="1"/>
    <xf numFmtId="173" fontId="22" fillId="9" borderId="14" xfId="0" applyNumberFormat="1" applyFont="1" applyFill="1" applyBorder="1"/>
    <xf numFmtId="184" fontId="22" fillId="9" borderId="14" xfId="0" applyNumberFormat="1" applyFont="1" applyFill="1" applyBorder="1"/>
    <xf numFmtId="1" fontId="22" fillId="9" borderId="14" xfId="0" applyNumberFormat="1" applyFont="1" applyFill="1" applyBorder="1"/>
    <xf numFmtId="177" fontId="18" fillId="0" borderId="14" xfId="20" applyNumberFormat="1" applyFont="1" applyFill="1" applyBorder="1" applyAlignment="1">
      <alignment horizontal="center"/>
    </xf>
    <xf numFmtId="0" fontId="22" fillId="9" borderId="77" xfId="0" applyFont="1" applyFill="1" applyBorder="1"/>
    <xf numFmtId="0" fontId="22" fillId="9" borderId="22" xfId="0" applyFont="1" applyFill="1" applyBorder="1"/>
    <xf numFmtId="0" fontId="18" fillId="0" borderId="13" xfId="0" applyFont="1" applyBorder="1"/>
    <xf numFmtId="44" fontId="22" fillId="9" borderId="21" xfId="21" applyFont="1" applyFill="1" applyBorder="1"/>
    <xf numFmtId="0" fontId="22" fillId="9" borderId="20" xfId="0" applyFont="1" applyFill="1" applyBorder="1" applyAlignment="1">
      <alignment horizontal="center"/>
    </xf>
    <xf numFmtId="0" fontId="22" fillId="9" borderId="20" xfId="0" applyFont="1" applyFill="1" applyBorder="1"/>
    <xf numFmtId="0" fontId="18" fillId="9" borderId="53" xfId="0" applyFont="1" applyFill="1" applyBorder="1"/>
    <xf numFmtId="0" fontId="18" fillId="0" borderId="14" xfId="0" applyFont="1" applyFill="1" applyBorder="1" applyAlignment="1">
      <alignment horizontal="center" wrapText="1"/>
    </xf>
    <xf numFmtId="0" fontId="0" fillId="0" borderId="19" xfId="0" applyFill="1" applyBorder="1" applyAlignment="1">
      <alignment/>
    </xf>
    <xf numFmtId="0" fontId="0" fillId="0" borderId="0" xfId="0" applyFill="1" applyBorder="1" applyAlignment="1">
      <alignment/>
    </xf>
    <xf numFmtId="44" fontId="21" fillId="0" borderId="14" xfId="21" applyNumberFormat="1" applyFont="1" applyFill="1" applyBorder="1" applyAlignment="1">
      <alignment horizontal="center"/>
    </xf>
    <xf numFmtId="0" fontId="21" fillId="0" borderId="14" xfId="0" applyFont="1" applyFill="1" applyBorder="1" applyAlignment="1">
      <alignment horizontal="left" wrapText="1"/>
    </xf>
    <xf numFmtId="1" fontId="18" fillId="0" borderId="14" xfId="21" applyNumberFormat="1" applyFont="1" applyFill="1" applyBorder="1" applyAlignment="1">
      <alignment horizontal="center"/>
    </xf>
    <xf numFmtId="0" fontId="18" fillId="0" borderId="0" xfId="0" applyFont="1"/>
    <xf numFmtId="0" fontId="18" fillId="0" borderId="0" xfId="0" applyFont="1" applyAlignment="1">
      <alignment horizontal="center" vertical="center"/>
    </xf>
    <xf numFmtId="0" fontId="21" fillId="0" borderId="14" xfId="0" applyFont="1" applyFill="1" applyBorder="1" applyAlignment="1">
      <alignment horizontal="left"/>
    </xf>
    <xf numFmtId="0" fontId="21" fillId="0" borderId="14" xfId="0" applyFont="1" applyFill="1" applyBorder="1" applyAlignment="1">
      <alignment horizontal="center"/>
    </xf>
    <xf numFmtId="0" fontId="21" fillId="0" borderId="14" xfId="0" applyFont="1" applyBorder="1" applyAlignment="1">
      <alignment horizontal="center"/>
    </xf>
    <xf numFmtId="0" fontId="35" fillId="0" borderId="0" xfId="0" applyFont="1"/>
    <xf numFmtId="0" fontId="22" fillId="6" borderId="14" xfId="0" applyFont="1" applyFill="1" applyBorder="1" applyAlignment="1">
      <alignment horizontal="center"/>
    </xf>
    <xf numFmtId="0" fontId="22" fillId="6" borderId="14" xfId="0" applyFont="1" applyFill="1" applyBorder="1"/>
    <xf numFmtId="43" fontId="22" fillId="6" borderId="14" xfId="0" applyNumberFormat="1" applyFont="1" applyFill="1" applyBorder="1"/>
    <xf numFmtId="168" fontId="22" fillId="6" borderId="14" xfId="0" applyNumberFormat="1" applyFont="1" applyFill="1" applyBorder="1"/>
    <xf numFmtId="0" fontId="18" fillId="8" borderId="14" xfId="0" applyFont="1" applyFill="1" applyBorder="1"/>
    <xf numFmtId="0" fontId="22" fillId="0" borderId="14" xfId="0" applyFont="1" applyFill="1" applyBorder="1"/>
    <xf numFmtId="44" fontId="22" fillId="0" borderId="14" xfId="21" applyFont="1" applyFill="1" applyBorder="1"/>
    <xf numFmtId="0" fontId="22" fillId="0" borderId="14" xfId="0" applyFont="1" applyFill="1" applyBorder="1" applyAlignment="1">
      <alignment horizontal="center"/>
    </xf>
    <xf numFmtId="168" fontId="22" fillId="0" borderId="14" xfId="0" applyNumberFormat="1" applyFont="1" applyFill="1" applyBorder="1"/>
    <xf numFmtId="0" fontId="18" fillId="0" borderId="14" xfId="0" applyFont="1" applyFill="1" applyBorder="1"/>
    <xf numFmtId="0" fontId="18" fillId="0" borderId="0" xfId="0" applyFont="1" applyFill="1"/>
    <xf numFmtId="0" fontId="18" fillId="0" borderId="0" xfId="0" applyFont="1" applyFill="1" applyAlignment="1">
      <alignment horizontal="center" vertical="center"/>
    </xf>
    <xf numFmtId="0" fontId="18" fillId="0" borderId="0" xfId="0" applyFont="1" applyProtection="1">
      <protection locked="0"/>
    </xf>
    <xf numFmtId="0" fontId="22" fillId="0" borderId="0" xfId="0" applyFont="1" applyAlignment="1">
      <alignment horizontal="center" vertical="center"/>
    </xf>
    <xf numFmtId="0" fontId="21" fillId="0" borderId="14" xfId="0" applyFont="1" applyBorder="1" applyAlignment="1">
      <alignment wrapText="1"/>
    </xf>
    <xf numFmtId="10" fontId="21" fillId="0" borderId="0" xfId="22" applyNumberFormat="1" applyFont="1" applyAlignment="1">
      <alignment horizontal="center" vertical="center"/>
    </xf>
    <xf numFmtId="10" fontId="18" fillId="0" borderId="15" xfId="22" applyNumberFormat="1"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43" fontId="18" fillId="0" borderId="14" xfId="0" applyNumberFormat="1" applyFont="1" applyFill="1" applyBorder="1" applyAlignment="1" applyProtection="1">
      <alignment horizontal="center" vertical="center" wrapText="1"/>
      <protection locked="0"/>
    </xf>
    <xf numFmtId="44" fontId="18" fillId="0" borderId="14" xfId="21" applyNumberFormat="1" applyFont="1" applyFill="1" applyBorder="1" applyAlignment="1" applyProtection="1">
      <alignment horizontal="center" vertical="center" wrapText="1"/>
      <protection locked="0"/>
    </xf>
    <xf numFmtId="44" fontId="18" fillId="0" borderId="14" xfId="21" applyNumberFormat="1" applyFont="1" applyBorder="1" applyAlignment="1" applyProtection="1">
      <alignment horizontal="center" vertical="center" wrapText="1"/>
      <protection locked="0"/>
    </xf>
    <xf numFmtId="44" fontId="18" fillId="0" borderId="14" xfId="21" applyFont="1" applyFill="1" applyBorder="1" applyAlignment="1" applyProtection="1">
      <alignment horizontal="center" vertical="center" wrapText="1"/>
      <protection locked="0"/>
    </xf>
    <xf numFmtId="44" fontId="18" fillId="0" borderId="14" xfId="21" applyNumberFormat="1" applyFont="1" applyBorder="1" applyAlignment="1" applyProtection="1">
      <alignment horizontal="left" vertical="center"/>
      <protection locked="0"/>
    </xf>
    <xf numFmtId="44" fontId="18" fillId="0" borderId="14" xfId="21" applyFont="1" applyBorder="1" applyAlignment="1" applyProtection="1">
      <alignment horizontal="center" vertical="center" wrapText="1"/>
      <protection locked="0"/>
    </xf>
    <xf numFmtId="43" fontId="22" fillId="0" borderId="14" xfId="20" applyNumberFormat="1" applyFont="1" applyBorder="1" applyAlignment="1" applyProtection="1">
      <alignment horizontal="center" vertical="center" wrapText="1"/>
      <protection locked="0"/>
    </xf>
    <xf numFmtId="44" fontId="21" fillId="0" borderId="14" xfId="21" applyFont="1" applyBorder="1" applyAlignment="1" applyProtection="1">
      <alignment horizontal="center" vertical="center" wrapText="1"/>
      <protection locked="0"/>
    </xf>
    <xf numFmtId="43" fontId="22" fillId="0" borderId="13" xfId="20" applyNumberFormat="1" applyFont="1" applyBorder="1" applyAlignment="1" applyProtection="1">
      <alignment horizontal="center" vertical="center" wrapText="1"/>
      <protection locked="0"/>
    </xf>
    <xf numFmtId="175" fontId="18" fillId="0" borderId="15" xfId="21" applyNumberFormat="1" applyFont="1" applyFill="1" applyBorder="1" applyAlignment="1" applyProtection="1">
      <alignment horizontal="center" vertical="center"/>
      <protection locked="0"/>
    </xf>
    <xf numFmtId="0" fontId="18" fillId="0" borderId="14" xfId="0" applyFont="1" applyFill="1" applyBorder="1" applyAlignment="1">
      <alignment horizontal="center" vertical="center"/>
    </xf>
    <xf numFmtId="175" fontId="18" fillId="0" borderId="13" xfId="21" applyNumberFormat="1" applyFont="1" applyFill="1" applyBorder="1" applyAlignment="1" applyProtection="1">
      <alignment horizontal="center" vertical="center"/>
      <protection locked="0"/>
    </xf>
    <xf numFmtId="0" fontId="21" fillId="0" borderId="0" xfId="0" applyFont="1"/>
    <xf numFmtId="0" fontId="18" fillId="0" borderId="14" xfId="0" applyFont="1" applyBorder="1" applyAlignment="1">
      <alignment wrapText="1"/>
    </xf>
    <xf numFmtId="10" fontId="23" fillId="0" borderId="0" xfId="22" applyNumberFormat="1" applyFont="1" applyAlignment="1">
      <alignment horizontal="center" vertical="center"/>
    </xf>
    <xf numFmtId="10" fontId="22" fillId="14" borderId="12" xfId="22" applyNumberFormat="1" applyFont="1" applyFill="1" applyBorder="1" applyAlignment="1" applyProtection="1">
      <alignment horizontal="center" vertical="center" wrapText="1"/>
      <protection locked="0"/>
    </xf>
    <xf numFmtId="0" fontId="22" fillId="14" borderId="11" xfId="0" applyFont="1" applyFill="1" applyBorder="1" applyAlignment="1" applyProtection="1">
      <alignment horizontal="center" vertical="center" wrapText="1"/>
      <protection locked="0"/>
    </xf>
    <xf numFmtId="44" fontId="22" fillId="14" borderId="11" xfId="21" applyNumberFormat="1" applyFont="1" applyFill="1" applyBorder="1" applyAlignment="1" applyProtection="1">
      <alignment horizontal="center" vertical="center" wrapText="1"/>
      <protection locked="0"/>
    </xf>
    <xf numFmtId="44" fontId="22" fillId="14" borderId="11" xfId="21" applyFont="1" applyFill="1" applyBorder="1" applyAlignment="1" applyProtection="1">
      <alignment horizontal="center" vertical="center" wrapText="1"/>
      <protection locked="0"/>
    </xf>
    <xf numFmtId="44" fontId="22" fillId="14" borderId="11" xfId="21" applyNumberFormat="1" applyFont="1" applyFill="1" applyBorder="1" applyAlignment="1" applyProtection="1">
      <alignment horizontal="left" vertical="center" wrapText="1"/>
      <protection locked="0"/>
    </xf>
    <xf numFmtId="43" fontId="22" fillId="14" borderId="11" xfId="20" applyNumberFormat="1" applyFont="1" applyFill="1" applyBorder="1" applyAlignment="1" applyProtection="1">
      <alignment horizontal="center" vertical="center" wrapText="1"/>
      <protection locked="0"/>
    </xf>
    <xf numFmtId="175" fontId="18" fillId="14" borderId="12" xfId="21" applyNumberFormat="1" applyFont="1" applyFill="1" applyBorder="1" applyAlignment="1" applyProtection="1">
      <alignment horizontal="center" vertical="center"/>
      <protection locked="0"/>
    </xf>
    <xf numFmtId="175" fontId="18" fillId="14" borderId="11" xfId="21" applyNumberFormat="1" applyFont="1" applyFill="1" applyBorder="1" applyAlignment="1" applyProtection="1">
      <alignment horizontal="center" vertical="center"/>
      <protection locked="0"/>
    </xf>
    <xf numFmtId="175" fontId="18" fillId="14" borderId="10" xfId="21" applyNumberFormat="1" applyFont="1" applyFill="1" applyBorder="1" applyAlignment="1" applyProtection="1">
      <alignment horizontal="center" vertical="center"/>
      <protection locked="0"/>
    </xf>
    <xf numFmtId="0" fontId="0" fillId="0" borderId="22" xfId="0" applyFont="1" applyBorder="1"/>
    <xf numFmtId="0" fontId="0" fillId="0" borderId="53" xfId="0" applyFont="1" applyBorder="1" applyAlignment="1">
      <alignment wrapText="1"/>
    </xf>
    <xf numFmtId="0" fontId="22" fillId="9" borderId="14" xfId="0" applyFont="1" applyFill="1" applyBorder="1" applyAlignment="1">
      <alignment/>
    </xf>
    <xf numFmtId="0" fontId="21" fillId="0" borderId="14" xfId="0" applyFont="1" applyFill="1" applyBorder="1" applyAlignment="1">
      <alignment horizontal="center" wrapText="1"/>
    </xf>
    <xf numFmtId="1" fontId="21" fillId="0" borderId="14" xfId="21" applyNumberFormat="1" applyFont="1" applyFill="1" applyBorder="1" applyAlignment="1">
      <alignment horizontal="center"/>
    </xf>
    <xf numFmtId="1" fontId="22" fillId="6" borderId="14" xfId="0" applyNumberFormat="1" applyFont="1" applyFill="1" applyBorder="1"/>
    <xf numFmtId="0" fontId="18" fillId="8" borderId="14" xfId="0" applyFont="1" applyFill="1" applyBorder="1" applyAlignment="1">
      <alignment wrapText="1"/>
    </xf>
    <xf numFmtId="0" fontId="16" fillId="9" borderId="14" xfId="0" applyFont="1" applyFill="1" applyBorder="1" applyAlignment="1">
      <alignment wrapText="1"/>
    </xf>
    <xf numFmtId="0" fontId="18" fillId="9" borderId="14" xfId="0" applyFont="1" applyFill="1" applyBorder="1" applyAlignment="1">
      <alignment wrapText="1"/>
    </xf>
    <xf numFmtId="177" fontId="21" fillId="0" borderId="14" xfId="20" applyNumberFormat="1" applyFont="1" applyFill="1" applyBorder="1" applyAlignment="1">
      <alignment horizontal="center"/>
    </xf>
    <xf numFmtId="0" fontId="0" fillId="0" borderId="74" xfId="0" applyFont="1" applyFill="1" applyBorder="1" applyAlignment="1">
      <alignment wrapText="1"/>
    </xf>
    <xf numFmtId="44" fontId="22" fillId="9" borderId="14" xfId="0" applyNumberFormat="1" applyFont="1" applyFill="1" applyBorder="1"/>
    <xf numFmtId="0" fontId="21" fillId="9" borderId="14" xfId="0" applyFont="1" applyFill="1" applyBorder="1"/>
    <xf numFmtId="3" fontId="18" fillId="0" borderId="14" xfId="0" applyNumberFormat="1" applyFont="1" applyFill="1" applyBorder="1" applyAlignment="1">
      <alignment horizontal="center"/>
    </xf>
    <xf numFmtId="0" fontId="22" fillId="9" borderId="14" xfId="0" applyFont="1" applyFill="1" applyBorder="1" applyAlignment="1">
      <alignment wrapText="1"/>
    </xf>
    <xf numFmtId="168" fontId="21" fillId="0" borderId="14" xfId="20" applyNumberFormat="1" applyFont="1" applyFill="1" applyBorder="1" applyAlignment="1">
      <alignment horizontal="center" wrapText="1"/>
    </xf>
    <xf numFmtId="169" fontId="21" fillId="0" borderId="14" xfId="20" applyNumberFormat="1" applyFont="1" applyFill="1" applyBorder="1" applyAlignment="1">
      <alignment horizontal="center" wrapText="1"/>
    </xf>
    <xf numFmtId="43" fontId="21" fillId="0" borderId="14" xfId="20" applyNumberFormat="1" applyFont="1" applyFill="1" applyBorder="1" applyAlignment="1">
      <alignment horizontal="center" wrapText="1"/>
    </xf>
    <xf numFmtId="44" fontId="21" fillId="0" borderId="14" xfId="21" applyNumberFormat="1" applyFont="1" applyFill="1" applyBorder="1" applyAlignment="1">
      <alignment horizontal="center" wrapText="1"/>
    </xf>
    <xf numFmtId="0" fontId="21" fillId="0" borderId="14" xfId="21" applyNumberFormat="1" applyFont="1" applyFill="1" applyBorder="1" applyAlignment="1">
      <alignment horizontal="center" wrapText="1"/>
    </xf>
    <xf numFmtId="3" fontId="21" fillId="0" borderId="14" xfId="21" applyNumberFormat="1" applyFont="1" applyFill="1" applyBorder="1" applyAlignment="1">
      <alignment horizontal="center" wrapText="1"/>
    </xf>
    <xf numFmtId="0" fontId="21" fillId="0" borderId="14" xfId="0" applyFont="1" applyBorder="1" applyAlignment="1">
      <alignment horizontal="center" wrapText="1"/>
    </xf>
    <xf numFmtId="0" fontId="18" fillId="0" borderId="14" xfId="0" applyFont="1" applyBorder="1" applyAlignment="1">
      <alignment horizontal="left" vertical="top" wrapText="1"/>
    </xf>
    <xf numFmtId="0" fontId="0" fillId="0" borderId="53" xfId="0" applyBorder="1" applyAlignment="1">
      <alignment wrapText="1"/>
    </xf>
    <xf numFmtId="0" fontId="35" fillId="0" borderId="14" xfId="0" applyFont="1" applyBorder="1" applyAlignment="1">
      <alignment wrapText="1"/>
    </xf>
    <xf numFmtId="0" fontId="16" fillId="9" borderId="31" xfId="0" applyFont="1" applyFill="1" applyBorder="1" applyAlignment="1">
      <alignment horizontal="center" wrapText="1"/>
    </xf>
    <xf numFmtId="0" fontId="23" fillId="8" borderId="14" xfId="0" applyFont="1" applyFill="1" applyBorder="1"/>
    <xf numFmtId="0" fontId="18" fillId="0" borderId="14" xfId="0" applyFont="1" applyFill="1" applyBorder="1" applyAlignment="1">
      <alignment wrapText="1"/>
    </xf>
    <xf numFmtId="0" fontId="23" fillId="9" borderId="14" xfId="0" applyFont="1" applyFill="1" applyBorder="1"/>
    <xf numFmtId="0" fontId="22" fillId="9" borderId="14" xfId="0" applyFont="1" applyFill="1" applyBorder="1" applyAlignment="1">
      <alignment vertical="top"/>
    </xf>
    <xf numFmtId="44" fontId="22" fillId="9" borderId="14" xfId="21" applyFont="1" applyFill="1" applyBorder="1" applyAlignment="1">
      <alignment vertical="top"/>
    </xf>
    <xf numFmtId="168" fontId="22" fillId="9" borderId="14" xfId="0" applyNumberFormat="1" applyFont="1" applyFill="1" applyBorder="1" applyAlignment="1">
      <alignment vertical="top"/>
    </xf>
    <xf numFmtId="0" fontId="18" fillId="9" borderId="14" xfId="0" applyFont="1" applyFill="1" applyBorder="1" applyAlignment="1">
      <alignment vertical="top" wrapText="1"/>
    </xf>
    <xf numFmtId="0" fontId="18" fillId="0" borderId="14" xfId="0" applyFont="1" applyFill="1" applyBorder="1" applyAlignment="1">
      <alignment horizontal="center" vertical="top" wrapText="1"/>
    </xf>
    <xf numFmtId="44" fontId="18" fillId="0" borderId="14" xfId="21" applyNumberFormat="1" applyFont="1" applyFill="1" applyBorder="1" applyAlignment="1">
      <alignment horizontal="center" vertical="top" wrapText="1"/>
    </xf>
    <xf numFmtId="0" fontId="18" fillId="0" borderId="14" xfId="0" applyFont="1" applyBorder="1" applyAlignment="1">
      <alignment horizontal="center" vertical="top" wrapText="1"/>
    </xf>
    <xf numFmtId="0" fontId="18" fillId="0" borderId="14" xfId="21" applyNumberFormat="1" applyFont="1" applyFill="1" applyBorder="1" applyAlignment="1">
      <alignment horizontal="center" vertical="top" wrapText="1"/>
    </xf>
    <xf numFmtId="168" fontId="18" fillId="0" borderId="14" xfId="20" applyNumberFormat="1" applyFont="1" applyFill="1" applyBorder="1" applyAlignment="1">
      <alignment horizontal="center" vertical="top" wrapText="1"/>
    </xf>
    <xf numFmtId="43" fontId="18" fillId="0" borderId="14" xfId="20" applyNumberFormat="1" applyFont="1" applyFill="1" applyBorder="1" applyAlignment="1">
      <alignment horizontal="center" vertical="top" wrapText="1"/>
    </xf>
    <xf numFmtId="174" fontId="22" fillId="9" borderId="14" xfId="0" applyNumberFormat="1" applyFont="1" applyFill="1" applyBorder="1" applyAlignment="1">
      <alignment vertical="top"/>
    </xf>
    <xf numFmtId="174" fontId="18" fillId="0" borderId="14" xfId="20" applyNumberFormat="1" applyFont="1" applyFill="1" applyBorder="1" applyAlignment="1">
      <alignment horizontal="center" vertical="top" wrapText="1"/>
    </xf>
    <xf numFmtId="177" fontId="18" fillId="0" borderId="14" xfId="20" applyNumberFormat="1" applyFont="1" applyFill="1" applyBorder="1" applyAlignment="1">
      <alignment horizontal="center" vertical="top" wrapText="1"/>
    </xf>
    <xf numFmtId="184" fontId="22" fillId="9" borderId="14" xfId="0" applyNumberFormat="1" applyFont="1" applyFill="1" applyBorder="1" applyAlignment="1">
      <alignment vertical="top"/>
    </xf>
    <xf numFmtId="1" fontId="22" fillId="9" borderId="14" xfId="0" applyNumberFormat="1" applyFont="1" applyFill="1" applyBorder="1" applyAlignment="1">
      <alignment vertical="top"/>
    </xf>
    <xf numFmtId="4" fontId="18" fillId="0" borderId="14" xfId="0" applyNumberFormat="1" applyFont="1" applyFill="1" applyBorder="1" applyAlignment="1">
      <alignment horizontal="center" vertical="top" wrapText="1"/>
    </xf>
    <xf numFmtId="1" fontId="18" fillId="0" borderId="14" xfId="0" applyNumberFormat="1" applyFont="1" applyFill="1" applyBorder="1" applyAlignment="1">
      <alignment horizontal="center" vertical="top" wrapText="1"/>
    </xf>
    <xf numFmtId="0" fontId="0" fillId="0" borderId="19" xfId="0" applyFill="1" applyBorder="1" applyAlignment="1">
      <alignment vertical="top"/>
    </xf>
    <xf numFmtId="1" fontId="18" fillId="0" borderId="14" xfId="21" applyNumberFormat="1" applyFont="1" applyFill="1" applyBorder="1" applyAlignment="1">
      <alignment horizontal="center" vertical="top" wrapText="1"/>
    </xf>
    <xf numFmtId="0" fontId="22" fillId="4" borderId="0" xfId="0" applyFont="1" applyFill="1" applyBorder="1" applyAlignment="1">
      <alignment vertical="top"/>
    </xf>
    <xf numFmtId="44" fontId="22" fillId="4" borderId="0" xfId="21" applyFont="1" applyFill="1" applyBorder="1" applyAlignment="1">
      <alignment vertical="top"/>
    </xf>
    <xf numFmtId="0" fontId="22" fillId="4" borderId="0" xfId="0" applyFont="1" applyFill="1" applyBorder="1" applyAlignment="1">
      <alignment horizontal="center" vertical="top"/>
    </xf>
    <xf numFmtId="168" fontId="22" fillId="4" borderId="0" xfId="0" applyNumberFormat="1" applyFont="1" applyFill="1" applyBorder="1" applyAlignment="1">
      <alignment vertical="top"/>
    </xf>
    <xf numFmtId="0" fontId="18" fillId="4" borderId="0" xfId="0" applyFont="1" applyFill="1" applyBorder="1" applyAlignment="1">
      <alignment vertical="top" wrapText="1"/>
    </xf>
    <xf numFmtId="0" fontId="0" fillId="0" borderId="0" xfId="0" applyBorder="1" applyAlignment="1">
      <alignment horizontal="center" vertical="top"/>
    </xf>
    <xf numFmtId="0" fontId="0" fillId="0" borderId="53" xfId="0" applyBorder="1"/>
    <xf numFmtId="0" fontId="21" fillId="0" borderId="14" xfId="0" applyFont="1" applyBorder="1"/>
    <xf numFmtId="1" fontId="22" fillId="9" borderId="20" xfId="0" applyNumberFormat="1" applyFont="1" applyFill="1" applyBorder="1"/>
    <xf numFmtId="187" fontId="18" fillId="0" borderId="14" xfId="20" applyNumberFormat="1" applyFont="1" applyFill="1" applyBorder="1" applyAlignment="1">
      <alignment horizontal="center"/>
    </xf>
    <xf numFmtId="0" fontId="0" fillId="0" borderId="74" xfId="0" applyFill="1" applyBorder="1"/>
    <xf numFmtId="187" fontId="23" fillId="9" borderId="14" xfId="0" applyNumberFormat="1" applyFont="1" applyFill="1" applyBorder="1"/>
    <xf numFmtId="10" fontId="22" fillId="0" borderId="0" xfId="0" applyNumberFormat="1" applyFont="1" applyAlignment="1">
      <alignment horizontal="center" vertical="center"/>
    </xf>
    <xf numFmtId="44" fontId="22" fillId="9" borderId="78" xfId="21" applyFont="1" applyFill="1" applyBorder="1"/>
    <xf numFmtId="1" fontId="18" fillId="0" borderId="14" xfId="0" applyNumberFormat="1" applyFont="1" applyFill="1" applyBorder="1" applyAlignment="1">
      <alignment horizontal="center" wrapText="1"/>
    </xf>
    <xf numFmtId="43" fontId="18" fillId="0" borderId="14" xfId="20" applyNumberFormat="1" applyFont="1" applyFill="1" applyBorder="1" applyAlignment="1">
      <alignment horizontal="center" wrapText="1"/>
    </xf>
    <xf numFmtId="44" fontId="18" fillId="0" borderId="14" xfId="21" applyNumberFormat="1" applyFont="1" applyFill="1" applyBorder="1" applyAlignment="1">
      <alignment horizontal="center" wrapText="1"/>
    </xf>
    <xf numFmtId="1" fontId="18" fillId="0" borderId="14" xfId="21" applyNumberFormat="1" applyFont="1" applyFill="1" applyBorder="1" applyAlignment="1">
      <alignment horizontal="center" wrapText="1"/>
    </xf>
    <xf numFmtId="0" fontId="22" fillId="9" borderId="26" xfId="0" applyFont="1" applyFill="1" applyBorder="1" applyAlignment="1">
      <alignment horizontal="center"/>
    </xf>
    <xf numFmtId="0" fontId="22" fillId="9" borderId="26" xfId="0" applyFont="1" applyFill="1" applyBorder="1"/>
    <xf numFmtId="168" fontId="22" fillId="9" borderId="26" xfId="0" applyNumberFormat="1" applyFont="1" applyFill="1" applyBorder="1"/>
    <xf numFmtId="0" fontId="22" fillId="9" borderId="19" xfId="0" applyFont="1" applyFill="1" applyBorder="1"/>
    <xf numFmtId="0" fontId="22" fillId="9" borderId="0" xfId="0" applyFont="1" applyFill="1" applyBorder="1"/>
    <xf numFmtId="0" fontId="22" fillId="9" borderId="57" xfId="0" applyFont="1" applyFill="1" applyBorder="1" applyAlignment="1">
      <alignment wrapText="1"/>
    </xf>
    <xf numFmtId="174" fontId="22" fillId="9" borderId="26" xfId="0" applyNumberFormat="1" applyFont="1" applyFill="1" applyBorder="1"/>
    <xf numFmtId="1" fontId="22" fillId="9" borderId="26" xfId="0" applyNumberFormat="1" applyFont="1" applyFill="1" applyBorder="1"/>
    <xf numFmtId="3" fontId="18" fillId="0" borderId="14" xfId="0" applyNumberFormat="1" applyFont="1" applyFill="1" applyBorder="1" applyAlignment="1">
      <alignment horizontal="center" wrapText="1"/>
    </xf>
    <xf numFmtId="3" fontId="22" fillId="9" borderId="26" xfId="0" applyNumberFormat="1" applyFont="1" applyFill="1" applyBorder="1"/>
    <xf numFmtId="10" fontId="18" fillId="0" borderId="0" xfId="22" applyNumberFormat="1" applyFont="1" applyAlignment="1">
      <alignment horizontal="center" vertical="center"/>
    </xf>
    <xf numFmtId="43" fontId="22" fillId="14" borderId="10" xfId="20" applyNumberFormat="1" applyFont="1" applyFill="1" applyBorder="1" applyAlignment="1" applyProtection="1">
      <alignment horizontal="center" vertical="center" wrapText="1"/>
      <protection locked="0"/>
    </xf>
    <xf numFmtId="0" fontId="22" fillId="0" borderId="0" xfId="0" applyFont="1" applyFill="1" applyBorder="1"/>
    <xf numFmtId="0" fontId="18" fillId="9" borderId="20" xfId="0" applyFont="1" applyFill="1" applyBorder="1"/>
    <xf numFmtId="0" fontId="18" fillId="0" borderId="15" xfId="0" applyFont="1" applyFill="1" applyBorder="1" applyAlignment="1">
      <alignment horizontal="left" wrapText="1"/>
    </xf>
    <xf numFmtId="44" fontId="18" fillId="0" borderId="14" xfId="21" applyNumberFormat="1" applyFont="1" applyFill="1" applyBorder="1" applyAlignment="1">
      <alignment horizontal="center" vertical="top"/>
    </xf>
    <xf numFmtId="3" fontId="18" fillId="0" borderId="14" xfId="21" applyNumberFormat="1" applyFont="1" applyFill="1" applyBorder="1" applyAlignment="1">
      <alignment horizontal="center" vertical="top"/>
    </xf>
    <xf numFmtId="0" fontId="18" fillId="0" borderId="0" xfId="0" applyFont="1" applyAlignment="1">
      <alignment wrapText="1"/>
    </xf>
    <xf numFmtId="0" fontId="18" fillId="0" borderId="14" xfId="0" applyFont="1" applyFill="1" applyBorder="1" applyAlignment="1">
      <alignment horizontal="left" vertical="top"/>
    </xf>
    <xf numFmtId="0" fontId="22" fillId="0" borderId="19" xfId="0" applyFont="1" applyFill="1" applyBorder="1" applyAlignment="1">
      <alignment horizontal="center" vertical="center"/>
    </xf>
    <xf numFmtId="0" fontId="22" fillId="0" borderId="0" xfId="0" applyFont="1" applyFill="1" applyBorder="1" applyAlignment="1">
      <alignment horizontal="center" vertical="center"/>
    </xf>
    <xf numFmtId="0" fontId="0" fillId="0" borderId="0" xfId="0" applyAlignment="1">
      <alignment horizontal="center" wrapText="1"/>
    </xf>
    <xf numFmtId="0" fontId="0" fillId="0" borderId="14" xfId="0" applyBorder="1" applyAlignment="1">
      <alignment horizontal="center" wrapText="1"/>
    </xf>
    <xf numFmtId="166" fontId="0" fillId="0" borderId="14" xfId="21" applyNumberFormat="1" applyFont="1" applyBorder="1" applyAlignment="1">
      <alignment horizontal="center" wrapText="1"/>
    </xf>
    <xf numFmtId="1" fontId="0" fillId="0" borderId="14" xfId="0" applyNumberFormat="1" applyBorder="1" applyAlignment="1">
      <alignment horizontal="center" wrapText="1"/>
    </xf>
    <xf numFmtId="44" fontId="0" fillId="0" borderId="14" xfId="21" applyFont="1" applyBorder="1" applyAlignment="1">
      <alignment horizontal="center" wrapText="1"/>
    </xf>
    <xf numFmtId="2" fontId="0" fillId="0" borderId="14" xfId="0" applyNumberFormat="1" applyBorder="1" applyAlignment="1">
      <alignment horizontal="center" wrapText="1"/>
    </xf>
    <xf numFmtId="168" fontId="0" fillId="0" borderId="14" xfId="20" applyNumberFormat="1" applyFont="1" applyBorder="1" applyAlignment="1">
      <alignment horizontal="center" wrapText="1"/>
    </xf>
    <xf numFmtId="0" fontId="0" fillId="0" borderId="0" xfId="0" applyAlignment="1">
      <alignment horizontal="left" vertical="center" wrapText="1"/>
    </xf>
    <xf numFmtId="0" fontId="3" fillId="0" borderId="0" xfId="0" applyFont="1" applyAlignment="1">
      <alignment/>
    </xf>
    <xf numFmtId="0" fontId="0" fillId="0" borderId="0" xfId="0" applyFont="1" applyAlignment="1">
      <alignment/>
    </xf>
    <xf numFmtId="0" fontId="53" fillId="17" borderId="14" xfId="0" applyFont="1" applyFill="1" applyBorder="1" applyAlignment="1">
      <alignment horizontal="center" vertical="center" wrapText="1"/>
    </xf>
    <xf numFmtId="0" fontId="53" fillId="17" borderId="14" xfId="0" applyFont="1" applyFill="1" applyBorder="1" applyAlignment="1">
      <alignment horizontal="center" vertical="center" textRotation="90" wrapText="1"/>
    </xf>
    <xf numFmtId="0" fontId="53" fillId="17" borderId="14" xfId="0" applyFont="1" applyFill="1" applyBorder="1" applyAlignment="1">
      <alignment horizontal="left" vertical="center" wrapText="1"/>
    </xf>
    <xf numFmtId="0" fontId="53" fillId="17" borderId="27" xfId="0" applyFont="1" applyFill="1" applyBorder="1" applyAlignment="1">
      <alignment horizontal="center" vertical="center" textRotation="90" wrapText="1"/>
    </xf>
    <xf numFmtId="0" fontId="53" fillId="17" borderId="26" xfId="0" applyFont="1" applyFill="1" applyBorder="1" applyAlignment="1">
      <alignment horizontal="center" vertical="center" textRotation="90" wrapText="1"/>
    </xf>
    <xf numFmtId="0" fontId="53" fillId="17" borderId="17" xfId="0" applyFont="1" applyFill="1" applyBorder="1" applyAlignment="1">
      <alignment horizontal="center" vertical="center" textRotation="90" wrapText="1"/>
    </xf>
    <xf numFmtId="0" fontId="53" fillId="17" borderId="27" xfId="0" applyFont="1" applyFill="1" applyBorder="1" applyAlignment="1">
      <alignment horizontal="center" vertical="center" wrapText="1"/>
    </xf>
    <xf numFmtId="0" fontId="53" fillId="17" borderId="17" xfId="0" applyFont="1" applyFill="1" applyBorder="1" applyAlignment="1">
      <alignment horizontal="center" vertical="center" wrapText="1"/>
    </xf>
    <xf numFmtId="0" fontId="36" fillId="8" borderId="17" xfId="0" applyFont="1" applyFill="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36" fillId="8" borderId="73" xfId="0" applyFont="1" applyFill="1" applyBorder="1" applyAlignment="1" applyProtection="1">
      <alignment horizontal="center" vertical="center" wrapText="1"/>
      <protection locked="0"/>
    </xf>
    <xf numFmtId="0" fontId="36" fillId="8" borderId="29" xfId="0" applyFont="1" applyFill="1" applyBorder="1" applyAlignment="1" applyProtection="1">
      <alignment horizontal="center" vertical="center" wrapText="1"/>
      <protection locked="0"/>
    </xf>
    <xf numFmtId="0" fontId="2" fillId="11" borderId="22" xfId="0" applyFont="1" applyFill="1" applyBorder="1" applyAlignment="1">
      <alignment horizontal="center"/>
    </xf>
    <xf numFmtId="0" fontId="3" fillId="0" borderId="56" xfId="0" applyFont="1" applyBorder="1" applyAlignment="1">
      <alignment horizontal="center"/>
    </xf>
    <xf numFmtId="0" fontId="3" fillId="0" borderId="37" xfId="0" applyFont="1" applyBorder="1" applyAlignment="1">
      <alignment horizontal="center"/>
    </xf>
    <xf numFmtId="0" fontId="55" fillId="10" borderId="76" xfId="0" applyFont="1" applyFill="1" applyBorder="1" applyAlignment="1" applyProtection="1">
      <alignment horizontal="center" vertical="center" wrapText="1"/>
      <protection locked="0"/>
    </xf>
    <xf numFmtId="0" fontId="55" fillId="10" borderId="69"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36" fillId="8" borderId="18" xfId="0" applyFont="1" applyFill="1" applyBorder="1" applyAlignment="1">
      <alignment horizontal="center"/>
    </xf>
    <xf numFmtId="0" fontId="36" fillId="8" borderId="17" xfId="0" applyFont="1" applyFill="1" applyBorder="1" applyAlignment="1">
      <alignment horizontal="center"/>
    </xf>
    <xf numFmtId="0" fontId="20" fillId="0" borderId="14" xfId="0" applyFont="1" applyFill="1" applyBorder="1" applyAlignment="1">
      <alignment horizontal="center"/>
    </xf>
    <xf numFmtId="0" fontId="19" fillId="0" borderId="14" xfId="0" applyFont="1" applyFill="1" applyBorder="1" applyAlignment="1">
      <alignment horizontal="center"/>
    </xf>
    <xf numFmtId="0" fontId="19" fillId="10" borderId="14" xfId="0" applyFont="1" applyFill="1" applyBorder="1" applyAlignment="1">
      <alignment horizontal="center"/>
    </xf>
    <xf numFmtId="0" fontId="3" fillId="0" borderId="56" xfId="0" applyFont="1" applyFill="1" applyBorder="1" applyAlignment="1">
      <alignment horizontal="center"/>
    </xf>
    <xf numFmtId="0" fontId="3" fillId="0" borderId="37" xfId="0" applyFont="1" applyFill="1" applyBorder="1" applyAlignment="1">
      <alignment horizontal="center"/>
    </xf>
    <xf numFmtId="0" fontId="53" fillId="7" borderId="14" xfId="0" applyFont="1" applyFill="1" applyBorder="1" applyAlignment="1">
      <alignment horizontal="center"/>
    </xf>
    <xf numFmtId="0" fontId="55" fillId="10" borderId="56" xfId="0" applyFont="1" applyFill="1" applyBorder="1" applyAlignment="1" applyProtection="1">
      <alignment horizontal="center" vertical="center" wrapText="1"/>
      <protection locked="0"/>
    </xf>
    <xf numFmtId="0" fontId="55" fillId="10" borderId="55" xfId="0" applyFont="1" applyFill="1" applyBorder="1" applyAlignment="1" applyProtection="1">
      <alignment horizontal="center" vertical="center" wrapText="1"/>
      <protection locked="0"/>
    </xf>
    <xf numFmtId="0" fontId="55" fillId="10" borderId="37" xfId="0" applyFont="1" applyFill="1" applyBorder="1" applyAlignment="1" applyProtection="1">
      <alignment horizontal="center" vertical="center" wrapText="1"/>
      <protection locked="0"/>
    </xf>
    <xf numFmtId="0" fontId="19" fillId="10" borderId="14" xfId="0" applyFont="1" applyFill="1" applyBorder="1" applyAlignment="1">
      <alignment horizontal="center" vertical="center"/>
    </xf>
    <xf numFmtId="0" fontId="56" fillId="10" borderId="14" xfId="0" applyFont="1" applyFill="1" applyBorder="1" applyAlignment="1">
      <alignment horizontal="center" vertical="center" wrapText="1"/>
    </xf>
    <xf numFmtId="0" fontId="20" fillId="0" borderId="56" xfId="0" applyFont="1" applyFill="1" applyBorder="1" applyAlignment="1">
      <alignment horizontal="center"/>
    </xf>
    <xf numFmtId="0" fontId="20" fillId="0" borderId="55" xfId="0" applyFont="1" applyFill="1" applyBorder="1" applyAlignment="1">
      <alignment horizontal="center"/>
    </xf>
    <xf numFmtId="0" fontId="20" fillId="0" borderId="37" xfId="0" applyFont="1" applyFill="1" applyBorder="1" applyAlignment="1">
      <alignment horizontal="center"/>
    </xf>
    <xf numFmtId="0" fontId="19" fillId="0" borderId="56" xfId="0" applyFont="1" applyFill="1" applyBorder="1" applyAlignment="1">
      <alignment horizontal="center"/>
    </xf>
    <xf numFmtId="0" fontId="19" fillId="0" borderId="55" xfId="0" applyFont="1" applyFill="1" applyBorder="1" applyAlignment="1">
      <alignment horizontal="center"/>
    </xf>
    <xf numFmtId="0" fontId="19" fillId="0" borderId="37" xfId="0" applyFont="1" applyFill="1" applyBorder="1" applyAlignment="1">
      <alignment horizontal="center"/>
    </xf>
    <xf numFmtId="0" fontId="53" fillId="7" borderId="56" xfId="0" applyFont="1" applyFill="1" applyBorder="1" applyAlignment="1">
      <alignment horizontal="center"/>
    </xf>
    <xf numFmtId="0" fontId="53" fillId="7" borderId="55" xfId="0" applyFont="1" applyFill="1" applyBorder="1" applyAlignment="1">
      <alignment horizontal="center"/>
    </xf>
    <xf numFmtId="0" fontId="53" fillId="7" borderId="37" xfId="0" applyFont="1" applyFill="1" applyBorder="1" applyAlignment="1">
      <alignment horizontal="center"/>
    </xf>
    <xf numFmtId="0" fontId="56" fillId="10" borderId="56" xfId="0" applyFont="1" applyFill="1" applyBorder="1" applyAlignment="1">
      <alignment horizontal="center" vertical="center" wrapText="1"/>
    </xf>
    <xf numFmtId="0" fontId="56" fillId="10" borderId="55" xfId="0" applyFont="1" applyFill="1" applyBorder="1" applyAlignment="1">
      <alignment horizontal="center" vertical="center" wrapText="1"/>
    </xf>
    <xf numFmtId="0" fontId="56" fillId="10" borderId="37" xfId="0" applyFont="1" applyFill="1" applyBorder="1" applyAlignment="1">
      <alignment horizontal="center" vertical="center" wrapText="1"/>
    </xf>
    <xf numFmtId="0" fontId="19" fillId="10" borderId="56" xfId="0" applyFont="1" applyFill="1" applyBorder="1" applyAlignment="1">
      <alignment horizontal="center" vertical="center"/>
    </xf>
    <xf numFmtId="0" fontId="19" fillId="10" borderId="55" xfId="0" applyFont="1" applyFill="1" applyBorder="1" applyAlignment="1">
      <alignment horizontal="center" vertical="center"/>
    </xf>
    <xf numFmtId="0" fontId="19" fillId="10" borderId="37" xfId="0" applyFont="1" applyFill="1" applyBorder="1" applyAlignment="1">
      <alignment horizontal="center" vertical="center"/>
    </xf>
    <xf numFmtId="0" fontId="19" fillId="10" borderId="56" xfId="0" applyFont="1" applyFill="1" applyBorder="1" applyAlignment="1">
      <alignment horizontal="center"/>
    </xf>
    <xf numFmtId="0" fontId="19" fillId="10" borderId="55" xfId="0" applyFont="1" applyFill="1" applyBorder="1" applyAlignment="1">
      <alignment horizontal="center"/>
    </xf>
    <xf numFmtId="0" fontId="19" fillId="10" borderId="37" xfId="0" applyFont="1" applyFill="1" applyBorder="1" applyAlignment="1">
      <alignment horizontal="center"/>
    </xf>
    <xf numFmtId="0" fontId="0" fillId="0" borderId="0" xfId="0" applyAlignment="1">
      <alignment horizontal="center" wrapText="1"/>
    </xf>
    <xf numFmtId="0" fontId="19" fillId="0" borderId="89" xfId="0" applyFont="1" applyFill="1" applyBorder="1" applyAlignment="1">
      <alignment horizontal="center"/>
    </xf>
    <xf numFmtId="0" fontId="19" fillId="0" borderId="61" xfId="0" applyFont="1" applyFill="1" applyBorder="1" applyAlignment="1">
      <alignment horizontal="center"/>
    </xf>
    <xf numFmtId="0" fontId="19" fillId="0" borderId="60" xfId="0" applyFont="1" applyFill="1" applyBorder="1" applyAlignment="1">
      <alignment horizontal="center"/>
    </xf>
    <xf numFmtId="0" fontId="19" fillId="10" borderId="39" xfId="0" applyFont="1" applyFill="1" applyBorder="1" applyAlignment="1">
      <alignment horizontal="center"/>
    </xf>
    <xf numFmtId="0" fontId="20" fillId="0" borderId="39" xfId="0" applyFont="1" applyFill="1" applyBorder="1" applyAlignment="1">
      <alignment horizontal="center"/>
    </xf>
    <xf numFmtId="0" fontId="20" fillId="0" borderId="51" xfId="0" applyFont="1" applyFill="1" applyBorder="1" applyAlignment="1">
      <alignment horizontal="center"/>
    </xf>
    <xf numFmtId="0" fontId="20" fillId="0" borderId="90" xfId="0" applyFont="1" applyFill="1" applyBorder="1" applyAlignment="1">
      <alignment horizontal="center"/>
    </xf>
    <xf numFmtId="0" fontId="20" fillId="0" borderId="47" xfId="0" applyFont="1" applyFill="1" applyBorder="1" applyAlignment="1">
      <alignment horizontal="center"/>
    </xf>
    <xf numFmtId="0" fontId="17" fillId="10" borderId="56" xfId="0" applyFont="1" applyFill="1" applyBorder="1" applyAlignment="1" applyProtection="1">
      <alignment horizontal="center" vertical="center" wrapText="1"/>
      <protection locked="0"/>
    </xf>
    <xf numFmtId="0" fontId="17" fillId="10" borderId="55" xfId="0" applyFont="1" applyFill="1" applyBorder="1" applyAlignment="1" applyProtection="1">
      <alignment horizontal="center" vertical="center" wrapText="1"/>
      <protection locked="0"/>
    </xf>
    <xf numFmtId="0" fontId="17" fillId="10" borderId="37" xfId="0" applyFont="1" applyFill="1" applyBorder="1" applyAlignment="1" applyProtection="1">
      <alignment horizontal="center" vertical="center" wrapText="1"/>
      <protection locked="0"/>
    </xf>
    <xf numFmtId="0" fontId="19" fillId="10" borderId="89" xfId="0" applyFont="1" applyFill="1" applyBorder="1" applyAlignment="1">
      <alignment horizontal="center" vertical="center"/>
    </xf>
    <xf numFmtId="0" fontId="19" fillId="10" borderId="61" xfId="0" applyFont="1" applyFill="1" applyBorder="1" applyAlignment="1">
      <alignment horizontal="center" vertical="center"/>
    </xf>
    <xf numFmtId="0" fontId="19" fillId="10" borderId="60" xfId="0" applyFont="1" applyFill="1" applyBorder="1" applyAlignment="1">
      <alignment horizontal="center" vertical="center"/>
    </xf>
    <xf numFmtId="0" fontId="17" fillId="10" borderId="76" xfId="0" applyFont="1" applyFill="1" applyBorder="1" applyAlignment="1">
      <alignment horizontal="center" vertical="center"/>
    </xf>
    <xf numFmtId="0" fontId="17" fillId="10" borderId="69" xfId="0" applyFont="1" applyFill="1" applyBorder="1" applyAlignment="1">
      <alignment horizontal="center" vertical="center"/>
    </xf>
    <xf numFmtId="0" fontId="17" fillId="10" borderId="32" xfId="0" applyFont="1" applyFill="1" applyBorder="1" applyAlignment="1">
      <alignment horizontal="center" vertical="center"/>
    </xf>
    <xf numFmtId="0" fontId="22" fillId="9" borderId="62" xfId="0" applyFont="1" applyFill="1" applyBorder="1" applyAlignment="1">
      <alignment horizontal="center"/>
    </xf>
    <xf numFmtId="0" fontId="22" fillId="9" borderId="61" xfId="0" applyFont="1" applyFill="1" applyBorder="1" applyAlignment="1">
      <alignment horizontal="center"/>
    </xf>
    <xf numFmtId="0" fontId="22" fillId="9" borderId="60" xfId="0" applyFont="1" applyFill="1" applyBorder="1" applyAlignment="1">
      <alignment horizontal="center"/>
    </xf>
    <xf numFmtId="0" fontId="22" fillId="8" borderId="62" xfId="0" applyFont="1" applyFill="1" applyBorder="1" applyAlignment="1">
      <alignment horizontal="center"/>
    </xf>
    <xf numFmtId="0" fontId="22" fillId="8" borderId="61" xfId="0" applyFont="1" applyFill="1" applyBorder="1" applyAlignment="1">
      <alignment horizontal="center"/>
    </xf>
    <xf numFmtId="0" fontId="22" fillId="8" borderId="60" xfId="0" applyFont="1" applyFill="1" applyBorder="1" applyAlignment="1">
      <alignment horizontal="center"/>
    </xf>
    <xf numFmtId="0" fontId="16" fillId="8" borderId="18" xfId="0" applyFont="1" applyFill="1" applyBorder="1" applyAlignment="1">
      <alignment horizontal="center"/>
    </xf>
    <xf numFmtId="0" fontId="16" fillId="8" borderId="17" xfId="0" applyFont="1" applyFill="1" applyBorder="1" applyAlignment="1">
      <alignment horizontal="center"/>
    </xf>
    <xf numFmtId="0" fontId="16" fillId="8" borderId="17" xfId="0" applyFont="1" applyFill="1" applyBorder="1" applyAlignment="1" applyProtection="1">
      <alignment horizontal="center" vertical="center" wrapText="1"/>
      <protection locked="0"/>
    </xf>
    <xf numFmtId="0" fontId="19" fillId="0" borderId="0" xfId="0" applyFont="1" applyFill="1" applyBorder="1" applyAlignment="1">
      <alignment horizontal="left"/>
    </xf>
    <xf numFmtId="0" fontId="0" fillId="0" borderId="0" xfId="0" applyFont="1" applyAlignment="1">
      <alignment horizontal="left"/>
    </xf>
    <xf numFmtId="0" fontId="16" fillId="8" borderId="16" xfId="0" applyFont="1" applyFill="1" applyBorder="1" applyAlignment="1" applyProtection="1">
      <alignment horizontal="center" vertical="center" wrapText="1"/>
      <protection locked="0"/>
    </xf>
    <xf numFmtId="0" fontId="16" fillId="8" borderId="73" xfId="0" applyFont="1" applyFill="1" applyBorder="1" applyAlignment="1" applyProtection="1">
      <alignment horizontal="center" vertical="center" wrapText="1"/>
      <protection locked="0"/>
    </xf>
    <xf numFmtId="0" fontId="16" fillId="8" borderId="29" xfId="0" applyFont="1" applyFill="1" applyBorder="1" applyAlignment="1" applyProtection="1">
      <alignment horizontal="center" vertical="center" wrapText="1"/>
      <protection locked="0"/>
    </xf>
    <xf numFmtId="0" fontId="17" fillId="10" borderId="23" xfId="0" applyFont="1" applyFill="1" applyBorder="1" applyAlignment="1">
      <alignment horizontal="center" vertical="center"/>
    </xf>
    <xf numFmtId="0" fontId="17" fillId="10" borderId="52" xfId="0" applyFont="1" applyFill="1" applyBorder="1" applyAlignment="1">
      <alignment horizontal="center" vertical="center"/>
    </xf>
    <xf numFmtId="0" fontId="17" fillId="10" borderId="67" xfId="0" applyFont="1" applyFill="1" applyBorder="1" applyAlignment="1">
      <alignment horizontal="center" vertical="center"/>
    </xf>
    <xf numFmtId="0" fontId="17" fillId="10" borderId="14" xfId="0" applyFont="1" applyFill="1" applyBorder="1" applyAlignment="1">
      <alignment horizontal="center" vertical="center"/>
    </xf>
    <xf numFmtId="0" fontId="15" fillId="7" borderId="23" xfId="0" applyFont="1" applyFill="1" applyBorder="1" applyAlignment="1">
      <alignment horizontal="center"/>
    </xf>
    <xf numFmtId="0" fontId="15" fillId="7" borderId="52" xfId="0" applyFont="1" applyFill="1" applyBorder="1" applyAlignment="1">
      <alignment horizontal="center"/>
    </xf>
    <xf numFmtId="0" fontId="15" fillId="7" borderId="68" xfId="0" applyFont="1" applyFill="1" applyBorder="1" applyAlignment="1">
      <alignment horizontal="center"/>
    </xf>
    <xf numFmtId="0" fontId="17" fillId="10" borderId="76" xfId="0" applyFont="1" applyFill="1" applyBorder="1" applyAlignment="1" applyProtection="1">
      <alignment horizontal="center" vertical="center" wrapText="1"/>
      <protection locked="0"/>
    </xf>
    <xf numFmtId="0" fontId="17" fillId="10" borderId="69" xfId="0" applyFont="1" applyFill="1" applyBorder="1" applyAlignment="1" applyProtection="1">
      <alignment horizontal="center" vertical="center" wrapText="1"/>
      <protection locked="0"/>
    </xf>
    <xf numFmtId="0" fontId="17" fillId="10" borderId="32" xfId="0" applyFont="1" applyFill="1" applyBorder="1" applyAlignment="1" applyProtection="1">
      <alignment horizontal="center" vertical="center" wrapText="1"/>
      <protection locked="0"/>
    </xf>
    <xf numFmtId="0" fontId="19" fillId="0" borderId="23" xfId="0" applyFont="1" applyFill="1" applyBorder="1" applyAlignment="1">
      <alignment horizontal="center"/>
    </xf>
    <xf numFmtId="0" fontId="19" fillId="0" borderId="52" xfId="0" applyFont="1" applyFill="1" applyBorder="1" applyAlignment="1">
      <alignment horizontal="center"/>
    </xf>
    <xf numFmtId="0" fontId="19" fillId="0" borderId="68" xfId="0" applyFont="1" applyFill="1" applyBorder="1" applyAlignment="1">
      <alignment horizontal="center"/>
    </xf>
    <xf numFmtId="0" fontId="25" fillId="7" borderId="19" xfId="0" applyFont="1" applyFill="1" applyBorder="1" applyAlignment="1">
      <alignment horizontal="center"/>
    </xf>
    <xf numFmtId="0" fontId="25" fillId="7" borderId="0" xfId="0" applyFont="1" applyFill="1" applyBorder="1" applyAlignment="1">
      <alignment horizontal="center"/>
    </xf>
    <xf numFmtId="0" fontId="24" fillId="10" borderId="76" xfId="0" applyFont="1" applyFill="1" applyBorder="1" applyAlignment="1">
      <alignment horizontal="center" vertical="center" wrapText="1"/>
    </xf>
    <xf numFmtId="0" fontId="24" fillId="10" borderId="69" xfId="0" applyFont="1" applyFill="1" applyBorder="1" applyAlignment="1">
      <alignment horizontal="center" vertical="center" wrapText="1"/>
    </xf>
    <xf numFmtId="0" fontId="16" fillId="8" borderId="73" xfId="0" applyFont="1" applyFill="1" applyBorder="1" applyAlignment="1" applyProtection="1">
      <alignment horizontal="center" vertical="top" wrapText="1"/>
      <protection locked="0"/>
    </xf>
    <xf numFmtId="0" fontId="16" fillId="8" borderId="29" xfId="0" applyFont="1" applyFill="1" applyBorder="1" applyAlignment="1" applyProtection="1">
      <alignment horizontal="center" vertical="top" wrapText="1"/>
      <protection locked="0"/>
    </xf>
    <xf numFmtId="0" fontId="17" fillId="10" borderId="56" xfId="0" applyFont="1" applyFill="1" applyBorder="1" applyAlignment="1" applyProtection="1">
      <alignment horizontal="center" vertical="top" wrapText="1"/>
      <protection locked="0"/>
    </xf>
    <xf numFmtId="0" fontId="17" fillId="10" borderId="55" xfId="0" applyFont="1" applyFill="1" applyBorder="1" applyAlignment="1" applyProtection="1">
      <alignment horizontal="center" vertical="top" wrapText="1"/>
      <protection locked="0"/>
    </xf>
    <xf numFmtId="0" fontId="17" fillId="10" borderId="37" xfId="0" applyFont="1" applyFill="1" applyBorder="1" applyAlignment="1" applyProtection="1">
      <alignment horizontal="center" vertical="top" wrapText="1"/>
      <protection locked="0"/>
    </xf>
    <xf numFmtId="0" fontId="17" fillId="10" borderId="76" xfId="0" applyFont="1" applyFill="1" applyBorder="1" applyAlignment="1" applyProtection="1">
      <alignment horizontal="center" vertical="top" wrapText="1"/>
      <protection locked="0"/>
    </xf>
    <xf numFmtId="0" fontId="17" fillId="10" borderId="69" xfId="0" applyFont="1" applyFill="1" applyBorder="1" applyAlignment="1" applyProtection="1">
      <alignment horizontal="center" vertical="top" wrapText="1"/>
      <protection locked="0"/>
    </xf>
    <xf numFmtId="0" fontId="16" fillId="8" borderId="18" xfId="0" applyFont="1" applyFill="1" applyBorder="1" applyAlignment="1">
      <alignment horizontal="center" vertical="top"/>
    </xf>
    <xf numFmtId="0" fontId="16" fillId="8" borderId="17" xfId="0" applyFont="1" applyFill="1" applyBorder="1" applyAlignment="1">
      <alignment horizontal="center" vertical="top"/>
    </xf>
    <xf numFmtId="0" fontId="17" fillId="10" borderId="32" xfId="0" applyFont="1" applyFill="1" applyBorder="1" applyAlignment="1" applyProtection="1">
      <alignment horizontal="center" vertical="top" wrapText="1"/>
      <protection locked="0"/>
    </xf>
    <xf numFmtId="0" fontId="16" fillId="8" borderId="17" xfId="0" applyFont="1" applyFill="1" applyBorder="1" applyAlignment="1" applyProtection="1">
      <alignment horizontal="center" vertical="top" wrapText="1"/>
      <protection locked="0"/>
    </xf>
    <xf numFmtId="0" fontId="16" fillId="8" borderId="16" xfId="0" applyFont="1" applyFill="1" applyBorder="1" applyAlignment="1" applyProtection="1">
      <alignment horizontal="center" vertical="top" wrapText="1"/>
      <protection locked="0"/>
    </xf>
    <xf numFmtId="0" fontId="2" fillId="11" borderId="22" xfId="0" applyFont="1" applyFill="1" applyBorder="1" applyAlignment="1">
      <alignment horizontal="center" vertical="top"/>
    </xf>
    <xf numFmtId="0" fontId="17" fillId="10" borderId="76" xfId="0" applyFont="1" applyFill="1" applyBorder="1" applyAlignment="1">
      <alignment horizontal="center" vertical="top"/>
    </xf>
    <xf numFmtId="0" fontId="17" fillId="10" borderId="69" xfId="0" applyFont="1" applyFill="1" applyBorder="1" applyAlignment="1">
      <alignment horizontal="center" vertical="top"/>
    </xf>
    <xf numFmtId="0" fontId="17" fillId="10" borderId="32" xfId="0" applyFont="1" applyFill="1" applyBorder="1" applyAlignment="1">
      <alignment horizontal="center" vertical="top"/>
    </xf>
    <xf numFmtId="0" fontId="20" fillId="0" borderId="51" xfId="0" applyFont="1" applyFill="1" applyBorder="1" applyAlignment="1">
      <alignment horizontal="center" vertical="top"/>
    </xf>
    <xf numFmtId="0" fontId="20" fillId="0" borderId="90" xfId="0" applyFont="1" applyFill="1" applyBorder="1" applyAlignment="1">
      <alignment horizontal="center" vertical="top"/>
    </xf>
    <xf numFmtId="0" fontId="20" fillId="0" borderId="47" xfId="0" applyFont="1" applyFill="1" applyBorder="1" applyAlignment="1">
      <alignment horizontal="center" vertical="top"/>
    </xf>
    <xf numFmtId="0" fontId="19" fillId="0" borderId="23" xfId="0" applyFont="1" applyFill="1" applyBorder="1" applyAlignment="1">
      <alignment horizontal="center" vertical="top"/>
    </xf>
    <xf numFmtId="0" fontId="19" fillId="0" borderId="52" xfId="0" applyFont="1" applyFill="1" applyBorder="1" applyAlignment="1">
      <alignment horizontal="center" vertical="top"/>
    </xf>
    <xf numFmtId="0" fontId="19" fillId="0" borderId="68" xfId="0" applyFont="1" applyFill="1" applyBorder="1" applyAlignment="1">
      <alignment horizontal="center" vertical="top"/>
    </xf>
    <xf numFmtId="0" fontId="17" fillId="10" borderId="23" xfId="0" applyFont="1" applyFill="1" applyBorder="1" applyAlignment="1">
      <alignment horizontal="center" vertical="top"/>
    </xf>
    <xf numFmtId="0" fontId="17" fillId="10" borderId="52" xfId="0" applyFont="1" applyFill="1" applyBorder="1" applyAlignment="1">
      <alignment horizontal="center" vertical="top"/>
    </xf>
    <xf numFmtId="0" fontId="17" fillId="10" borderId="67" xfId="0" applyFont="1" applyFill="1" applyBorder="1" applyAlignment="1">
      <alignment horizontal="center" vertical="top"/>
    </xf>
    <xf numFmtId="0" fontId="15" fillId="7" borderId="77" xfId="0" applyFont="1" applyFill="1" applyBorder="1" applyAlignment="1">
      <alignment horizontal="center" vertical="top"/>
    </xf>
    <xf numFmtId="0" fontId="15" fillId="7" borderId="22" xfId="0" applyFont="1" applyFill="1" applyBorder="1" applyAlignment="1">
      <alignment horizontal="center" vertical="top"/>
    </xf>
    <xf numFmtId="0" fontId="15" fillId="7" borderId="21" xfId="0" applyFont="1" applyFill="1" applyBorder="1" applyAlignment="1">
      <alignment horizontal="center" vertical="top"/>
    </xf>
    <xf numFmtId="0" fontId="22" fillId="9" borderId="14" xfId="0" applyFont="1" applyFill="1" applyBorder="1" applyAlignment="1">
      <alignment horizontal="center" vertical="top"/>
    </xf>
    <xf numFmtId="0" fontId="17" fillId="10" borderId="14" xfId="0" applyFont="1" applyFill="1" applyBorder="1" applyAlignment="1">
      <alignment horizontal="center" vertical="top"/>
    </xf>
    <xf numFmtId="0" fontId="19" fillId="10" borderId="89" xfId="0" applyFont="1" applyFill="1" applyBorder="1" applyAlignment="1">
      <alignment horizontal="center" vertical="top"/>
    </xf>
    <xf numFmtId="0" fontId="19" fillId="10" borderId="61" xfId="0" applyFont="1" applyFill="1" applyBorder="1" applyAlignment="1">
      <alignment horizontal="center" vertical="top"/>
    </xf>
    <xf numFmtId="0" fontId="19" fillId="10" borderId="60" xfId="0" applyFont="1" applyFill="1" applyBorder="1" applyAlignment="1">
      <alignment horizontal="center" vertical="top"/>
    </xf>
    <xf numFmtId="0" fontId="20" fillId="0" borderId="39" xfId="0" applyFont="1" applyFill="1" applyBorder="1" applyAlignment="1">
      <alignment horizontal="center" vertical="top"/>
    </xf>
    <xf numFmtId="0" fontId="20" fillId="0" borderId="55" xfId="0" applyFont="1" applyFill="1" applyBorder="1" applyAlignment="1">
      <alignment horizontal="center" vertical="top"/>
    </xf>
    <xf numFmtId="0" fontId="20" fillId="0" borderId="37" xfId="0" applyFont="1" applyFill="1" applyBorder="1" applyAlignment="1">
      <alignment horizontal="center" vertical="top"/>
    </xf>
    <xf numFmtId="0" fontId="19" fillId="0" borderId="0" xfId="0" applyFont="1" applyFill="1" applyBorder="1" applyAlignment="1">
      <alignment horizontal="left" vertical="top" wrapText="1"/>
    </xf>
    <xf numFmtId="0" fontId="19" fillId="0" borderId="89" xfId="0" applyFont="1" applyFill="1" applyBorder="1" applyAlignment="1">
      <alignment horizontal="center" vertical="top"/>
    </xf>
    <xf numFmtId="0" fontId="19" fillId="0" borderId="61" xfId="0" applyFont="1" applyFill="1" applyBorder="1" applyAlignment="1">
      <alignment horizontal="center" vertical="top"/>
    </xf>
    <xf numFmtId="0" fontId="19" fillId="0" borderId="60" xfId="0" applyFont="1" applyFill="1" applyBorder="1" applyAlignment="1">
      <alignment horizontal="center" vertical="top"/>
    </xf>
    <xf numFmtId="0" fontId="19" fillId="10" borderId="39" xfId="0" applyFont="1" applyFill="1" applyBorder="1" applyAlignment="1">
      <alignment horizontal="center" vertical="top"/>
    </xf>
    <xf numFmtId="0" fontId="19" fillId="10" borderId="55" xfId="0" applyFont="1" applyFill="1" applyBorder="1" applyAlignment="1">
      <alignment horizontal="center" vertical="top"/>
    </xf>
    <xf numFmtId="0" fontId="19" fillId="10" borderId="37" xfId="0" applyFont="1" applyFill="1" applyBorder="1" applyAlignment="1">
      <alignment horizontal="center" vertical="top"/>
    </xf>
    <xf numFmtId="0" fontId="25" fillId="7" borderId="19" xfId="0" applyFont="1" applyFill="1" applyBorder="1" applyAlignment="1">
      <alignment horizontal="center" vertical="top"/>
    </xf>
    <xf numFmtId="0" fontId="25" fillId="7" borderId="0" xfId="0" applyFont="1" applyFill="1" applyBorder="1" applyAlignment="1">
      <alignment horizontal="center" vertical="top"/>
    </xf>
    <xf numFmtId="0" fontId="24" fillId="10" borderId="76" xfId="0" applyFont="1" applyFill="1" applyBorder="1" applyAlignment="1">
      <alignment horizontal="center" vertical="top" wrapText="1"/>
    </xf>
    <xf numFmtId="0" fontId="24" fillId="10" borderId="69" xfId="0" applyFont="1" applyFill="1" applyBorder="1" applyAlignment="1">
      <alignment horizontal="center" vertical="top" wrapText="1"/>
    </xf>
    <xf numFmtId="0" fontId="0" fillId="0" borderId="0" xfId="0" applyAlignment="1">
      <alignment horizontal="left"/>
    </xf>
    <xf numFmtId="0" fontId="0" fillId="0" borderId="0" xfId="0" applyAlignment="1">
      <alignment/>
    </xf>
    <xf numFmtId="0" fontId="15" fillId="7" borderId="77" xfId="0" applyFont="1" applyFill="1" applyBorder="1" applyAlignment="1">
      <alignment horizontal="center"/>
    </xf>
    <xf numFmtId="0" fontId="15" fillId="7" borderId="22" xfId="0" applyFont="1" applyFill="1" applyBorder="1" applyAlignment="1">
      <alignment horizontal="center"/>
    </xf>
    <xf numFmtId="0" fontId="15" fillId="7" borderId="21" xfId="0" applyFont="1" applyFill="1" applyBorder="1" applyAlignment="1">
      <alignment horizontal="center"/>
    </xf>
    <xf numFmtId="0" fontId="22" fillId="9" borderId="14" xfId="0" applyFont="1" applyFill="1" applyBorder="1" applyAlignment="1">
      <alignment horizontal="center"/>
    </xf>
    <xf numFmtId="0" fontId="17" fillId="9" borderId="14" xfId="0" applyFont="1" applyFill="1" applyBorder="1" applyAlignment="1">
      <alignment horizontal="center" vertical="center"/>
    </xf>
    <xf numFmtId="0" fontId="17" fillId="10" borderId="91" xfId="0" applyFont="1" applyFill="1" applyBorder="1" applyAlignment="1" applyProtection="1">
      <alignment horizontal="center" vertical="center" wrapText="1"/>
      <protection locked="0"/>
    </xf>
    <xf numFmtId="0" fontId="17" fillId="10" borderId="52" xfId="0" applyFont="1" applyFill="1" applyBorder="1" applyAlignment="1" applyProtection="1">
      <alignment horizontal="center" vertical="center" wrapText="1"/>
      <protection locked="0"/>
    </xf>
    <xf numFmtId="0" fontId="17" fillId="10" borderId="67" xfId="0" applyFont="1" applyFill="1" applyBorder="1" applyAlignment="1" applyProtection="1">
      <alignment horizontal="center" vertical="center" wrapText="1"/>
      <protection locked="0"/>
    </xf>
    <xf numFmtId="0" fontId="16" fillId="8" borderId="89" xfId="0" applyFont="1" applyFill="1" applyBorder="1" applyAlignment="1">
      <alignment horizontal="center"/>
    </xf>
    <xf numFmtId="0" fontId="16" fillId="8" borderId="61" xfId="0" applyFont="1" applyFill="1" applyBorder="1" applyAlignment="1">
      <alignment horizontal="center"/>
    </xf>
    <xf numFmtId="0" fontId="16" fillId="8" borderId="60" xfId="0" applyFont="1" applyFill="1" applyBorder="1" applyAlignment="1">
      <alignment horizontal="center"/>
    </xf>
    <xf numFmtId="0" fontId="16" fillId="8" borderId="62" xfId="0" applyFont="1" applyFill="1" applyBorder="1" applyAlignment="1" applyProtection="1">
      <alignment horizontal="center" vertical="center" wrapText="1"/>
      <protection locked="0"/>
    </xf>
    <xf numFmtId="0" fontId="16" fillId="8" borderId="61" xfId="0" applyFont="1" applyFill="1" applyBorder="1" applyAlignment="1" applyProtection="1">
      <alignment horizontal="center" vertical="center" wrapText="1"/>
      <protection locked="0"/>
    </xf>
    <xf numFmtId="0" fontId="16" fillId="8" borderId="60" xfId="0" applyFont="1" applyFill="1" applyBorder="1" applyAlignment="1" applyProtection="1">
      <alignment horizontal="center" vertical="center" wrapText="1"/>
      <protection locked="0"/>
    </xf>
    <xf numFmtId="0" fontId="16" fillId="8" borderId="58" xfId="0" applyFont="1" applyFill="1" applyBorder="1" applyAlignment="1" applyProtection="1">
      <alignment horizontal="center" vertical="center" wrapText="1"/>
      <protection locked="0"/>
    </xf>
    <xf numFmtId="0" fontId="17" fillId="10" borderId="23" xfId="0" applyFont="1" applyFill="1" applyBorder="1" applyAlignment="1" applyProtection="1">
      <alignment horizontal="center" vertical="center" wrapText="1"/>
      <protection locked="0"/>
    </xf>
    <xf numFmtId="0" fontId="17" fillId="10" borderId="68" xfId="0" applyFont="1" applyFill="1" applyBorder="1" applyAlignment="1" applyProtection="1">
      <alignment horizontal="center" vertical="center" wrapText="1"/>
      <protection locked="0"/>
    </xf>
    <xf numFmtId="0" fontId="16" fillId="8" borderId="89" xfId="0" applyFont="1" applyFill="1" applyBorder="1" applyAlignment="1" applyProtection="1">
      <alignment horizontal="center" vertical="center" wrapText="1"/>
      <protection locked="0"/>
    </xf>
    <xf numFmtId="0" fontId="3" fillId="0" borderId="0" xfId="0" applyFont="1" applyFill="1" applyAlignment="1">
      <alignment horizontal="center" vertical="center"/>
    </xf>
    <xf numFmtId="0" fontId="17" fillId="10" borderId="30" xfId="0" applyFont="1" applyFill="1" applyBorder="1" applyAlignment="1">
      <alignment horizontal="center" vertical="center"/>
    </xf>
    <xf numFmtId="0" fontId="19" fillId="0" borderId="0" xfId="0" applyFont="1" applyFill="1" applyBorder="1" applyAlignment="1">
      <alignment horizontal="left" wrapText="1"/>
    </xf>
    <xf numFmtId="0" fontId="0" fillId="0" borderId="0" xfId="0" applyAlignment="1">
      <alignment horizontal="left" wrapText="1"/>
    </xf>
    <xf numFmtId="0" fontId="0" fillId="0" borderId="0" xfId="0" applyAlignment="1">
      <alignment wrapText="1"/>
    </xf>
    <xf numFmtId="0" fontId="19" fillId="0" borderId="0" xfId="0" applyFont="1" applyFill="1" applyBorder="1" applyAlignment="1">
      <alignment horizontal="left" vertical="top"/>
    </xf>
    <xf numFmtId="0" fontId="0" fillId="0" borderId="0" xfId="0" applyAlignment="1">
      <alignment horizontal="left" vertical="top"/>
    </xf>
    <xf numFmtId="0" fontId="0" fillId="0" borderId="0" xfId="0" applyAlignment="1">
      <alignment vertical="top"/>
    </xf>
    <xf numFmtId="0" fontId="17" fillId="9" borderId="14" xfId="0" applyFont="1" applyFill="1" applyBorder="1" applyAlignment="1">
      <alignment horizontal="center" vertical="top"/>
    </xf>
    <xf numFmtId="0" fontId="27" fillId="11" borderId="23" xfId="0" applyFont="1" applyFill="1" applyBorder="1" applyAlignment="1">
      <alignment horizontal="center" vertical="center"/>
    </xf>
    <xf numFmtId="0" fontId="27" fillId="11" borderId="52" xfId="0" applyFont="1" applyFill="1" applyBorder="1" applyAlignment="1">
      <alignment horizontal="center" vertical="center"/>
    </xf>
    <xf numFmtId="0" fontId="27" fillId="11" borderId="67" xfId="0" applyFont="1" applyFill="1" applyBorder="1" applyAlignment="1">
      <alignment horizontal="center" vertical="center"/>
    </xf>
    <xf numFmtId="0" fontId="27" fillId="15" borderId="23" xfId="0" applyFont="1" applyFill="1" applyBorder="1" applyAlignment="1">
      <alignment horizontal="center" vertical="center"/>
    </xf>
    <xf numFmtId="0" fontId="27" fillId="15" borderId="52" xfId="0" applyFont="1" applyFill="1" applyBorder="1" applyAlignment="1">
      <alignment horizontal="center" vertical="center"/>
    </xf>
    <xf numFmtId="0" fontId="27" fillId="15" borderId="67" xfId="0" applyFont="1" applyFill="1" applyBorder="1" applyAlignment="1">
      <alignment horizontal="center" vertical="center"/>
    </xf>
    <xf numFmtId="0" fontId="3" fillId="0" borderId="0" xfId="0" applyFont="1" applyAlignment="1">
      <alignment horizontal="center"/>
    </xf>
    <xf numFmtId="0" fontId="11" fillId="0" borderId="5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0" fillId="0" borderId="0" xfId="0" applyFill="1" applyAlignment="1">
      <alignment horizontal="left" vertical="center" wrapText="1"/>
    </xf>
    <xf numFmtId="0" fontId="11" fillId="0" borderId="14"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3" fillId="0" borderId="56" xfId="36" applyFont="1" applyFill="1" applyBorder="1" applyAlignment="1">
      <alignment horizontal="center"/>
      <protection/>
    </xf>
    <xf numFmtId="0" fontId="3" fillId="0" borderId="37" xfId="36" applyFont="1" applyFill="1" applyBorder="1" applyAlignment="1">
      <alignment horizontal="center"/>
      <protection/>
    </xf>
    <xf numFmtId="0" fontId="3" fillId="0" borderId="14" xfId="36" applyFont="1" applyFill="1" applyBorder="1" applyAlignment="1">
      <alignment horizontal="center"/>
      <protection/>
    </xf>
    <xf numFmtId="0" fontId="49" fillId="0" borderId="14" xfId="0" applyFont="1" applyFill="1" applyBorder="1" applyAlignment="1">
      <alignment horizontal="center" vertical="center"/>
    </xf>
    <xf numFmtId="0" fontId="3" fillId="0" borderId="14" xfId="0" applyFont="1" applyBorder="1" applyAlignment="1">
      <alignment horizontal="center"/>
    </xf>
    <xf numFmtId="0" fontId="3" fillId="0" borderId="55" xfId="0" applyFont="1" applyBorder="1" applyAlignment="1">
      <alignment horizontal="center"/>
    </xf>
    <xf numFmtId="0" fontId="67" fillId="0" borderId="56" xfId="0" applyFont="1" applyFill="1" applyBorder="1" applyAlignment="1" applyProtection="1">
      <alignment horizontal="center" vertical="center" wrapText="1"/>
      <protection/>
    </xf>
    <xf numFmtId="0" fontId="67" fillId="0" borderId="55" xfId="0" applyFont="1" applyFill="1" applyBorder="1" applyAlignment="1" applyProtection="1">
      <alignment horizontal="center" vertical="center" wrapText="1"/>
      <protection/>
    </xf>
    <xf numFmtId="0" fontId="67" fillId="0" borderId="37" xfId="0" applyFont="1" applyFill="1" applyBorder="1" applyAlignment="1" applyProtection="1">
      <alignment horizontal="center" vertical="center" wrapText="1"/>
      <protection/>
    </xf>
    <xf numFmtId="0" fontId="20" fillId="0" borderId="0" xfId="0" applyFont="1" applyFill="1" applyAlignment="1">
      <alignment horizontal="left" vertical="center" wrapText="1"/>
    </xf>
    <xf numFmtId="0" fontId="21" fillId="0" borderId="56" xfId="0" applyFont="1" applyFill="1" applyBorder="1" applyAlignment="1" applyProtection="1">
      <alignment horizontal="center" vertical="center"/>
      <protection/>
    </xf>
    <xf numFmtId="0" fontId="21" fillId="0" borderId="55" xfId="0" applyFont="1" applyFill="1" applyBorder="1" applyAlignment="1" applyProtection="1">
      <alignment horizontal="center" vertical="center"/>
      <protection/>
    </xf>
    <xf numFmtId="0" fontId="21" fillId="0" borderId="37" xfId="0" applyFont="1" applyFill="1" applyBorder="1" applyAlignment="1" applyProtection="1">
      <alignment horizontal="center" vertical="center"/>
      <protection/>
    </xf>
    <xf numFmtId="0" fontId="60" fillId="0" borderId="0" xfId="0" applyFont="1" applyFill="1" applyAlignment="1" applyProtection="1">
      <alignment horizontal="center"/>
      <protection/>
    </xf>
    <xf numFmtId="0" fontId="61" fillId="0" borderId="0" xfId="0" applyFont="1" applyFill="1" applyAlignment="1" applyProtection="1">
      <alignment horizontal="center"/>
      <protection/>
    </xf>
    <xf numFmtId="0" fontId="62" fillId="0" borderId="0" xfId="0" applyFont="1" applyFill="1" applyAlignment="1" applyProtection="1">
      <alignment horizontal="center"/>
      <protection/>
    </xf>
    <xf numFmtId="0" fontId="24" fillId="0" borderId="73" xfId="0" applyFont="1" applyFill="1" applyBorder="1" applyAlignment="1" applyProtection="1">
      <alignment horizontal="center"/>
      <protection/>
    </xf>
    <xf numFmtId="0" fontId="24" fillId="0" borderId="29" xfId="0" applyFont="1" applyFill="1" applyBorder="1" applyAlignment="1" applyProtection="1">
      <alignment horizontal="center"/>
      <protection/>
    </xf>
    <xf numFmtId="0" fontId="24" fillId="0" borderId="45" xfId="0" applyFont="1" applyFill="1" applyBorder="1" applyAlignment="1" applyProtection="1">
      <alignment horizontal="center"/>
      <protection/>
    </xf>
    <xf numFmtId="3" fontId="24" fillId="0" borderId="73" xfId="0" applyNumberFormat="1" applyFont="1" applyFill="1" applyBorder="1" applyAlignment="1" applyProtection="1">
      <alignment horizontal="center" vertical="center" textRotation="255"/>
      <protection/>
    </xf>
    <xf numFmtId="3" fontId="24" fillId="0" borderId="15" xfId="0" applyNumberFormat="1" applyFont="1" applyFill="1" applyBorder="1" applyAlignment="1" applyProtection="1">
      <alignment horizontal="center" vertical="center" textRotation="255"/>
      <protection/>
    </xf>
    <xf numFmtId="3" fontId="24" fillId="0" borderId="12" xfId="0" applyNumberFormat="1" applyFont="1" applyFill="1" applyBorder="1" applyAlignment="1" applyProtection="1">
      <alignment horizontal="center" vertical="center" textRotation="255"/>
      <protection/>
    </xf>
    <xf numFmtId="0" fontId="19" fillId="0" borderId="56" xfId="0" applyFont="1" applyFill="1" applyBorder="1" applyAlignment="1">
      <alignment horizontal="center" vertical="center"/>
    </xf>
    <xf numFmtId="0" fontId="19" fillId="0" borderId="55" xfId="0" applyFont="1" applyFill="1" applyBorder="1" applyAlignment="1">
      <alignment horizontal="center" vertical="center"/>
    </xf>
    <xf numFmtId="0" fontId="19" fillId="0" borderId="37" xfId="0" applyFont="1" applyFill="1" applyBorder="1" applyAlignment="1">
      <alignment horizontal="center" vertical="center"/>
    </xf>
    <xf numFmtId="0" fontId="23" fillId="0" borderId="14" xfId="0" applyFont="1" applyFill="1" applyBorder="1" applyAlignment="1" applyProtection="1">
      <alignment horizontal="center" vertical="center"/>
      <protection/>
    </xf>
    <xf numFmtId="0" fontId="67" fillId="0" borderId="14" xfId="0" applyFont="1" applyFill="1" applyBorder="1" applyAlignment="1" applyProtection="1">
      <alignment horizontal="center" vertical="center" wrapText="1"/>
      <protection/>
    </xf>
    <xf numFmtId="0" fontId="64" fillId="0" borderId="14" xfId="0" applyFont="1" applyFill="1" applyBorder="1" applyAlignment="1" applyProtection="1">
      <alignment horizontal="center" vertical="center" wrapText="1"/>
      <protection/>
    </xf>
    <xf numFmtId="0" fontId="32" fillId="0" borderId="56" xfId="0" applyNumberFormat="1" applyFont="1" applyFill="1" applyBorder="1" applyAlignment="1">
      <alignment horizontal="center"/>
    </xf>
    <xf numFmtId="0" fontId="32" fillId="0" borderId="55" xfId="0" applyNumberFormat="1" applyFont="1" applyFill="1" applyBorder="1" applyAlignment="1">
      <alignment horizontal="center"/>
    </xf>
    <xf numFmtId="0" fontId="32" fillId="0" borderId="37" xfId="0" applyNumberFormat="1" applyFont="1" applyFill="1" applyBorder="1" applyAlignment="1">
      <alignment horizontal="center"/>
    </xf>
    <xf numFmtId="0" fontId="27" fillId="0" borderId="14" xfId="0" applyFont="1" applyFill="1" applyBorder="1" applyAlignment="1" applyProtection="1">
      <alignment horizontal="center" vertical="center" wrapText="1"/>
      <protection/>
    </xf>
    <xf numFmtId="0" fontId="70" fillId="0" borderId="14" xfId="0" applyFont="1" applyFill="1" applyBorder="1" applyAlignment="1" applyProtection="1">
      <alignment horizontal="center" vertical="center" wrapText="1"/>
      <protection/>
    </xf>
    <xf numFmtId="0" fontId="28" fillId="0" borderId="14" xfId="0" applyFont="1" applyFill="1" applyBorder="1" applyAlignment="1" applyProtection="1">
      <alignment horizontal="center" vertical="center"/>
      <protection/>
    </xf>
    <xf numFmtId="0" fontId="29" fillId="0" borderId="14" xfId="0" applyFont="1" applyFill="1" applyBorder="1" applyAlignment="1" applyProtection="1">
      <alignment horizontal="center" vertical="center"/>
      <protection/>
    </xf>
    <xf numFmtId="0" fontId="29" fillId="0" borderId="23" xfId="0" applyFont="1" applyFill="1" applyBorder="1" applyAlignment="1" applyProtection="1">
      <alignment horizontal="center" vertical="center"/>
      <protection/>
    </xf>
    <xf numFmtId="0" fontId="29" fillId="0" borderId="52" xfId="0" applyFont="1" applyFill="1" applyBorder="1" applyAlignment="1" applyProtection="1">
      <alignment horizontal="center" vertical="center"/>
      <protection/>
    </xf>
    <xf numFmtId="0" fontId="29" fillId="0" borderId="67" xfId="0" applyFont="1" applyFill="1" applyBorder="1" applyAlignment="1" applyProtection="1">
      <alignment horizontal="center" vertical="center"/>
      <protection/>
    </xf>
    <xf numFmtId="0" fontId="1" fillId="0" borderId="23" xfId="0" applyFont="1" applyFill="1" applyBorder="1" applyAlignment="1" applyProtection="1">
      <alignment horizontal="center"/>
      <protection/>
    </xf>
    <xf numFmtId="0" fontId="1" fillId="0" borderId="52" xfId="0" applyFont="1" applyFill="1" applyBorder="1" applyAlignment="1" applyProtection="1">
      <alignment horizontal="center"/>
      <protection/>
    </xf>
    <xf numFmtId="0" fontId="19" fillId="0" borderId="14" xfId="0" applyFont="1" applyFill="1" applyBorder="1" applyAlignment="1" applyProtection="1">
      <alignment horizontal="center"/>
      <protection/>
    </xf>
    <xf numFmtId="0" fontId="27" fillId="0" borderId="56" xfId="0" applyFont="1" applyFill="1" applyBorder="1" applyAlignment="1" applyProtection="1">
      <alignment horizontal="center"/>
      <protection/>
    </xf>
    <xf numFmtId="0" fontId="27" fillId="0" borderId="55" xfId="0" applyFont="1" applyFill="1" applyBorder="1" applyAlignment="1" applyProtection="1">
      <alignment horizontal="center"/>
      <protection/>
    </xf>
    <xf numFmtId="0" fontId="27" fillId="0" borderId="37" xfId="0" applyFont="1" applyFill="1" applyBorder="1" applyAlignment="1" applyProtection="1">
      <alignment horizontal="center"/>
      <protection/>
    </xf>
    <xf numFmtId="0" fontId="28" fillId="0" borderId="56" xfId="0" applyFont="1" applyFill="1" applyBorder="1" applyAlignment="1" applyProtection="1">
      <alignment horizontal="center" vertical="center"/>
      <protection/>
    </xf>
    <xf numFmtId="0" fontId="28" fillId="0" borderId="55" xfId="0" applyFont="1" applyFill="1" applyBorder="1" applyAlignment="1" applyProtection="1">
      <alignment horizontal="center" vertical="center"/>
      <protection/>
    </xf>
    <xf numFmtId="0" fontId="28" fillId="0" borderId="37" xfId="0" applyFont="1" applyFill="1" applyBorder="1" applyAlignment="1" applyProtection="1">
      <alignment horizontal="center" vertical="center"/>
      <protection/>
    </xf>
    <xf numFmtId="0" fontId="27" fillId="0" borderId="92" xfId="0" applyFont="1" applyFill="1" applyBorder="1" applyAlignment="1" applyProtection="1">
      <alignment horizontal="center"/>
      <protection/>
    </xf>
    <xf numFmtId="0" fontId="27" fillId="0" borderId="63" xfId="0" applyFont="1" applyFill="1" applyBorder="1" applyAlignment="1" applyProtection="1">
      <alignment horizontal="center"/>
      <protection/>
    </xf>
    <xf numFmtId="0" fontId="11" fillId="0" borderId="27" xfId="27" applyFont="1" applyBorder="1" applyAlignment="1">
      <alignment horizontal="center" vertical="center" wrapText="1"/>
      <protection/>
    </xf>
    <xf numFmtId="0" fontId="11" fillId="0" borderId="26" xfId="27" applyFont="1" applyBorder="1" applyAlignment="1">
      <alignment horizontal="center" vertical="center" wrapText="1"/>
      <protection/>
    </xf>
    <xf numFmtId="0" fontId="11" fillId="0" borderId="17" xfId="27" applyFont="1" applyBorder="1" applyAlignment="1">
      <alignment horizontal="center" vertical="center" wrapText="1"/>
      <protection/>
    </xf>
    <xf numFmtId="0" fontId="11" fillId="0" borderId="56" xfId="27" applyFont="1" applyBorder="1" applyAlignment="1">
      <alignment horizontal="center" vertical="center" wrapText="1"/>
      <protection/>
    </xf>
    <xf numFmtId="0" fontId="11" fillId="0" borderId="37" xfId="27" applyFont="1" applyBorder="1" applyAlignment="1">
      <alignment horizontal="center" vertical="center" wrapText="1"/>
      <protection/>
    </xf>
    <xf numFmtId="0" fontId="3" fillId="0" borderId="14" xfId="0" applyFont="1" applyBorder="1" applyAlignment="1">
      <alignment horizontal="center" vertical="center" wrapText="1"/>
    </xf>
    <xf numFmtId="0" fontId="0" fillId="0" borderId="14" xfId="0" applyBorder="1" applyAlignment="1">
      <alignment horizontal="center" vertical="center"/>
    </xf>
    <xf numFmtId="0" fontId="3" fillId="0" borderId="14" xfId="0" applyFont="1" applyBorder="1" applyAlignment="1" applyProtection="1">
      <alignment horizontal="center"/>
      <protection/>
    </xf>
    <xf numFmtId="0" fontId="0" fillId="0" borderId="27" xfId="0" applyBorder="1" applyAlignment="1">
      <alignment horizontal="center" vertical="center"/>
    </xf>
    <xf numFmtId="0" fontId="0" fillId="0" borderId="17" xfId="0" applyBorder="1" applyAlignment="1">
      <alignment horizontal="center" vertical="center"/>
    </xf>
    <xf numFmtId="0" fontId="27" fillId="0" borderId="14" xfId="0" applyFont="1" applyFill="1" applyBorder="1" applyAlignment="1" applyProtection="1">
      <alignment horizontal="center"/>
      <protection/>
    </xf>
    <xf numFmtId="0" fontId="19" fillId="0" borderId="14" xfId="0" applyFont="1" applyFill="1" applyBorder="1" applyAlignment="1" applyProtection="1">
      <alignment horizontal="center" vertical="center"/>
      <protection/>
    </xf>
    <xf numFmtId="0" fontId="27" fillId="0" borderId="14" xfId="0" applyFont="1" applyBorder="1" applyAlignment="1" applyProtection="1">
      <alignment horizontal="center" vertical="center" wrapText="1"/>
      <protection/>
    </xf>
    <xf numFmtId="0" fontId="13" fillId="5" borderId="3" xfId="0" applyFont="1" applyFill="1" applyBorder="1" applyAlignment="1">
      <alignment horizontal="center"/>
    </xf>
    <xf numFmtId="0" fontId="13" fillId="5" borderId="3" xfId="0" applyFont="1" applyFill="1" applyBorder="1" applyAlignment="1">
      <alignment horizontal="center" wrapText="1"/>
    </xf>
    <xf numFmtId="0" fontId="5" fillId="4" borderId="7" xfId="0" applyFont="1" applyFill="1" applyBorder="1" applyAlignment="1">
      <alignment horizontal="center"/>
    </xf>
    <xf numFmtId="0" fontId="5" fillId="4" borderId="6" xfId="0" applyFont="1" applyFill="1" applyBorder="1" applyAlignment="1">
      <alignment horizontal="center"/>
    </xf>
    <xf numFmtId="0" fontId="5" fillId="4" borderId="5" xfId="0" applyFont="1" applyFill="1" applyBorder="1" applyAlignment="1">
      <alignment horizontal="center"/>
    </xf>
    <xf numFmtId="0" fontId="5" fillId="2" borderId="6" xfId="0" applyFont="1" applyFill="1" applyBorder="1" applyAlignment="1">
      <alignment horizontal="center"/>
    </xf>
    <xf numFmtId="0" fontId="5" fillId="5" borderId="3" xfId="0" applyFont="1" applyFill="1" applyBorder="1" applyAlignment="1">
      <alignment horizontal="center"/>
    </xf>
    <xf numFmtId="0" fontId="10" fillId="5" borderId="4" xfId="0" applyFont="1" applyFill="1" applyBorder="1" applyAlignment="1">
      <alignment horizontal="center" vertical="center"/>
    </xf>
    <xf numFmtId="0" fontId="10" fillId="5" borderId="0" xfId="0" applyFont="1" applyFill="1" applyBorder="1" applyAlignment="1">
      <alignment horizontal="center" vertical="center"/>
    </xf>
    <xf numFmtId="0" fontId="10" fillId="5" borderId="93" xfId="0" applyFont="1" applyFill="1" applyBorder="1" applyAlignment="1">
      <alignment horizontal="center" vertical="center"/>
    </xf>
    <xf numFmtId="0" fontId="10" fillId="5" borderId="94" xfId="0" applyFont="1" applyFill="1" applyBorder="1" applyAlignment="1">
      <alignment horizontal="center" vertical="center"/>
    </xf>
    <xf numFmtId="0" fontId="10" fillId="5" borderId="8" xfId="0" applyFont="1" applyFill="1" applyBorder="1" applyAlignment="1">
      <alignment horizontal="center" vertical="center" wrapText="1"/>
    </xf>
    <xf numFmtId="0" fontId="10" fillId="5" borderId="95"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93" xfId="0" applyFont="1" applyFill="1" applyBorder="1" applyAlignment="1">
      <alignment horizontal="center" vertical="center" wrapText="1"/>
    </xf>
    <xf numFmtId="0" fontId="10" fillId="5" borderId="94" xfId="0" applyFont="1" applyFill="1" applyBorder="1" applyAlignment="1">
      <alignment horizontal="center" vertical="center" wrapText="1"/>
    </xf>
    <xf numFmtId="0" fontId="10" fillId="5" borderId="96" xfId="0" applyFont="1" applyFill="1" applyBorder="1" applyAlignment="1">
      <alignment horizontal="center" vertical="center" wrapText="1"/>
    </xf>
    <xf numFmtId="0" fontId="9" fillId="4" borderId="7" xfId="0" applyFont="1" applyFill="1" applyBorder="1" applyAlignment="1">
      <alignment/>
    </xf>
    <xf numFmtId="0" fontId="9" fillId="4" borderId="6" xfId="0" applyFont="1" applyFill="1" applyBorder="1" applyAlignment="1">
      <alignment/>
    </xf>
    <xf numFmtId="0" fontId="9" fillId="4" borderId="3" xfId="0" applyFont="1" applyFill="1" applyBorder="1" applyAlignment="1">
      <alignment horizontal="left"/>
    </xf>
    <xf numFmtId="0" fontId="9" fillId="4" borderId="5" xfId="0" applyFont="1" applyFill="1" applyBorder="1" applyAlignment="1">
      <alignment/>
    </xf>
    <xf numFmtId="0" fontId="13" fillId="5" borderId="4" xfId="0" applyFont="1" applyFill="1" applyBorder="1" applyAlignment="1">
      <alignment horizontal="center" wrapText="1"/>
    </xf>
    <xf numFmtId="0" fontId="13" fillId="5" borderId="0" xfId="0" applyFont="1" applyFill="1" applyBorder="1" applyAlignment="1">
      <alignment horizontal="center" wrapText="1"/>
    </xf>
    <xf numFmtId="0" fontId="13" fillId="5" borderId="97" xfId="0" applyFont="1" applyFill="1" applyBorder="1" applyAlignment="1">
      <alignment horizontal="center" wrapText="1"/>
    </xf>
    <xf numFmtId="0" fontId="5" fillId="2" borderId="7" xfId="0" applyFont="1" applyFill="1" applyBorder="1" applyAlignment="1">
      <alignment horizontal="center"/>
    </xf>
    <xf numFmtId="0" fontId="5" fillId="5" borderId="3" xfId="0" applyFont="1" applyFill="1" applyBorder="1" applyAlignment="1">
      <alignment horizontal="center" wrapText="1"/>
    </xf>
    <xf numFmtId="0" fontId="5" fillId="3" borderId="7" xfId="0" applyFont="1" applyFill="1" applyBorder="1" applyAlignment="1">
      <alignment horizontal="left" wrapText="1"/>
    </xf>
    <xf numFmtId="0" fontId="5" fillId="3" borderId="5" xfId="0" applyFont="1" applyFill="1" applyBorder="1" applyAlignment="1">
      <alignment horizontal="left" wrapText="1"/>
    </xf>
    <xf numFmtId="0" fontId="1" fillId="0" borderId="2" xfId="0" applyFont="1" applyFill="1" applyBorder="1" applyAlignment="1">
      <alignment horizontal="center"/>
    </xf>
    <xf numFmtId="0" fontId="5" fillId="0" borderId="55" xfId="0" applyFont="1" applyFill="1" applyBorder="1" applyAlignment="1">
      <alignment horizontal="center" vertical="center"/>
    </xf>
    <xf numFmtId="0" fontId="4" fillId="5" borderId="98" xfId="0" applyFont="1" applyFill="1" applyBorder="1" applyAlignment="1">
      <alignment horizontal="center"/>
    </xf>
    <xf numFmtId="0" fontId="4" fillId="5" borderId="3" xfId="0" applyFont="1" applyFill="1" applyBorder="1" applyAlignment="1">
      <alignment horizontal="center"/>
    </xf>
    <xf numFmtId="0" fontId="10" fillId="5" borderId="98" xfId="0" applyFont="1" applyFill="1" applyBorder="1" applyAlignment="1">
      <alignment horizontal="center" vertical="center"/>
    </xf>
    <xf numFmtId="0" fontId="10" fillId="5" borderId="3" xfId="0" applyFont="1" applyFill="1" applyBorder="1" applyAlignment="1">
      <alignment horizontal="center" vertical="center"/>
    </xf>
    <xf numFmtId="0" fontId="5" fillId="5" borderId="98" xfId="0" applyFont="1" applyFill="1" applyBorder="1" applyAlignment="1">
      <alignment horizontal="right"/>
    </xf>
    <xf numFmtId="0" fontId="5" fillId="5" borderId="3" xfId="0" applyFont="1" applyFill="1" applyBorder="1" applyAlignment="1">
      <alignment horizontal="right"/>
    </xf>
    <xf numFmtId="0" fontId="10" fillId="5" borderId="3" xfId="0"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5" xfId="0" applyFont="1" applyFill="1" applyBorder="1" applyAlignment="1">
      <alignment horizontal="center" vertical="center"/>
    </xf>
    <xf numFmtId="0" fontId="4" fillId="9" borderId="7" xfId="0" applyFont="1" applyFill="1" applyBorder="1" applyAlignment="1">
      <alignment horizontal="center"/>
    </xf>
    <xf numFmtId="0" fontId="4" fillId="9" borderId="6" xfId="0" applyFont="1" applyFill="1" applyBorder="1" applyAlignment="1">
      <alignment horizontal="center"/>
    </xf>
    <xf numFmtId="0" fontId="4" fillId="9" borderId="5" xfId="0" applyFont="1" applyFill="1" applyBorder="1" applyAlignment="1">
      <alignment horizontal="center"/>
    </xf>
    <xf numFmtId="0" fontId="5" fillId="2" borderId="5" xfId="0" applyFont="1" applyFill="1" applyBorder="1" applyAlignment="1">
      <alignment horizontal="center"/>
    </xf>
    <xf numFmtId="0" fontId="5" fillId="3" borderId="8" xfId="0" applyFont="1" applyFill="1" applyBorder="1" applyAlignment="1">
      <alignment horizontal="left" vertical="center" wrapText="1"/>
    </xf>
    <xf numFmtId="0" fontId="5" fillId="3" borderId="95" xfId="0" applyFont="1" applyFill="1" applyBorder="1" applyAlignment="1">
      <alignment horizontal="left" vertical="center" wrapText="1"/>
    </xf>
    <xf numFmtId="0" fontId="5" fillId="3" borderId="9" xfId="0" applyFont="1" applyFill="1" applyBorder="1" applyAlignment="1">
      <alignment horizontal="left" vertical="center" wrapText="1"/>
    </xf>
    <xf numFmtId="0" fontId="11" fillId="9" borderId="3" xfId="0" applyFont="1" applyFill="1" applyBorder="1" applyAlignment="1">
      <alignment horizontal="center"/>
    </xf>
    <xf numFmtId="0" fontId="12" fillId="5" borderId="3" xfId="0" applyFont="1" applyFill="1" applyBorder="1" applyAlignment="1">
      <alignment horizontal="left" wrapText="1"/>
    </xf>
    <xf numFmtId="0" fontId="12" fillId="3" borderId="7" xfId="0" applyFont="1" applyFill="1" applyBorder="1" applyAlignment="1">
      <alignment wrapText="1"/>
    </xf>
    <xf numFmtId="0" fontId="12" fillId="3" borderId="5" xfId="0" applyFont="1" applyFill="1" applyBorder="1" applyAlignment="1">
      <alignment wrapText="1"/>
    </xf>
    <xf numFmtId="0" fontId="9" fillId="4" borderId="7" xfId="0" applyFont="1" applyFill="1" applyBorder="1" applyAlignment="1">
      <alignment horizontal="left"/>
    </xf>
    <xf numFmtId="0" fontId="9" fillId="4" borderId="6" xfId="0" applyFont="1" applyFill="1" applyBorder="1" applyAlignment="1">
      <alignment horizontal="left"/>
    </xf>
    <xf numFmtId="0" fontId="9" fillId="4" borderId="5" xfId="0" applyFont="1" applyFill="1" applyBorder="1" applyAlignment="1">
      <alignment horizontal="left"/>
    </xf>
    <xf numFmtId="0" fontId="12" fillId="5" borderId="7" xfId="0" applyFont="1" applyFill="1" applyBorder="1" applyAlignment="1">
      <alignment horizontal="left" wrapText="1"/>
    </xf>
    <xf numFmtId="0" fontId="12" fillId="5" borderId="6" xfId="0" applyFont="1" applyFill="1" applyBorder="1" applyAlignment="1">
      <alignment horizontal="left" wrapText="1"/>
    </xf>
    <xf numFmtId="0" fontId="12" fillId="5" borderId="5" xfId="0" applyFont="1" applyFill="1" applyBorder="1" applyAlignment="1">
      <alignment horizontal="left" wrapText="1"/>
    </xf>
    <xf numFmtId="0" fontId="11" fillId="5" borderId="2" xfId="0" applyFont="1" applyFill="1" applyBorder="1" applyAlignment="1">
      <alignment horizontal="center" wrapText="1"/>
    </xf>
    <xf numFmtId="0" fontId="11" fillId="5" borderId="99" xfId="0" applyFont="1" applyFill="1" applyBorder="1" applyAlignment="1">
      <alignment horizontal="center" wrapText="1"/>
    </xf>
    <xf numFmtId="0" fontId="12" fillId="3" borderId="7" xfId="0" applyFont="1" applyFill="1" applyBorder="1" applyAlignment="1">
      <alignment vertical="center" wrapText="1"/>
    </xf>
    <xf numFmtId="0" fontId="12" fillId="3" borderId="5" xfId="0" applyFont="1" applyFill="1" applyBorder="1" applyAlignment="1">
      <alignment vertical="center" wrapText="1"/>
    </xf>
    <xf numFmtId="0" fontId="12" fillId="3" borderId="7" xfId="0" applyFont="1" applyFill="1" applyBorder="1" applyAlignment="1">
      <alignment horizontal="left" vertical="center"/>
    </xf>
    <xf numFmtId="0" fontId="12" fillId="3" borderId="5" xfId="0" applyFont="1" applyFill="1" applyBorder="1" applyAlignment="1">
      <alignment horizontal="left" vertical="center"/>
    </xf>
    <xf numFmtId="0" fontId="12" fillId="3" borderId="7" xfId="0" applyFont="1" applyFill="1" applyBorder="1" applyAlignment="1">
      <alignment vertical="center"/>
    </xf>
    <xf numFmtId="0" fontId="12" fillId="3" borderId="5" xfId="0" applyFont="1" applyFill="1" applyBorder="1" applyAlignment="1">
      <alignment vertical="center"/>
    </xf>
    <xf numFmtId="0" fontId="12" fillId="3" borderId="8" xfId="0" applyFont="1" applyFill="1" applyBorder="1" applyAlignment="1">
      <alignment vertical="center"/>
    </xf>
    <xf numFmtId="0" fontId="12" fillId="3" borderId="9" xfId="0" applyFont="1" applyFill="1" applyBorder="1" applyAlignment="1">
      <alignment vertical="center"/>
    </xf>
    <xf numFmtId="0" fontId="0" fillId="5" borderId="98" xfId="0" applyFill="1" applyBorder="1" applyAlignment="1">
      <alignment horizontal="center"/>
    </xf>
    <xf numFmtId="0" fontId="0" fillId="5" borderId="3" xfId="0" applyFill="1" applyBorder="1" applyAlignment="1">
      <alignment horizontal="center"/>
    </xf>
    <xf numFmtId="0" fontId="3" fillId="5" borderId="3" xfId="0" applyFont="1" applyFill="1" applyBorder="1" applyAlignment="1">
      <alignment horizontal="center"/>
    </xf>
    <xf numFmtId="2" fontId="0" fillId="5" borderId="3" xfId="0" applyNumberFormat="1" applyFill="1" applyBorder="1" applyAlignment="1">
      <alignment horizontal="left" wrapText="1"/>
    </xf>
    <xf numFmtId="0" fontId="8" fillId="2" borderId="3" xfId="0" applyFont="1" applyFill="1" applyBorder="1" applyAlignment="1">
      <alignment/>
    </xf>
    <xf numFmtId="0" fontId="5" fillId="3" borderId="3" xfId="0" applyFont="1" applyFill="1" applyBorder="1" applyAlignment="1" applyProtection="1">
      <alignment horizontal="left"/>
      <protection locked="0"/>
    </xf>
    <xf numFmtId="3" fontId="5" fillId="2" borderId="3" xfId="0" applyNumberFormat="1" applyFont="1" applyFill="1" applyBorder="1" applyAlignment="1">
      <alignment horizontal="center"/>
    </xf>
    <xf numFmtId="0" fontId="5" fillId="3" borderId="7" xfId="0" applyFont="1" applyFill="1" applyBorder="1" applyAlignment="1" applyProtection="1">
      <alignment horizontal="left" wrapText="1"/>
      <protection locked="0"/>
    </xf>
    <xf numFmtId="0" fontId="5" fillId="3" borderId="5" xfId="0" applyFont="1" applyFill="1" applyBorder="1" applyAlignment="1" applyProtection="1">
      <alignment horizontal="left" wrapText="1"/>
      <protection locked="0"/>
    </xf>
    <xf numFmtId="0" fontId="5" fillId="3" borderId="2" xfId="0" applyFont="1" applyFill="1" applyBorder="1" applyAlignment="1" applyProtection="1">
      <alignment horizontal="left"/>
      <protection locked="0"/>
    </xf>
    <xf numFmtId="0" fontId="1" fillId="3" borderId="7" xfId="0" applyFont="1" applyFill="1" applyBorder="1" applyAlignment="1" applyProtection="1">
      <alignment horizontal="left" wrapText="1"/>
      <protection locked="0"/>
    </xf>
    <xf numFmtId="0" fontId="1" fillId="3" borderId="5" xfId="0" applyFont="1" applyFill="1" applyBorder="1" applyAlignment="1" applyProtection="1">
      <alignment horizontal="left" wrapText="1"/>
      <protection locked="0"/>
    </xf>
    <xf numFmtId="0" fontId="1" fillId="3" borderId="3" xfId="0" applyFont="1" applyFill="1" applyBorder="1" applyAlignment="1" applyProtection="1">
      <alignment horizontal="left"/>
      <protection locked="0"/>
    </xf>
    <xf numFmtId="0" fontId="0" fillId="0" borderId="100" xfId="0" applyBorder="1" applyAlignment="1" applyProtection="1">
      <alignment horizontal="center" wrapText="1"/>
      <protection/>
    </xf>
    <xf numFmtId="0" fontId="0" fillId="0" borderId="28" xfId="0" applyBorder="1" applyAlignment="1" applyProtection="1">
      <alignment horizontal="center" wrapText="1"/>
      <protection/>
    </xf>
    <xf numFmtId="0" fontId="0" fillId="0" borderId="59" xfId="0" applyBorder="1" applyAlignment="1" applyProtection="1">
      <alignment horizontal="center" wrapText="1"/>
      <protection/>
    </xf>
    <xf numFmtId="0" fontId="0" fillId="0" borderId="78" xfId="0" applyBorder="1" applyAlignment="1" applyProtection="1">
      <alignment horizontal="center" wrapText="1"/>
      <protection/>
    </xf>
    <xf numFmtId="0" fontId="0" fillId="0" borderId="92" xfId="0" applyBorder="1" applyAlignment="1" applyProtection="1">
      <alignment horizontal="center" wrapText="1"/>
      <protection/>
    </xf>
    <xf numFmtId="0" fontId="0" fillId="0" borderId="101" xfId="0" applyBorder="1" applyAlignment="1" applyProtection="1">
      <alignment horizontal="center" wrapText="1"/>
      <protection/>
    </xf>
    <xf numFmtId="0" fontId="0" fillId="13" borderId="0" xfId="0" applyFill="1" applyAlignment="1" applyProtection="1">
      <alignment horizontal="center"/>
      <protection/>
    </xf>
    <xf numFmtId="0" fontId="0" fillId="0" borderId="0" xfId="0" applyAlignment="1" applyProtection="1">
      <alignment horizontal="center"/>
      <protection/>
    </xf>
    <xf numFmtId="0" fontId="63" fillId="0" borderId="14" xfId="0" applyFont="1" applyFill="1" applyBorder="1" applyAlignment="1" applyProtection="1">
      <alignment horizontal="center" vertical="center" wrapText="1"/>
      <protection/>
    </xf>
  </cellXfs>
  <cellStyles count="23">
    <cellStyle name="Normal" xfId="0"/>
    <cellStyle name="Percent" xfId="15"/>
    <cellStyle name="Currency" xfId="16"/>
    <cellStyle name="Currency [0]" xfId="17"/>
    <cellStyle name="Comma" xfId="18"/>
    <cellStyle name="Comma [0]" xfId="19"/>
    <cellStyle name="Comma" xfId="20"/>
    <cellStyle name="Currency" xfId="21"/>
    <cellStyle name="Percent" xfId="22"/>
    <cellStyle name="Hyperlink" xfId="23"/>
    <cellStyle name="Normal 5" xfId="24"/>
    <cellStyle name="Comma 3" xfId="25"/>
    <cellStyle name="Percent 3" xfId="26"/>
    <cellStyle name="Normal 2 4" xfId="27"/>
    <cellStyle name="Normal_Sheet1" xfId="28"/>
    <cellStyle name="Comma 2" xfId="29"/>
    <cellStyle name="Percent 2" xfId="30"/>
    <cellStyle name="Normal 2 2" xfId="31"/>
    <cellStyle name="Currency 2" xfId="32"/>
    <cellStyle name="Currency 6" xfId="33"/>
    <cellStyle name="Normal 16" xfId="34"/>
    <cellStyle name="Normal 25" xfId="35"/>
    <cellStyle name="Normal 2" xfId="36"/>
  </cellStyles>
  <dxfs count="2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CD5B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CD5B4"/>
        </patternFill>
      </fill>
    </dxf>
    <dxf>
      <fill>
        <patternFill>
          <bgColor rgb="FFFFC000"/>
        </patternFill>
      </fill>
    </dxf>
    <dxf>
      <fill>
        <patternFill>
          <bgColor rgb="FFFCD5B4"/>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CD5B4"/>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CD5B4"/>
        </patternFill>
      </fill>
    </dxf>
    <dxf>
      <fill>
        <patternFill>
          <bgColor rgb="FFFFC000"/>
        </patternFill>
      </fill>
    </dxf>
    <dxf>
      <fill>
        <patternFill>
          <bgColor rgb="FFFFC000"/>
        </patternFill>
      </fill>
    </dxf>
    <dxf>
      <fill>
        <patternFill>
          <bgColor rgb="FFFCD5B4"/>
        </patternFill>
      </fill>
    </dxf>
    <dxf>
      <fill>
        <patternFill>
          <bgColor rgb="FFFFC000"/>
        </patternFill>
      </fill>
    </dxf>
    <dxf>
      <fill>
        <patternFill>
          <bgColor rgb="FFFCD5B4"/>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styles" Target="styles.xml" /><Relationship Id="rId78" Type="http://schemas.openxmlformats.org/officeDocument/2006/relationships/sharedStrings" Target="sharedStrings.xml" /><Relationship Id="rId79" Type="http://schemas.openxmlformats.org/officeDocument/2006/relationships/theme" Target="theme/theme1.xml" /><Relationship Id="rId80" Type="http://schemas.openxmlformats.org/officeDocument/2006/relationships/externalLink" Target="externalLinks/externalLink1.xml" /><Relationship Id="rId81" Type="http://schemas.openxmlformats.org/officeDocument/2006/relationships/externalLink" Target="externalLinks/externalLink2.xml" /><Relationship Id="rId82" Type="http://schemas.openxmlformats.org/officeDocument/2006/relationships/externalLink" Target="externalLinks/externalLink3.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layout/>
      <c:overlay val="0"/>
      <c:spPr>
        <a:noFill/>
        <a:ln>
          <a:noFill/>
        </a:ln>
        <a:effectLst/>
      </c:spPr>
      <c:txPr>
        <a:bodyPr vert="horz" rot="0"/>
        <a:lstStyle/>
        <a:p>
          <a:pPr>
            <a:defRPr lang="en-US" sz="1400" b="0" i="0" u="none" baseline="0">
              <a:solidFill>
                <a:schemeClr val="tx1">
                  <a:lumMod val="65000"/>
                  <a:lumOff val="35000"/>
                </a:schemeClr>
              </a:solidFill>
            </a:defRPr>
          </a:pPr>
        </a:p>
      </c:txPr>
    </c:title>
    <c:autoTitleDeleted val="0"/>
    <c:plotArea>
      <c:layout/>
      <c:pieChart>
        <c:varyColors val="1"/>
        <c:ser>
          <c:idx val="0"/>
          <c:order val="0"/>
          <c:tx>
            <c:strRef>
              <c:f>'Save Spend Summary'!$F$5</c:f>
              <c:strCache>
                <c:ptCount val="1"/>
                <c:pt idx="0">
                  <c:v>% of Total Annual MWhs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numFmt formatCode="General" sourceLinked="1"/>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0"/>
            <c:showBubbleSize val="0"/>
            <c:showLeaderLines val="1"/>
            <c:leaderLines>
              <c:spPr>
                <a:ln w="9525" cap="flat" cmpd="sng">
                  <a:solidFill>
                    <a:schemeClr val="tx1">
                      <a:lumMod val="35000"/>
                      <a:lumOff val="65000"/>
                    </a:schemeClr>
                  </a:solidFill>
                  <a:round/>
                </a:ln>
                <a:effectLst/>
              </c:spPr>
            </c:leaderLines>
          </c:dLbls>
          <c:cat>
            <c:strRef>
              <c:f>'Save Spend Summary'!$B$6:$B$15</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Summary'!$F$6:$F$15</c:f>
              <c:numCache>
                <c:formatCode>0.00%</c:formatCode>
                <c:ptCount val="10"/>
                <c:pt idx="0">
                  <c:v>0.0406502759944619</c:v>
                </c:pt>
                <c:pt idx="1">
                  <c:v>0.0391478847746326</c:v>
                </c:pt>
                <c:pt idx="2">
                  <c:v>0.158364667275177</c:v>
                </c:pt>
                <c:pt idx="3">
                  <c:v>0.0977721065852737</c:v>
                </c:pt>
                <c:pt idx="4">
                  <c:v>0.0534888192970607</c:v>
                </c:pt>
                <c:pt idx="5">
                  <c:v>0.456130159694334</c:v>
                </c:pt>
                <c:pt idx="6">
                  <c:v>0.0847877523620241</c:v>
                </c:pt>
                <c:pt idx="7">
                  <c:v>0.0394248656092105</c:v>
                </c:pt>
                <c:pt idx="8">
                  <c:v>0.00537222705395076</c:v>
                </c:pt>
                <c:pt idx="9">
                  <c:v>0.0248612413538744</c:v>
                </c:pt>
              </c:numCache>
            </c:numRef>
          </c:val>
          <c:extLst>
            <c:ext xmlns:c16="http://schemas.microsoft.com/office/drawing/2014/chart" uri="{C3380CC4-5D6E-409C-BE32-E72D297353CC}">
              <c16:uniqueId val="{00000016-153D-415C-9432-B754491EDE47}"/>
            </c:ext>
          </c:extLst>
        </c:ser>
        <c:firstSliceAng val="120"/>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Suwannee</a:t>
            </a:r>
            <a:r>
              <a:rPr lang="en-US" sz="1400" b="0" i="0" u="none" baseline="0">
                <a:solidFill>
                  <a:schemeClr val="tx1">
                    <a:lumMod val="65000"/>
                    <a:lumOff val="35000"/>
                  </a:schemeClr>
                </a:solidFill>
              </a:rPr>
              <a:t>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Tables'!$H$120</c:f>
              <c:strCache>
                <c:ptCount val="1"/>
                <c:pt idx="0">
                  <c:v>Suwannee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Lbls>
            <c:dLbl>
              <c:idx val="0"/>
              <c:layout>
                <c:manualLayout>
                  <c:x val="-0.033"/>
                  <c:y val="-0.058"/>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dLbl>
              <c:idx val="1"/>
              <c:layout>
                <c:manualLayout>
                  <c:x val="0.0205"/>
                  <c:y val="-0.0212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Tables'!$C$121:$C$122</c:f>
              <c:strCache>
                <c:ptCount val="2"/>
                <c:pt idx="0">
                  <c:v>Residential Pre-Paid Energy Program</c:v>
                </c:pt>
                <c:pt idx="1">
                  <c:v>Bulb Giveaways (LED and CFL)</c:v>
                </c:pt>
              </c:strCache>
            </c:strRef>
          </c:cat>
          <c:val>
            <c:numRef>
              <c:f>'Detailed Save Spend Tables'!$H$121:$H$122</c:f>
              <c:numCache>
                <c:formatCode>0</c:formatCode>
                <c:ptCount val="2"/>
                <c:pt idx="0">
                  <c:v>72.7536916986981</c:v>
                </c:pt>
                <c:pt idx="1">
                  <c:v>0.706456603891051</c:v>
                </c:pt>
              </c:numCache>
            </c:numRef>
          </c:val>
          <c:extLst>
            <c:ext xmlns:c16="http://schemas.microsoft.com/office/drawing/2014/chart" uri="{C3380CC4-5D6E-409C-BE32-E72D297353CC}">
              <c16:uniqueId val="{00000004-2A06-403C-BA49-8EC3FFA5BA4C}"/>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Clay</a:t>
            </a:r>
            <a:r>
              <a:rPr lang="en-US" sz="1400" b="0" i="0" u="none" baseline="0">
                <a:solidFill>
                  <a:schemeClr val="tx1">
                    <a:lumMod val="65000"/>
                    <a:lumOff val="35000"/>
                  </a:schemeClr>
                </a:solidFill>
              </a:rPr>
              <a:t>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1"/>
          <c:order val="0"/>
          <c:tx>
            <c:strRef>
              <c:f>'Detailed Save Spend Tables'!$I$120</c:f>
              <c:strCache>
                <c:ptCount val="1"/>
                <c:pt idx="0">
                  <c:v>Clay </c:v>
                </c:pt>
              </c:strCache>
            </c:strRef>
          </c:tx>
          <c:explosion val="0"/>
          <c:dLbls>
            <c:dLbl>
              <c:idx val="0"/>
              <c:layout>
                <c:manualLayout>
                  <c:x val="0.01975"/>
                  <c:y val="-0.13675"/>
                </c:manualLayout>
              </c:layout>
              <c:spPr>
                <a:noFill/>
                <a:ln>
                  <a:noFill/>
                </a:ln>
                <a:effectLst/>
              </c:spPr>
              <c:txPr>
                <a:bodyPr vert="horz" rot="0"/>
                <a:lstStyle/>
                <a:p>
                  <a:pPr algn="ctr">
                    <a:defRPr lang="en-US" u="none" baseline="0"/>
                  </a:pPr>
                </a:p>
              </c:txPr>
              <c:showLegendKey val="0"/>
              <c:showVal val="1"/>
              <c:showCatName val="1"/>
              <c:showSerName val="0"/>
              <c:showPercent val="1"/>
              <c:showBubbleSize val="0"/>
            </c:dLbl>
            <c:dLbl>
              <c:idx val="1"/>
              <c:layout>
                <c:manualLayout>
                  <c:x val="0.0465"/>
                  <c:y val="-0.0525"/>
                </c:manualLayout>
              </c:layout>
              <c:spPr>
                <a:noFill/>
                <a:ln>
                  <a:noFill/>
                </a:ln>
                <a:effectLst/>
              </c:spPr>
              <c:txPr>
                <a:bodyPr vert="horz" rot="0"/>
                <a:lstStyle/>
                <a:p>
                  <a:pPr algn="ctr">
                    <a:defRPr lang="en-US" u="none" baseline="0"/>
                  </a:pPr>
                </a:p>
              </c:txPr>
              <c:showLegendKey val="0"/>
              <c:showVal val="1"/>
              <c:showCatName val="1"/>
              <c:showSerName val="0"/>
              <c:showPercent val="1"/>
              <c:showBubbleSize val="0"/>
            </c:dLbl>
            <c:dLbl>
              <c:idx val="2"/>
              <c:layout>
                <c:manualLayout>
                  <c:x val="-0.0345"/>
                  <c:y val="-0.02675"/>
                </c:manualLayout>
              </c:layout>
              <c:spPr>
                <a:noFill/>
                <a:ln>
                  <a:noFill/>
                </a:ln>
                <a:effectLst/>
              </c:spPr>
              <c:txPr>
                <a:bodyPr vert="horz" rot="0"/>
                <a:lstStyle/>
                <a:p>
                  <a:pPr algn="ctr">
                    <a:defRPr lang="en-US" u="none" baseline="0"/>
                  </a:pPr>
                </a:p>
              </c:txPr>
              <c:showLegendKey val="0"/>
              <c:showVal val="1"/>
              <c:showCatName val="1"/>
              <c:showSerName val="0"/>
              <c:showPercent val="1"/>
              <c:showBubbleSize val="0"/>
            </c:dLbl>
            <c:numFmt formatCode="0.00%" sourceLinked="0"/>
            <c:spPr>
              <a:noFill/>
              <a:ln>
                <a:noFill/>
              </a:ln>
              <a:effectLst/>
            </c:spPr>
            <c:showLegendKey val="0"/>
            <c:showVal val="1"/>
            <c:showCatName val="1"/>
            <c:showSerName val="0"/>
            <c:showPercent val="1"/>
            <c:showBubbleSize val="0"/>
            <c:showLeaderLines val="1"/>
          </c:dLbls>
          <c:cat>
            <c:strRef>
              <c:f>('Detailed Save Spend Tables'!$C$122,'Detailed Save Spend Tables'!$C$124:$C$125)</c:f>
              <c:strCache>
                <c:ptCount val="3"/>
                <c:pt idx="0">
                  <c:v>Bulb Giveaways (LED and CFL)</c:v>
                </c:pt>
                <c:pt idx="1">
                  <c:v>Utility System Savings (including VR and all facilities)</c:v>
                </c:pt>
                <c:pt idx="2">
                  <c:v>Energy Smart Rebates (including all combined measures)</c:v>
                </c:pt>
              </c:strCache>
            </c:strRef>
          </c:cat>
          <c:val>
            <c:numRef>
              <c:f>('Detailed Save Spend Tables'!$I$122,'Detailed Save Spend Tables'!$I$124:$I$125)</c:f>
              <c:numCache>
                <c:formatCode>0</c:formatCode>
                <c:ptCount val="3"/>
                <c:pt idx="0">
                  <c:v>0.698794666459144</c:v>
                </c:pt>
                <c:pt idx="1">
                  <c:v>18636.7002228392</c:v>
                </c:pt>
                <c:pt idx="2">
                  <c:v>235.762840177409</c:v>
                </c:pt>
              </c:numCache>
            </c:numRef>
          </c:val>
          <c:extLst>
            <c:ext xmlns:c16="http://schemas.microsoft.com/office/drawing/2014/chart" uri="{C3380CC4-5D6E-409C-BE32-E72D297353CC}">
              <c16:uniqueId val="{00000010-19CC-4F41-B1D2-43E36C84787E}"/>
            </c:ext>
          </c:extLst>
        </c:ser>
        <c:ser>
          <c:idx val="0"/>
          <c:order val="1"/>
          <c:tx>
            <c:strRef>
              <c:f>'Detailed Save Spend Tables'!$I$120</c:f>
              <c:strCache>
                <c:ptCount val="1"/>
                <c:pt idx="0">
                  <c:v>Clay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Lbls>
            <c:numFmt formatCode="General" sourceLinked="1"/>
            <c:showLegendKey val="0"/>
            <c:showVal val="0"/>
            <c:showCatName val="0"/>
            <c:showSerName val="0"/>
            <c:showPercent val="0"/>
            <c:showBubbleSize val="0"/>
            <c:showLeaderLines val="1"/>
          </c:dLbls>
          <c:cat>
            <c:strRef>
              <c:f>('Detailed Save Spend Tables'!$C$122,'Detailed Save Spend Tables'!$C$124:$C$125)</c:f>
              <c:strCache>
                <c:ptCount val="3"/>
                <c:pt idx="0">
                  <c:v>Bulb Giveaways (LED and CFL)</c:v>
                </c:pt>
                <c:pt idx="1">
                  <c:v>Utility System Savings (including VR and all facilities)</c:v>
                </c:pt>
                <c:pt idx="2">
                  <c:v>Energy Smart Rebates (including all combined measures)</c:v>
                </c:pt>
              </c:strCache>
            </c:strRef>
          </c:cat>
          <c:val>
            <c:numRef>
              <c:f>('Detailed Save Spend Tables'!$I$122,'Detailed Save Spend Tables'!$I$124:$I$125)</c:f>
              <c:numCache>
                <c:formatCode>0</c:formatCode>
                <c:ptCount val="3"/>
                <c:pt idx="0">
                  <c:v>0.698794666459144</c:v>
                </c:pt>
                <c:pt idx="1">
                  <c:v>18636.7002228392</c:v>
                </c:pt>
                <c:pt idx="2">
                  <c:v>235.762840177409</c:v>
                </c:pt>
              </c:numCache>
            </c:numRef>
          </c:val>
          <c:extLst>
            <c:ext xmlns:c16="http://schemas.microsoft.com/office/drawing/2014/chart" uri="{C3380CC4-5D6E-409C-BE32-E72D297353CC}">
              <c16:uniqueId val="{0000000F-19CC-4F41-B1D2-43E36C84787E}"/>
            </c:ext>
          </c:extLst>
        </c:ser>
        <c:firstSliceAng val="75"/>
      </c:pieChart>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txPr>
    <a:bodyPr vert="horz" rot="0"/>
    <a:lstStyle/>
    <a:p>
      <a:pPr>
        <a:defRPr lang="en-US" u="none" baseline="0"/>
      </a:pPr>
    </a:p>
  </c:tx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Central Florida</a:t>
            </a:r>
            <a:r>
              <a:rPr lang="en-US" sz="1400" b="0" i="0" u="none" baseline="0">
                <a:solidFill>
                  <a:schemeClr val="tx1">
                    <a:lumMod val="65000"/>
                    <a:lumOff val="35000"/>
                  </a:schemeClr>
                </a:solidFill>
              </a:rPr>
              <a:t>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Tables'!$J$120</c:f>
              <c:strCache>
                <c:ptCount val="1"/>
                <c:pt idx="0">
                  <c:v>Central Florida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Lbls>
            <c:dLbl>
              <c:idx val="0"/>
              <c:layout>
                <c:manualLayout>
                  <c:x val="-0.035"/>
                  <c:y val="-0.1027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dLbl>
              <c:idx val="1"/>
              <c:layout>
                <c:manualLayout>
                  <c:x val="0.026"/>
                  <c:y val="-0.0237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Tables'!$C$121:$C$122</c:f>
              <c:strCache>
                <c:ptCount val="2"/>
                <c:pt idx="0">
                  <c:v>Residential Pre-Paid Energy Program</c:v>
                </c:pt>
                <c:pt idx="1">
                  <c:v>Bulb Giveaways (LED and CFL)</c:v>
                </c:pt>
              </c:strCache>
            </c:strRef>
          </c:cat>
          <c:val>
            <c:numRef>
              <c:f>'Detailed Save Spend Tables'!$J$121:$J$122</c:f>
              <c:numCache>
                <c:formatCode>0</c:formatCode>
                <c:ptCount val="2"/>
                <c:pt idx="0">
                  <c:v>20.2687525671437</c:v>
                </c:pt>
                <c:pt idx="1">
                  <c:v>5.55107366941634</c:v>
                </c:pt>
              </c:numCache>
            </c:numRef>
          </c:val>
          <c:extLst>
            <c:ext xmlns:c16="http://schemas.microsoft.com/office/drawing/2014/chart" uri="{C3380CC4-5D6E-409C-BE32-E72D297353CC}">
              <c16:uniqueId val="{00000004-6F08-4BD2-AEFF-F32484FBE2B5}"/>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Sumter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Tables'!$K$120</c:f>
              <c:strCache>
                <c:ptCount val="1"/>
                <c:pt idx="0">
                  <c:v>Sumter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Lbls>
            <c:dLbl>
              <c:idx val="0"/>
              <c:layout>
                <c:manualLayout>
                  <c:x val="0.0165"/>
                  <c:y val="-0.1097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dLbl>
              <c:idx val="1"/>
              <c:layout>
                <c:manualLayout>
                  <c:x val="0.0565"/>
                  <c:y val="0.0212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dLbl>
              <c:idx val="2"/>
              <c:layout>
                <c:manualLayout>
                  <c:x val="-0.032"/>
                  <c:y val="-0.007"/>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Tables'!$C$121:$C$123</c:f>
              <c:strCache>
                <c:ptCount val="3"/>
                <c:pt idx="0">
                  <c:v>Residential Pre-Paid Energy Program</c:v>
                </c:pt>
                <c:pt idx="1">
                  <c:v>Bulb Giveaways (LED and CFL)</c:v>
                </c:pt>
                <c:pt idx="2">
                  <c:v>TOU/Critical Peak Rates</c:v>
                </c:pt>
              </c:strCache>
            </c:strRef>
          </c:cat>
          <c:val>
            <c:numRef>
              <c:f>'Detailed Save Spend Tables'!$K$121:$K$123</c:f>
              <c:numCache>
                <c:formatCode>0</c:formatCode>
                <c:ptCount val="3"/>
                <c:pt idx="0">
                  <c:v>100.930646225642</c:v>
                </c:pt>
                <c:pt idx="1">
                  <c:v>20.9209850894942</c:v>
                </c:pt>
                <c:pt idx="2">
                  <c:v>18258</c:v>
                </c:pt>
              </c:numCache>
            </c:numRef>
          </c:val>
          <c:extLst>
            <c:ext xmlns:c16="http://schemas.microsoft.com/office/drawing/2014/chart" uri="{C3380CC4-5D6E-409C-BE32-E72D297353CC}">
              <c16:uniqueId val="{00000004-F1BF-4F19-A536-0E3A4E6856B6}"/>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Withlacoochee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Tables'!$L$120</c:f>
              <c:strCache>
                <c:ptCount val="1"/>
                <c:pt idx="0">
                  <c:v>Withlacoochee </c:v>
                </c:pt>
              </c:strCache>
            </c:strRef>
          </c:tx>
          <c:explosion val="0"/>
          <c:dPt>
            <c:idx val="0"/>
            <c:spPr>
              <a:solidFill>
                <a:schemeClr val="accent1"/>
              </a:solidFill>
              <a:ln w="19050">
                <a:solidFill>
                  <a:schemeClr val="bg1"/>
                </a:solidFill>
              </a:ln>
              <a:effectLst/>
            </c:spPr>
          </c:dPt>
          <c:dLbls>
            <c:dLbl>
              <c:idx val="0"/>
              <c:layout>
                <c:manualLayout>
                  <c:x val="-0.04325"/>
                  <c:y val="-0.0627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Tables'!$C$121</c:f>
              <c:strCache>
                <c:ptCount val="1"/>
                <c:pt idx="0">
                  <c:v>Residential Pre-Paid Energy Program</c:v>
                </c:pt>
              </c:strCache>
            </c:strRef>
          </c:cat>
          <c:val>
            <c:numRef>
              <c:f>'Detailed Save Spend Tables'!$L$121</c:f>
              <c:numCache>
                <c:formatCode>0</c:formatCode>
                <c:ptCount val="1"/>
                <c:pt idx="0">
                  <c:v>0.720676640311284</c:v>
                </c:pt>
              </c:numCache>
            </c:numRef>
          </c:val>
          <c:extLst>
            <c:ext xmlns:c16="http://schemas.microsoft.com/office/drawing/2014/chart" uri="{C3380CC4-5D6E-409C-BE32-E72D297353CC}">
              <c16:uniqueId val="{00000006-9561-49EC-A2DF-BF3FBCBF4595}"/>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Peace River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Tables'!$M$120</c:f>
              <c:strCache>
                <c:ptCount val="1"/>
                <c:pt idx="0">
                  <c:v>Peace River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Lbls>
            <c:dLbl>
              <c:idx val="0"/>
              <c:layout>
                <c:manualLayout>
                  <c:x val="0.04025"/>
                  <c:y val="-0.031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dLbl>
              <c:idx val="1"/>
              <c:layout>
                <c:manualLayout>
                  <c:x val="-0.063"/>
                  <c:y val="-0.03"/>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Tables'!$C$122,'Detailed Save Spend Tables'!$C$124)</c:f>
              <c:strCache>
                <c:ptCount val="2"/>
                <c:pt idx="0">
                  <c:v>Bulb Giveaways (LED and CFL)</c:v>
                </c:pt>
                <c:pt idx="1">
                  <c:v>Utility System Savings (including VR and all facilities)</c:v>
                </c:pt>
              </c:strCache>
            </c:strRef>
          </c:cat>
          <c:val>
            <c:numRef>
              <c:f>('Detailed Save Spend Tables'!$M$122,'Detailed Save Spend Tables'!$M$124)</c:f>
              <c:numCache>
                <c:formatCode>0</c:formatCode>
                <c:ptCount val="2"/>
                <c:pt idx="0">
                  <c:v>3.26411818537354</c:v>
                </c:pt>
                <c:pt idx="1">
                  <c:v>6721.69201933866</c:v>
                </c:pt>
              </c:numCache>
            </c:numRef>
          </c:val>
          <c:extLst>
            <c:ext xmlns:c16="http://schemas.microsoft.com/office/drawing/2014/chart" uri="{C3380CC4-5D6E-409C-BE32-E72D297353CC}">
              <c16:uniqueId val="{00000002-AD76-454D-932E-4D15A72A4D92}"/>
            </c:ext>
          </c:extLst>
        </c:ser>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Glades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Tables'!$N$120</c:f>
              <c:strCache>
                <c:ptCount val="1"/>
                <c:pt idx="0">
                  <c:v>Glades </c:v>
                </c:pt>
              </c:strCache>
            </c:strRef>
          </c:tx>
          <c:explosion val="0"/>
          <c:dPt>
            <c:idx val="0"/>
            <c:spPr>
              <a:solidFill>
                <a:schemeClr val="accent1"/>
              </a:solidFill>
              <a:ln w="19050">
                <a:solidFill>
                  <a:schemeClr val="bg1"/>
                </a:solidFill>
              </a:ln>
              <a:effectLst/>
            </c:spPr>
          </c:dPt>
          <c:dLbls>
            <c:dLbl>
              <c:idx val="0"/>
              <c:layout>
                <c:manualLayout>
                  <c:x val="-0.03025"/>
                  <c:y val="-0.0377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Tables'!$C$122</c:f>
              <c:strCache>
                <c:ptCount val="1"/>
                <c:pt idx="0">
                  <c:v>Bulb Giveaways (LED and CFL)</c:v>
                </c:pt>
              </c:strCache>
            </c:strRef>
          </c:cat>
          <c:val>
            <c:numRef>
              <c:f>'Detailed Save Spend Tables'!$N$122</c:f>
              <c:numCache>
                <c:formatCode>0</c:formatCode>
                <c:ptCount val="1"/>
                <c:pt idx="0">
                  <c:v>0.719442938521401</c:v>
                </c:pt>
              </c:numCache>
            </c:numRef>
          </c:val>
          <c:extLst>
            <c:ext xmlns:c16="http://schemas.microsoft.com/office/drawing/2014/chart" uri="{C3380CC4-5D6E-409C-BE32-E72D297353CC}">
              <c16:uniqueId val="{00000004-0553-44B8-BCAB-8B5DD6696568}"/>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7.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kW Peak Demand Reduction by Member Co-Op</a:t>
            </a:r>
          </a:p>
        </c:rich>
      </c:tx>
      <c:layout/>
      <c:overlay val="0"/>
      <c:spPr>
        <a:noFill/>
        <a:ln>
          <a:noFill/>
        </a:ln>
        <a:effectLst/>
      </c:spPr>
    </c:title>
    <c:autoTitleDeleted val="0"/>
    <c:plotArea>
      <c:layout/>
      <c:doughnutChart>
        <c:varyColors val="1"/>
        <c:ser>
          <c:idx val="0"/>
          <c:order val="0"/>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dLbl>
              <c:idx val="0"/>
              <c:layout>
                <c:manualLayout>
                  <c:x val="0.3125"/>
                  <c:y val="-0.01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28675"/>
                  <c:y val="0.043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25475"/>
                  <c:y val="0.162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0325"/>
                  <c:y val="0.285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17075"/>
                  <c:y val="0.409"/>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6"/>
              <c:layout>
                <c:manualLayout>
                  <c:x val="-0.24375"/>
                  <c:y val="-0.051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7"/>
              <c:layout>
                <c:manualLayout>
                  <c:x val="0.12625"/>
                  <c:y val="-0.182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8"/>
              <c:layout>
                <c:manualLayout>
                  <c:x val="0.28025"/>
                  <c:y val="-0.28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9"/>
              <c:layout>
                <c:manualLayout>
                  <c:x val="0.32875"/>
                  <c:y val="-0.13875"/>
                </c:manualLayout>
              </c:layout>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'Save Spend Summary'!$B$20:$B$29</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Summary'!$E$6:$E$15</c:f>
              <c:numCache>
                <c:formatCode>_(* #,##0.00_);_(* \(#,##0.00\);_(* "-"??_);_(@_)</c:formatCode>
                <c:ptCount val="10"/>
                <c:pt idx="0">
                  <c:v>4459.80131673152</c:v>
                </c:pt>
                <c:pt idx="1">
                  <c:v>6.4612332067297</c:v>
                </c:pt>
                <c:pt idx="2">
                  <c:v>67.5185186604679</c:v>
                </c:pt>
                <c:pt idx="3">
                  <c:v>17536.8536124169</c:v>
                </c:pt>
                <c:pt idx="4">
                  <c:v>1245.02092247288</c:v>
                </c:pt>
                <c:pt idx="5">
                  <c:v>31787.6453350793</c:v>
                </c:pt>
                <c:pt idx="6">
                  <c:v>17177.1613167315</c:v>
                </c:pt>
                <c:pt idx="7">
                  <c:v>6181.59402291022</c:v>
                </c:pt>
                <c:pt idx="8">
                  <c:v>0.64931673151751</c:v>
                </c:pt>
                <c:pt idx="9">
                  <c:v>14.4823420736</c:v>
                </c:pt>
              </c:numCache>
            </c:numRef>
          </c:val>
          <c:extLst>
            <c:ext xmlns:c16="http://schemas.microsoft.com/office/drawing/2014/chart" uri="{C3380CC4-5D6E-409C-BE32-E72D297353CC}">
              <c16:uniqueId val="{00000014-2511-4358-B80E-74AF5D497A2E}"/>
            </c:ext>
          </c:extLst>
        </c:ser>
        <c:firstSliceAng val="53"/>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8.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autoTitleDeleted val="1"/>
    <c:plotArea>
      <c:layout>
        <c:manualLayout>
          <c:layoutTarget val="inner"/>
          <c:xMode val="edge"/>
          <c:yMode val="edge"/>
          <c:x val="0.18025"/>
          <c:y val="0.10825"/>
          <c:w val="0.7905"/>
          <c:h val="0.7855"/>
        </c:manualLayout>
      </c:layout>
      <c:barChart>
        <c:barDir val="col"/>
        <c:grouping val="clustered"/>
        <c:varyColors val="0"/>
        <c:ser>
          <c:idx val="0"/>
          <c:order val="0"/>
          <c:spPr>
            <a:solidFill>
              <a:schemeClr val="accent1"/>
            </a:solidFill>
            <a:ln>
              <a:noFill/>
            </a:ln>
            <a:effectLst/>
          </c:spPr>
          <c:invertIfNegative val="0"/>
          <c:dPt>
            <c:idx val="0"/>
            <c:invertIfNegative val="0"/>
            <c:spPr>
              <a:solidFill>
                <a:schemeClr val="accent1"/>
              </a:solidFill>
              <a:ln>
                <a:noFill/>
              </a:ln>
              <a:effectLst/>
            </c:spPr>
          </c:dPt>
          <c:dPt>
            <c:idx val="1"/>
            <c:invertIfNegative val="0"/>
            <c:spPr>
              <a:solidFill>
                <a:schemeClr val="accent2"/>
              </a:solidFill>
              <a:ln>
                <a:noFill/>
              </a:ln>
              <a:effectLst/>
            </c:spPr>
          </c:dPt>
          <c:dPt>
            <c:idx val="2"/>
            <c:invertIfNegative val="0"/>
            <c:spPr>
              <a:solidFill>
                <a:schemeClr val="accent3"/>
              </a:solidFill>
              <a:ln>
                <a:noFill/>
              </a:ln>
              <a:effectLst/>
            </c:spPr>
          </c:dPt>
          <c:dPt>
            <c:idx val="3"/>
            <c:invertIfNegative val="0"/>
            <c:spPr>
              <a:solidFill>
                <a:schemeClr val="accent4"/>
              </a:solidFill>
              <a:ln>
                <a:noFill/>
              </a:ln>
              <a:effectLst/>
            </c:spPr>
          </c:dPt>
          <c:dLbls>
            <c:numFmt formatCode="#,##0" sourceLinked="0"/>
            <c:spPr>
              <a:noFill/>
              <a:ln>
                <a:noFill/>
              </a:ln>
              <a:effectLst/>
            </c:spPr>
            <c:txPr>
              <a:bodyPr vert="horz" rot="0"/>
              <a:lstStyle/>
              <a:p>
                <a:pPr algn="ctr">
                  <a:defRPr lang="en-US" sz="1200" b="1" i="0" u="none" baseline="0">
                    <a:solidFill>
                      <a:schemeClr val="tx1">
                        <a:lumMod val="75000"/>
                        <a:lumOff val="25000"/>
                      </a:schemeClr>
                    </a:solidFill>
                    <a:latin typeface="Georgia"/>
                    <a:ea typeface="Georgia"/>
                    <a:cs typeface="Georgia"/>
                  </a:defRPr>
                </a:pPr>
              </a:p>
            </c:txP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'Detailed Save Spend Tables'!$C$7:$C$10</c:f>
              <c:strCache>
                <c:ptCount val="4"/>
                <c:pt idx="0">
                  <c:v>Residential</c:v>
                </c:pt>
                <c:pt idx="1">
                  <c:v>Commercial &amp; Industrial</c:v>
                </c:pt>
                <c:pt idx="2">
                  <c:v>Demand Response</c:v>
                </c:pt>
                <c:pt idx="3">
                  <c:v>Utility System Efficiency</c:v>
                </c:pt>
              </c:strCache>
            </c:strRef>
          </c:cat>
          <c:val>
            <c:numRef>
              <c:f>'Detailed Save Spend Tables'!$D$7:$D$10</c:f>
              <c:numCache>
                <c:formatCode>0</c:formatCode>
                <c:ptCount val="4"/>
                <c:pt idx="0">
                  <c:v>7788.62854330592</c:v>
                </c:pt>
                <c:pt idx="1">
                  <c:v>278.344378</c:v>
                </c:pt>
                <c:pt idx="2">
                  <c:v>158</c:v>
                </c:pt>
                <c:pt idx="3">
                  <c:v>3218.12711572454</c:v>
                </c:pt>
              </c:numCache>
            </c:numRef>
          </c:val>
        </c:ser>
        <c:overlap val="-27"/>
        <c:gapWidth val="219"/>
        <c:axId val="37430427"/>
        <c:axId val="22151637"/>
      </c:barChart>
      <c:catAx>
        <c:axId val="3743042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22151637"/>
        <c:crosses val="autoZero"/>
        <c:auto val="1"/>
        <c:lblOffset val="100"/>
        <c:noMultiLvlLbl val="0"/>
      </c:catAx>
      <c:valAx>
        <c:axId val="22151637"/>
        <c:scaling>
          <c:orientation val="minMax"/>
        </c:scaling>
        <c:delete val="0"/>
        <c:axPos val="l"/>
        <c:title>
          <c:tx>
            <c:rich>
              <a:bodyPr vert="horz" rot="-5400000"/>
              <a:lstStyle/>
              <a:p>
                <a:pPr algn="ctr">
                  <a:defRPr/>
                </a:pPr>
                <a:r>
                  <a:rPr lang="en-US" sz="1400" b="0" i="0" u="none" baseline="0">
                    <a:latin typeface="Georgia"/>
                    <a:ea typeface="Georgia"/>
                    <a:cs typeface="Georgia"/>
                  </a:rPr>
                  <a:t>Annual Energy Savings (MWh)</a:t>
                </a:r>
              </a:p>
            </c:rich>
          </c:tx>
          <c:layout>
            <c:manualLayout>
              <c:xMode val="edge"/>
              <c:yMode val="edge"/>
              <c:x val="0.0425"/>
              <c:y val="0.13425"/>
            </c:manualLayout>
          </c:layout>
          <c:overlay val="0"/>
          <c:spPr>
            <a:noFill/>
            <a:ln>
              <a:noFill/>
            </a:ln>
            <a:effectLst/>
          </c:spPr>
        </c:title>
        <c:majorGridlines>
          <c:spPr>
            <a:ln w="9525" cap="flat" cmpd="sng">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37430427"/>
        <c:crosses val="autoZero"/>
        <c:crossBetween val="between"/>
      </c:valAx>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19.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autoTitleDeleted val="1"/>
    <c:plotArea>
      <c:layout>
        <c:manualLayout>
          <c:layoutTarget val="inner"/>
          <c:xMode val="edge"/>
          <c:yMode val="edge"/>
          <c:x val="0.18025"/>
          <c:y val="0.10825"/>
          <c:w val="0.7905"/>
          <c:h val="0.7855"/>
        </c:manualLayout>
      </c:layout>
      <c:barChart>
        <c:barDir val="col"/>
        <c:grouping val="clustered"/>
        <c:varyColors val="0"/>
        <c:ser>
          <c:idx val="0"/>
          <c:order val="0"/>
          <c:spPr>
            <a:solidFill>
              <a:schemeClr val="accent1"/>
            </a:solidFill>
            <a:ln>
              <a:noFill/>
            </a:ln>
            <a:effectLst/>
          </c:spPr>
          <c:invertIfNegative val="0"/>
          <c:dPt>
            <c:idx val="0"/>
            <c:invertIfNegative val="0"/>
            <c:spPr>
              <a:solidFill>
                <a:schemeClr val="accent1"/>
              </a:solidFill>
              <a:ln>
                <a:noFill/>
              </a:ln>
              <a:effectLst/>
            </c:spPr>
          </c:dPt>
          <c:dPt>
            <c:idx val="1"/>
            <c:invertIfNegative val="0"/>
            <c:spPr>
              <a:solidFill>
                <a:schemeClr val="accent1"/>
              </a:solidFill>
              <a:ln>
                <a:noFill/>
              </a:ln>
              <a:effectLst/>
            </c:spPr>
          </c:dPt>
          <c:dPt>
            <c:idx val="2"/>
            <c:invertIfNegative val="0"/>
            <c:spPr>
              <a:solidFill>
                <a:schemeClr val="accent3"/>
              </a:solidFill>
              <a:ln>
                <a:noFill/>
              </a:ln>
              <a:effectLst/>
            </c:spPr>
          </c:dPt>
          <c:dPt>
            <c:idx val="3"/>
            <c:invertIfNegative val="0"/>
            <c:spPr>
              <a:solidFill>
                <a:schemeClr val="accent4"/>
              </a:solidFill>
              <a:ln>
                <a:noFill/>
              </a:ln>
              <a:effectLst/>
            </c:spPr>
          </c:dPt>
          <c:dLbls>
            <c:numFmt formatCode="#,##0" sourceLinked="0"/>
            <c:spPr>
              <a:noFill/>
              <a:ln>
                <a:noFill/>
              </a:ln>
              <a:effectLst/>
            </c:spPr>
            <c:txPr>
              <a:bodyPr vert="horz" rot="0"/>
              <a:lstStyle/>
              <a:p>
                <a:pPr algn="ctr">
                  <a:defRPr lang="en-US" sz="1200" b="1" i="0" u="none" baseline="0">
                    <a:solidFill>
                      <a:schemeClr val="tx1">
                        <a:lumMod val="75000"/>
                        <a:lumOff val="25000"/>
                      </a:schemeClr>
                    </a:solidFill>
                    <a:latin typeface="Georgia"/>
                    <a:ea typeface="Georgia"/>
                    <a:cs typeface="Georgia"/>
                  </a:defRPr>
                </a:pPr>
              </a:p>
            </c:txP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'Detailed Save Spend Tables'!$C$25:$C$28</c:f>
              <c:strCache>
                <c:ptCount val="4"/>
                <c:pt idx="0">
                  <c:v>Residential</c:v>
                </c:pt>
                <c:pt idx="1">
                  <c:v>Commercial &amp; Industrial</c:v>
                </c:pt>
                <c:pt idx="2">
                  <c:v>Demand Response</c:v>
                </c:pt>
                <c:pt idx="3">
                  <c:v>Utility System Efficiency</c:v>
                </c:pt>
              </c:strCache>
            </c:strRef>
          </c:cat>
          <c:val>
            <c:numRef>
              <c:f>'Detailed Save Spend Tables'!$D$25:$D$28</c:f>
              <c:numCache>
                <c:formatCode>0</c:formatCode>
                <c:ptCount val="4"/>
                <c:pt idx="0">
                  <c:v>435.886947723731</c:v>
                </c:pt>
                <c:pt idx="1">
                  <c:v>0</c:v>
                </c:pt>
                <c:pt idx="2">
                  <c:v>17000</c:v>
                </c:pt>
                <c:pt idx="3">
                  <c:v>61041.3009892909</c:v>
                </c:pt>
              </c:numCache>
            </c:numRef>
          </c:val>
        </c:ser>
        <c:overlap val="-27"/>
        <c:gapWidth val="219"/>
        <c:axId val="11688432"/>
        <c:axId val="35862288"/>
      </c:barChart>
      <c:catAx>
        <c:axId val="1168843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35862288"/>
        <c:crosses val="autoZero"/>
        <c:auto val="1"/>
        <c:lblOffset val="100"/>
        <c:noMultiLvlLbl val="0"/>
      </c:catAx>
      <c:valAx>
        <c:axId val="35862288"/>
        <c:scaling>
          <c:orientation val="minMax"/>
        </c:scaling>
        <c:delete val="0"/>
        <c:axPos val="l"/>
        <c:title>
          <c:tx>
            <c:rich>
              <a:bodyPr vert="horz" rot="-5400000"/>
              <a:lstStyle/>
              <a:p>
                <a:pPr algn="ctr">
                  <a:defRPr/>
                </a:pPr>
                <a:r>
                  <a:rPr lang="en-US" sz="1400" b="0" i="0" u="none" baseline="0">
                    <a:latin typeface="Georgia"/>
                    <a:ea typeface="Georgia"/>
                    <a:cs typeface="Georgia"/>
                  </a:rPr>
                  <a:t>Peak Demand</a:t>
                </a:r>
                <a:r>
                  <a:rPr lang="en-US" sz="1400" b="0" i="0" u="none" baseline="0">
                    <a:latin typeface="Georgia"/>
                    <a:ea typeface="Georgia"/>
                    <a:cs typeface="Georgia"/>
                  </a:rPr>
                  <a:t> </a:t>
                </a:r>
                <a:r>
                  <a:rPr lang="en-US" sz="1400" b="0" i="0" u="none" baseline="0">
                    <a:latin typeface="Georgia"/>
                    <a:ea typeface="Georgia"/>
                    <a:cs typeface="Georgia"/>
                  </a:rPr>
                  <a:t>Savings (kW)</a:t>
                </a:r>
              </a:p>
            </c:rich>
          </c:tx>
          <c:layout>
            <c:manualLayout>
              <c:xMode val="edge"/>
              <c:yMode val="edge"/>
              <c:x val="0.03675"/>
              <c:y val="0.25675"/>
            </c:manualLayout>
          </c:layout>
          <c:overlay val="0"/>
          <c:spPr>
            <a:noFill/>
            <a:ln>
              <a:noFill/>
            </a:ln>
            <a:effectLst/>
          </c:spPr>
        </c:title>
        <c:majorGridlines>
          <c:spPr>
            <a:ln w="9525" cap="flat" cmpd="sng">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11688432"/>
        <c:crosses val="autoZero"/>
        <c:crossBetween val="between"/>
      </c:valAx>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layout/>
      <c:overlay val="0"/>
      <c:spPr>
        <a:noFill/>
        <a:ln>
          <a:noFill/>
        </a:ln>
        <a:effectLst/>
      </c:spPr>
      <c:txPr>
        <a:bodyPr vert="horz" rot="0"/>
        <a:lstStyle/>
        <a:p>
          <a:pPr>
            <a:defRPr lang="en-US" sz="1400" b="0" i="0" u="none" baseline="0">
              <a:solidFill>
                <a:schemeClr val="tx1">
                  <a:lumMod val="65000"/>
                  <a:lumOff val="35000"/>
                </a:schemeClr>
              </a:solidFill>
            </a:defRPr>
          </a:pPr>
        </a:p>
      </c:txPr>
    </c:title>
    <c:autoTitleDeleted val="0"/>
    <c:plotArea>
      <c:layout/>
      <c:pieChart>
        <c:varyColors val="1"/>
        <c:ser>
          <c:idx val="0"/>
          <c:order val="0"/>
          <c:tx>
            <c:strRef>
              <c:f>'Save Spend Summary'!$G$5</c:f>
              <c:strCache>
                <c:ptCount val="1"/>
                <c:pt idx="0">
                  <c:v>% of Total Lifetime MWhs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numFmt formatCode="General" sourceLinked="1"/>
            <c:showLegendKey val="0"/>
            <c:showVal val="0"/>
            <c:showCatName val="0"/>
            <c:showSerName val="0"/>
            <c:showPercent val="0"/>
            <c:showBubbleSize val="0"/>
            <c:showLeaderLines val="0"/>
          </c:dLbls>
          <c:cat>
            <c:strRef>
              <c:f>'Save Spend Summary'!$B$6:$B$15</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Summary'!$G$6:$G$15</c:f>
              <c:numCache>
                <c:formatCode>0.00%</c:formatCode>
                <c:ptCount val="10"/>
                <c:pt idx="0">
                  <c:v>0.0176990099068764</c:v>
                </c:pt>
                <c:pt idx="1">
                  <c:v>0.0171665131120916</c:v>
                </c:pt>
                <c:pt idx="2">
                  <c:v>0.0594208565402366</c:v>
                </c:pt>
                <c:pt idx="3">
                  <c:v>0.293466736930298</c:v>
                </c:pt>
                <c:pt idx="4">
                  <c:v>0.0294941111308277</c:v>
                </c:pt>
                <c:pt idx="5">
                  <c:v>0.316211762857294</c:v>
                </c:pt>
                <c:pt idx="6">
                  <c:v>0.0543642773190614</c:v>
                </c:pt>
                <c:pt idx="7">
                  <c:v>0.0332659480306883</c:v>
                </c:pt>
                <c:pt idx="8">
                  <c:v>0.0248702238899201</c:v>
                </c:pt>
                <c:pt idx="9">
                  <c:v>0.154040560282706</c:v>
                </c:pt>
              </c:numCache>
            </c:numRef>
          </c:val>
          <c:extLst>
            <c:ext xmlns:c16="http://schemas.microsoft.com/office/drawing/2014/chart" uri="{C3380CC4-5D6E-409C-BE32-E72D297353CC}">
              <c16:uniqueId val="{00000016-B8A9-4156-83F2-D58741C757E2}"/>
            </c:ext>
          </c:extLst>
        </c:ser>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chartSpace>
</file>

<file path=xl/charts/chart20.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Seminole Total Annual MWh Reduction</a:t>
            </a:r>
          </a:p>
        </c:rich>
      </c:tx>
      <c:layout>
        <c:manualLayout>
          <c:xMode val="edge"/>
          <c:yMode val="edge"/>
          <c:x val="0.24575"/>
          <c:y val="0"/>
        </c:manualLayout>
      </c:layout>
      <c:overlay val="0"/>
      <c:spPr>
        <a:noFill/>
        <a:ln>
          <a:noFill/>
        </a:ln>
        <a:effectLst/>
      </c:spPr>
    </c:title>
    <c:autoTitleDeleted val="0"/>
    <c:plotArea>
      <c:layout>
        <c:manualLayout>
          <c:layoutTarget val="inner"/>
          <c:xMode val="edge"/>
          <c:yMode val="edge"/>
          <c:x val="0.30675"/>
          <c:y val="0.20925"/>
          <c:w val="0.38575"/>
          <c:h val="0.578"/>
        </c:manualLayout>
      </c:layout>
      <c:doughnutChart>
        <c:varyColors val="1"/>
        <c:ser>
          <c:idx val="0"/>
          <c:order val="0"/>
          <c:tx>
            <c:strRef>
              <c:f>'Detailed Save Spend Tables'!$D$60</c:f>
              <c:strCache>
                <c:ptCount val="1"/>
                <c:pt idx="0">
                  <c:v>Seminole Total</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Lbls>
            <c:dLbl>
              <c:idx val="0"/>
              <c:layout>
                <c:manualLayout>
                  <c:x val="-0.26775"/>
                  <c:y val="0.113"/>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23125"/>
                  <c:y val="0.1"/>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21475"/>
                  <c:y val="-0.148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37575"/>
                  <c:y val="-0.04375"/>
                </c:manualLayout>
              </c:layout>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26075"/>
                  <c:y val="0.164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5"/>
              <c:layout>
                <c:manualLayout>
                  <c:x val="0.21425"/>
                  <c:y val="0.436"/>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Tables'!$C$61:$C$65,'Detailed Save Spend Tables'!$C$67)</c:f>
              <c:strCache>
                <c:ptCount val="6"/>
                <c:pt idx="0">
                  <c:v>Residential Pre-Paid Energy Program</c:v>
                </c:pt>
                <c:pt idx="1">
                  <c:v>Bulb Giveaways (LED and CFL)</c:v>
                </c:pt>
                <c:pt idx="2">
                  <c:v>TOU/Critical Peak Rates</c:v>
                </c:pt>
                <c:pt idx="3">
                  <c:v>Utility System Savings (including VR and all facilities)</c:v>
                </c:pt>
                <c:pt idx="4">
                  <c:v>Energy Smart Rebates (including all combined measures)</c:v>
                </c:pt>
                <c:pt idx="5">
                  <c:v>LED outdoor lights/streetlights (utility owned/leased)</c:v>
                </c:pt>
              </c:strCache>
            </c:strRef>
          </c:cat>
          <c:val>
            <c:numRef>
              <c:f>('Detailed Save Spend Tables'!$D$61:$D$65,'Detailed Save Spend Tables'!$D$67)</c:f>
              <c:numCache>
                <c:formatCode>0</c:formatCode>
                <c:ptCount val="6"/>
                <c:pt idx="0">
                  <c:v>6641.75190871608</c:v>
                </c:pt>
                <c:pt idx="1">
                  <c:v>266.44020979212</c:v>
                </c:pt>
                <c:pt idx="2">
                  <c:v>158</c:v>
                </c:pt>
                <c:pt idx="3">
                  <c:v>3218.12711572454</c:v>
                </c:pt>
                <c:pt idx="4">
                  <c:v>880.436424797715</c:v>
                </c:pt>
                <c:pt idx="5">
                  <c:v>278.344378</c:v>
                </c:pt>
              </c:numCache>
            </c:numRef>
          </c:val>
          <c:extLst>
            <c:ext xmlns:c16="http://schemas.microsoft.com/office/drawing/2014/chart" uri="{C3380CC4-5D6E-409C-BE32-E72D297353CC}">
              <c16:uniqueId val="{00000014-BFED-4B81-837E-8EF7DA48A5B4}"/>
            </c:ext>
          </c:extLst>
        </c:ser>
        <c:firstSliceAng val="75"/>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Seminole Total Lifetime MWh Reduction</a:t>
            </a:r>
          </a:p>
        </c:rich>
      </c:tx>
      <c:layout/>
      <c:overlay val="0"/>
      <c:spPr>
        <a:noFill/>
        <a:ln>
          <a:noFill/>
        </a:ln>
        <a:effectLst/>
      </c:spPr>
    </c:title>
    <c:autoTitleDeleted val="0"/>
    <c:plotArea>
      <c:layout>
        <c:manualLayout>
          <c:layoutTarget val="inner"/>
          <c:xMode val="edge"/>
          <c:yMode val="edge"/>
          <c:x val="0.30675"/>
          <c:y val="0.20925"/>
          <c:w val="0.38575"/>
          <c:h val="0.578"/>
        </c:manualLayout>
      </c:layout>
      <c:doughnutChart>
        <c:varyColors val="1"/>
        <c:ser>
          <c:idx val="0"/>
          <c:order val="0"/>
          <c:tx>
            <c:strRef>
              <c:f>'Detailed Save Spend Tables'!$D$60</c:f>
              <c:strCache>
                <c:ptCount val="1"/>
                <c:pt idx="0">
                  <c:v>Seminole Total</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Lbls>
            <c:dLbl>
              <c:idx val="0"/>
              <c:layout>
                <c:manualLayout>
                  <c:x val="0.22"/>
                  <c:y val="0.029"/>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233"/>
                  <c:y val="0.113"/>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16225"/>
                  <c:y val="0.138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455"/>
                  <c:y val="0.048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31175"/>
                  <c:y val="-0.012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5"/>
              <c:layout>
                <c:manualLayout>
                  <c:x val="0.25825"/>
                  <c:y val="-0.0855"/>
                </c:manualLayout>
              </c:layout>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Tables'!$C$73:$C$77,'Detailed Save Spend Tables'!$C$79)</c:f>
              <c:strCache>
                <c:ptCount val="6"/>
                <c:pt idx="0">
                  <c:v>Residential Pre-Paid Energy Program</c:v>
                </c:pt>
                <c:pt idx="1">
                  <c:v>Bulb Giveaways (LED and CFL)</c:v>
                </c:pt>
                <c:pt idx="2">
                  <c:v>TOU/Critical Peak Rates</c:v>
                </c:pt>
                <c:pt idx="3">
                  <c:v>Utility System Savings (including VR and all facilities)</c:v>
                </c:pt>
                <c:pt idx="4">
                  <c:v>Energy Smart Rebates (including all combined measures)</c:v>
                </c:pt>
                <c:pt idx="5">
                  <c:v>LED outdoor lights/streetlights (utility owned/leased)</c:v>
                </c:pt>
              </c:strCache>
            </c:strRef>
          </c:cat>
          <c:val>
            <c:numRef>
              <c:f>('Detailed Save Spend Tables'!$D$73:$D$77,'Detailed Save Spend Tables'!$D$79)</c:f>
              <c:numCache>
                <c:formatCode>0</c:formatCode>
                <c:ptCount val="6"/>
                <c:pt idx="0">
                  <c:v>6748.01103511608</c:v>
                </c:pt>
                <c:pt idx="1">
                  <c:v>4555.11514214484</c:v>
                </c:pt>
                <c:pt idx="2">
                  <c:v>158</c:v>
                </c:pt>
                <c:pt idx="3">
                  <c:v>8743.56841403649</c:v>
                </c:pt>
                <c:pt idx="4">
                  <c:v>8638.67020826385</c:v>
                </c:pt>
                <c:pt idx="5">
                  <c:v>3442.3</c:v>
                </c:pt>
              </c:numCache>
            </c:numRef>
          </c:val>
          <c:extLst>
            <c:ext xmlns:c16="http://schemas.microsoft.com/office/drawing/2014/chart" uri="{C3380CC4-5D6E-409C-BE32-E72D297353CC}">
              <c16:uniqueId val="{00000014-BFED-4B81-837E-8EF7DA48A5B4}"/>
            </c:ext>
          </c:extLst>
        </c:ser>
        <c:firstSliceAng val="75"/>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Annual</a:t>
            </a:r>
            <a:r>
              <a:rPr lang="en-US" sz="1400" b="1" i="0" u="none" baseline="0">
                <a:solidFill>
                  <a:schemeClr val="tx1"/>
                </a:solidFill>
                <a:latin typeface="Georgia"/>
                <a:ea typeface="Georgia"/>
                <a:cs typeface="Georgia"/>
              </a:rPr>
              <a:t> MWh Savings </a:t>
            </a:r>
            <a:r>
              <a:rPr lang="en-US" sz="1400" b="1" i="0" u="none" baseline="0">
                <a:solidFill>
                  <a:schemeClr val="tx1"/>
                </a:solidFill>
                <a:latin typeface="Georgia"/>
                <a:ea typeface="Georgia"/>
                <a:cs typeface="Georgia"/>
              </a:rPr>
              <a:t>by Member</a:t>
            </a:r>
            <a:r>
              <a:rPr lang="en-US" sz="1400" b="1" i="0" u="none" baseline="0">
                <a:solidFill>
                  <a:schemeClr val="tx1"/>
                </a:solidFill>
                <a:latin typeface="Georgia"/>
                <a:ea typeface="Georgia"/>
                <a:cs typeface="Georgia"/>
              </a:rPr>
              <a:t> </a:t>
            </a:r>
            <a:r>
              <a:rPr lang="en-US" sz="1400" b="1" i="0" u="none" baseline="0">
                <a:solidFill>
                  <a:schemeClr val="tx1"/>
                </a:solidFill>
                <a:latin typeface="Georgia"/>
                <a:ea typeface="Georgia"/>
                <a:cs typeface="Georgia"/>
              </a:rPr>
              <a:t>Co-Op</a:t>
            </a:r>
          </a:p>
        </c:rich>
      </c:tx>
      <c:layout/>
      <c:overlay val="0"/>
      <c:spPr>
        <a:noFill/>
        <a:ln>
          <a:noFill/>
        </a:ln>
        <a:effectLst/>
      </c:spPr>
    </c:title>
    <c:autoTitleDeleted val="0"/>
    <c:plotArea>
      <c:layout/>
      <c:doughnutChart>
        <c:varyColors val="1"/>
        <c:ser>
          <c:idx val="0"/>
          <c:order val="0"/>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dLbl>
              <c:idx val="0"/>
              <c:layout>
                <c:manualLayout>
                  <c:x val="-0.353"/>
                  <c:y val="-0.047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33575"/>
                  <c:y val="-0.16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00225"/>
                  <c:y val="0.012"/>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14"/>
                  <c:y val="-0.107"/>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2375"/>
                  <c:y val="-0.03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6"/>
              <c:layout>
                <c:manualLayout>
                  <c:x val="-0.2245"/>
                  <c:y val="0.408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7"/>
              <c:layout>
                <c:manualLayout>
                  <c:x val="-0.27575"/>
                  <c:y val="0.357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8"/>
              <c:layout>
                <c:manualLayout>
                  <c:x val="-0.30375"/>
                  <c:y val="0.234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9"/>
              <c:layout>
                <c:manualLayout>
                  <c:x val="-0.32075"/>
                  <c:y val="0.07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'Save Spend Summary'!$B$20:$B$29</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Summary'!$C$6:$C$15</c:f>
              <c:numCache>
                <c:formatCode>_(* #,##0.00_);_(* \(#,##0.00\);_(* "-"??_);_(@_)</c:formatCode>
                <c:ptCount val="10"/>
                <c:pt idx="0">
                  <c:v>465.165174737525</c:v>
                </c:pt>
                <c:pt idx="1">
                  <c:v>447.973161714263</c:v>
                </c:pt>
                <c:pt idx="2">
                  <c:v>1812.1827299609</c:v>
                </c:pt>
                <c:pt idx="3">
                  <c:v>1118.81599648649</c:v>
                </c:pt>
                <c:pt idx="4">
                  <c:v>612.07791007891</c:v>
                </c:pt>
                <c:pt idx="5">
                  <c:v>5219.54304728894</c:v>
                </c:pt>
                <c:pt idx="6">
                  <c:v>970.234732193607</c:v>
                </c:pt>
                <c:pt idx="7">
                  <c:v>451.142681112677</c:v>
                </c:pt>
                <c:pt idx="8">
                  <c:v>61.4749316</c:v>
                </c:pt>
                <c:pt idx="9">
                  <c:v>284.489671857143</c:v>
                </c:pt>
              </c:numCache>
            </c:numRef>
          </c:val>
          <c:extLst>
            <c:ext xmlns:c16="http://schemas.microsoft.com/office/drawing/2014/chart" uri="{C3380CC4-5D6E-409C-BE32-E72D297353CC}">
              <c16:uniqueId val="{00000014-2511-4358-B80E-74AF5D497A2E}"/>
            </c:ext>
          </c:extLst>
        </c:ser>
        <c:firstSliceAng val="324"/>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Lifetime</a:t>
            </a:r>
            <a:r>
              <a:rPr lang="en-US" sz="1400" b="1" i="0" u="none" baseline="0">
                <a:solidFill>
                  <a:schemeClr val="tx1"/>
                </a:solidFill>
                <a:latin typeface="Georgia"/>
                <a:ea typeface="Georgia"/>
                <a:cs typeface="Georgia"/>
              </a:rPr>
              <a:t> MWh </a:t>
            </a:r>
            <a:r>
              <a:rPr lang="en-US" sz="1400" b="1" i="0" u="none" baseline="0">
                <a:solidFill>
                  <a:schemeClr val="tx1"/>
                </a:solidFill>
                <a:latin typeface="Georgia"/>
                <a:ea typeface="Georgia"/>
                <a:cs typeface="Georgia"/>
              </a:rPr>
              <a:t>Reduction by Member Co-Op</a:t>
            </a:r>
          </a:p>
        </c:rich>
      </c:tx>
      <c:layout/>
      <c:overlay val="0"/>
      <c:spPr>
        <a:noFill/>
        <a:ln>
          <a:noFill/>
        </a:ln>
        <a:effectLst/>
      </c:spPr>
    </c:title>
    <c:autoTitleDeleted val="0"/>
    <c:plotArea>
      <c:layout/>
      <c:doughnutChart>
        <c:varyColors val="1"/>
        <c:ser>
          <c:idx val="0"/>
          <c:order val="0"/>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dLbl>
              <c:idx val="0"/>
              <c:layout>
                <c:manualLayout>
                  <c:x val="-0.34875"/>
                  <c:y val="-0.039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325"/>
                  <c:y val="-0.174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3445"/>
                  <c:y val="-0.075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205"/>
                  <c:y val="0.015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20325"/>
                  <c:y val="0.004"/>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6"/>
              <c:layout>
                <c:manualLayout>
                  <c:x val="-0.248"/>
                  <c:y val="0.254"/>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7"/>
              <c:layout>
                <c:manualLayout>
                  <c:x val="-0.24375"/>
                  <c:y val="0.190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8"/>
              <c:layout>
                <c:manualLayout>
                  <c:x val="-0.263"/>
                  <c:y val="0.099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9"/>
              <c:layout>
                <c:manualLayout>
                  <c:x val="-0.28875"/>
                  <c:y val="0.059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'Save Spend Summary'!$B$20:$B$29</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Summary'!$D$6:$D$15</c:f>
              <c:numCache>
                <c:formatCode>_(* #,##0.00_);_(* \(#,##0.00\);_(* "-"??_);_(@_)</c:formatCode>
                <c:ptCount val="10"/>
                <c:pt idx="0">
                  <c:v>571.424301137525</c:v>
                </c:pt>
                <c:pt idx="1">
                  <c:v>554.232288114263</c:v>
                </c:pt>
                <c:pt idx="2">
                  <c:v>1918.4418563609</c:v>
                </c:pt>
                <c:pt idx="3">
                  <c:v>9474.76869835263</c:v>
                </c:pt>
                <c:pt idx="4">
                  <c:v>952.23698553091</c:v>
                </c:pt>
                <c:pt idx="5">
                  <c:v>10209.1069812889</c:v>
                </c:pt>
                <c:pt idx="6">
                  <c:v>1755.18683459361</c:v>
                </c:pt>
                <c:pt idx="7">
                  <c:v>1074.01324735843</c:v>
                </c:pt>
                <c:pt idx="8">
                  <c:v>802.951712</c:v>
                </c:pt>
                <c:pt idx="9">
                  <c:v>4973.30189482406</c:v>
                </c:pt>
              </c:numCache>
            </c:numRef>
          </c:val>
          <c:extLst>
            <c:ext xmlns:c16="http://schemas.microsoft.com/office/drawing/2014/chart" uri="{C3380CC4-5D6E-409C-BE32-E72D297353CC}">
              <c16:uniqueId val="{00000014-2511-4358-B80E-74AF5D497A2E}"/>
            </c:ext>
          </c:extLst>
        </c:ser>
        <c:firstSliceAng val="333"/>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autoTitleDeleted val="1"/>
    <c:plotArea>
      <c:layout>
        <c:manualLayout>
          <c:layoutTarget val="inner"/>
          <c:xMode val="edge"/>
          <c:yMode val="edge"/>
          <c:x val="0.18025"/>
          <c:y val="0.10825"/>
          <c:w val="0.7905"/>
          <c:h val="0.7855"/>
        </c:manualLayout>
      </c:layout>
      <c:barChart>
        <c:barDir val="col"/>
        <c:grouping val="clustered"/>
        <c:varyColors val="0"/>
        <c:ser>
          <c:idx val="0"/>
          <c:order val="0"/>
          <c:spPr>
            <a:solidFill>
              <a:schemeClr val="accent1"/>
            </a:solidFill>
            <a:ln>
              <a:noFill/>
            </a:ln>
            <a:effectLst/>
          </c:spPr>
          <c:invertIfNegative val="0"/>
          <c:dPt>
            <c:idx val="0"/>
            <c:invertIfNegative val="0"/>
            <c:spPr>
              <a:solidFill>
                <a:schemeClr val="accent1"/>
              </a:solidFill>
              <a:ln>
                <a:noFill/>
              </a:ln>
              <a:effectLst/>
            </c:spPr>
          </c:dPt>
          <c:dPt>
            <c:idx val="1"/>
            <c:invertIfNegative val="0"/>
            <c:spPr>
              <a:solidFill>
                <a:schemeClr val="accent2"/>
              </a:solidFill>
              <a:ln>
                <a:noFill/>
              </a:ln>
              <a:effectLst/>
            </c:spPr>
          </c:dPt>
          <c:dPt>
            <c:idx val="2"/>
            <c:invertIfNegative val="0"/>
            <c:spPr>
              <a:solidFill>
                <a:schemeClr val="accent3"/>
              </a:solidFill>
              <a:ln>
                <a:noFill/>
              </a:ln>
              <a:effectLst/>
            </c:spPr>
          </c:dPt>
          <c:dPt>
            <c:idx val="3"/>
            <c:invertIfNegative val="0"/>
            <c:spPr>
              <a:solidFill>
                <a:schemeClr val="accent4"/>
              </a:solidFill>
              <a:ln>
                <a:noFill/>
              </a:ln>
              <a:effectLst/>
            </c:spPr>
          </c:dPt>
          <c:dLbls>
            <c:numFmt formatCode="#,##0" sourceLinked="0"/>
            <c:spPr>
              <a:noFill/>
              <a:ln>
                <a:noFill/>
              </a:ln>
              <a:effectLst/>
            </c:spPr>
            <c:txPr>
              <a:bodyPr vert="horz" rot="0"/>
              <a:lstStyle/>
              <a:p>
                <a:pPr algn="ctr">
                  <a:defRPr lang="en-US" sz="1100" b="1" i="0" u="none" baseline="0">
                    <a:solidFill>
                      <a:schemeClr val="tx1">
                        <a:lumMod val="75000"/>
                        <a:lumOff val="25000"/>
                      </a:schemeClr>
                    </a:solidFill>
                    <a:latin typeface="Georgia"/>
                    <a:ea typeface="Georgia"/>
                    <a:cs typeface="Georgia"/>
                  </a:defRPr>
                </a:pPr>
              </a:p>
            </c:txP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'Detailed Save Spend Tables'!$C$7:$C$10</c:f>
              <c:strCache>
                <c:ptCount val="4"/>
                <c:pt idx="0">
                  <c:v>Residential</c:v>
                </c:pt>
                <c:pt idx="1">
                  <c:v>Commercial &amp; Industrial</c:v>
                </c:pt>
                <c:pt idx="2">
                  <c:v>Demand Response</c:v>
                </c:pt>
                <c:pt idx="3">
                  <c:v>Utility System Efficiency</c:v>
                </c:pt>
              </c:strCache>
            </c:strRef>
          </c:cat>
          <c:val>
            <c:numRef>
              <c:f>'Detailed Save Spend Tables'!$D$34:$D$37</c:f>
              <c:numCache>
                <c:formatCode>0</c:formatCode>
                <c:ptCount val="4"/>
                <c:pt idx="0">
                  <c:v>8406.0463421466</c:v>
                </c:pt>
                <c:pt idx="1">
                  <c:v>303.0287414596</c:v>
                </c:pt>
                <c:pt idx="2">
                  <c:v>169.692</c:v>
                </c:pt>
                <c:pt idx="3">
                  <c:v>3474.59215373165</c:v>
                </c:pt>
              </c:numCache>
            </c:numRef>
          </c:val>
        </c:ser>
        <c:overlap val="-27"/>
        <c:gapWidth val="219"/>
        <c:axId val="12421656"/>
        <c:axId val="4681389"/>
      </c:barChart>
      <c:catAx>
        <c:axId val="12421656"/>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4681389"/>
        <c:crosses val="autoZero"/>
        <c:auto val="1"/>
        <c:lblOffset val="100"/>
        <c:noMultiLvlLbl val="0"/>
      </c:catAx>
      <c:valAx>
        <c:axId val="4681389"/>
        <c:scaling>
          <c:orientation val="minMax"/>
        </c:scaling>
        <c:delete val="0"/>
        <c:axPos val="l"/>
        <c:title>
          <c:tx>
            <c:rich>
              <a:bodyPr vert="horz" rot="-5400000"/>
              <a:lstStyle/>
              <a:p>
                <a:pPr algn="ctr">
                  <a:defRPr/>
                </a:pPr>
                <a:r>
                  <a:rPr lang="en-US" sz="1400" b="0" i="0" u="none" baseline="0">
                    <a:latin typeface="Georgia"/>
                    <a:ea typeface="Georgia"/>
                    <a:cs typeface="Georgia"/>
                  </a:rPr>
                  <a:t>Annual Energy Savings (MWh)</a:t>
                </a:r>
              </a:p>
            </c:rich>
          </c:tx>
          <c:layout>
            <c:manualLayout>
              <c:xMode val="edge"/>
              <c:yMode val="edge"/>
              <c:x val="0.0425"/>
              <c:y val="0.13425"/>
            </c:manualLayout>
          </c:layout>
          <c:overlay val="0"/>
          <c:spPr>
            <a:noFill/>
            <a:ln>
              <a:noFill/>
            </a:ln>
            <a:effectLst/>
          </c:spPr>
        </c:title>
        <c:majorGridlines>
          <c:spPr>
            <a:ln w="9525" cap="flat" cmpd="sng">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12421656"/>
        <c:crosses val="autoZero"/>
        <c:crossBetween val="between"/>
      </c:valAx>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autoTitleDeleted val="1"/>
    <c:plotArea>
      <c:layout>
        <c:manualLayout>
          <c:layoutTarget val="inner"/>
          <c:xMode val="edge"/>
          <c:yMode val="edge"/>
          <c:x val="0.18025"/>
          <c:y val="0.10825"/>
          <c:w val="0.7905"/>
          <c:h val="0.7855"/>
        </c:manualLayout>
      </c:layout>
      <c:barChart>
        <c:barDir val="col"/>
        <c:grouping val="clustered"/>
        <c:varyColors val="0"/>
        <c:ser>
          <c:idx val="0"/>
          <c:order val="0"/>
          <c:spPr>
            <a:solidFill>
              <a:schemeClr val="accent1"/>
            </a:solidFill>
            <a:ln>
              <a:noFill/>
            </a:ln>
            <a:effectLst/>
          </c:spPr>
          <c:invertIfNegative val="0"/>
          <c:dPt>
            <c:idx val="0"/>
            <c:invertIfNegative val="0"/>
            <c:spPr>
              <a:solidFill>
                <a:schemeClr val="accent1"/>
              </a:solidFill>
              <a:ln>
                <a:noFill/>
              </a:ln>
              <a:effectLst/>
            </c:spPr>
          </c:dPt>
          <c:dPt>
            <c:idx val="1"/>
            <c:invertIfNegative val="0"/>
            <c:spPr>
              <a:solidFill>
                <a:schemeClr val="accent1"/>
              </a:solidFill>
              <a:ln>
                <a:noFill/>
              </a:ln>
              <a:effectLst/>
            </c:spPr>
          </c:dPt>
          <c:dPt>
            <c:idx val="2"/>
            <c:invertIfNegative val="0"/>
            <c:spPr>
              <a:solidFill>
                <a:schemeClr val="accent3"/>
              </a:solidFill>
              <a:ln>
                <a:noFill/>
              </a:ln>
              <a:effectLst/>
            </c:spPr>
          </c:dPt>
          <c:dPt>
            <c:idx val="3"/>
            <c:invertIfNegative val="0"/>
            <c:spPr>
              <a:solidFill>
                <a:schemeClr val="accent4"/>
              </a:solidFill>
              <a:ln>
                <a:noFill/>
              </a:ln>
              <a:effectLst/>
            </c:spPr>
          </c:dPt>
          <c:dLbls>
            <c:numFmt formatCode="#,##0" sourceLinked="0"/>
            <c:spPr>
              <a:noFill/>
              <a:ln>
                <a:noFill/>
              </a:ln>
              <a:effectLst/>
            </c:spPr>
            <c:txPr>
              <a:bodyPr vert="horz" rot="0"/>
              <a:lstStyle/>
              <a:p>
                <a:pPr algn="ctr">
                  <a:defRPr lang="en-US" sz="1200" b="1" i="0" u="none" baseline="0">
                    <a:solidFill>
                      <a:schemeClr val="tx1">
                        <a:lumMod val="75000"/>
                        <a:lumOff val="25000"/>
                      </a:schemeClr>
                    </a:solidFill>
                    <a:latin typeface="Georgia"/>
                    <a:ea typeface="Georgia"/>
                    <a:cs typeface="Georgia"/>
                  </a:defRPr>
                </a:pPr>
              </a:p>
            </c:txP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'Detailed Save Spend Tables'!$C$25:$C$28</c:f>
              <c:strCache>
                <c:ptCount val="4"/>
                <c:pt idx="0">
                  <c:v>Residential</c:v>
                </c:pt>
                <c:pt idx="1">
                  <c:v>Commercial &amp; Industrial</c:v>
                </c:pt>
                <c:pt idx="2">
                  <c:v>Demand Response</c:v>
                </c:pt>
                <c:pt idx="3">
                  <c:v>Utility System Efficiency</c:v>
                </c:pt>
              </c:strCache>
            </c:strRef>
          </c:cat>
          <c:val>
            <c:numRef>
              <c:f>'Detailed Save Spend Tables'!$D$52:$D$55</c:f>
              <c:numCache>
                <c:formatCode>0</c:formatCode>
                <c:ptCount val="4"/>
                <c:pt idx="0">
                  <c:v>470.045267795288</c:v>
                </c:pt>
                <c:pt idx="1">
                  <c:v>0</c:v>
                </c:pt>
                <c:pt idx="2">
                  <c:v>18258</c:v>
                </c:pt>
                <c:pt idx="3">
                  <c:v>66298.2454756115</c:v>
                </c:pt>
              </c:numCache>
            </c:numRef>
          </c:val>
        </c:ser>
        <c:overlap val="-27"/>
        <c:gapWidth val="219"/>
        <c:axId val="28061491"/>
        <c:axId val="32835789"/>
      </c:barChart>
      <c:catAx>
        <c:axId val="2806149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32835789"/>
        <c:crosses val="autoZero"/>
        <c:auto val="1"/>
        <c:lblOffset val="100"/>
        <c:noMultiLvlLbl val="0"/>
      </c:catAx>
      <c:valAx>
        <c:axId val="32835789"/>
        <c:scaling>
          <c:orientation val="minMax"/>
        </c:scaling>
        <c:delete val="0"/>
        <c:axPos val="l"/>
        <c:title>
          <c:tx>
            <c:rich>
              <a:bodyPr vert="horz" rot="-5400000"/>
              <a:lstStyle/>
              <a:p>
                <a:pPr algn="ctr">
                  <a:defRPr/>
                </a:pPr>
                <a:r>
                  <a:rPr lang="en-US" sz="1400" b="0" i="0" u="none" baseline="0">
                    <a:latin typeface="Georgia"/>
                    <a:ea typeface="Georgia"/>
                    <a:cs typeface="Georgia"/>
                  </a:rPr>
                  <a:t>Peak Demand</a:t>
                </a:r>
                <a:r>
                  <a:rPr lang="en-US" sz="1400" b="0" i="0" u="none" baseline="0">
                    <a:latin typeface="Georgia"/>
                    <a:ea typeface="Georgia"/>
                    <a:cs typeface="Georgia"/>
                  </a:rPr>
                  <a:t> </a:t>
                </a:r>
                <a:r>
                  <a:rPr lang="en-US" sz="1400" b="0" i="0" u="none" baseline="0">
                    <a:latin typeface="Georgia"/>
                    <a:ea typeface="Georgia"/>
                    <a:cs typeface="Georgia"/>
                  </a:rPr>
                  <a:t>Savings (kW)</a:t>
                </a:r>
              </a:p>
            </c:rich>
          </c:tx>
          <c:layout>
            <c:manualLayout>
              <c:xMode val="edge"/>
              <c:yMode val="edge"/>
              <c:x val="0.03675"/>
              <c:y val="0.25675"/>
            </c:manualLayout>
          </c:layout>
          <c:overlay val="0"/>
          <c:spPr>
            <a:noFill/>
            <a:ln>
              <a:noFill/>
            </a:ln>
            <a:effectLst/>
          </c:spPr>
        </c:title>
        <c:majorGridlines>
          <c:spPr>
            <a:ln w="9525" cap="flat" cmpd="sng">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a:lstStyle/>
          <a:p>
            <a:pPr>
              <a:defRPr lang="en-US" sz="1200" b="0" i="0" u="none" baseline="0">
                <a:solidFill>
                  <a:schemeClr val="tx1">
                    <a:lumMod val="65000"/>
                    <a:lumOff val="35000"/>
                  </a:schemeClr>
                </a:solidFill>
                <a:latin typeface="Georgia"/>
                <a:ea typeface="Georgia"/>
                <a:cs typeface="Georgia"/>
              </a:defRPr>
            </a:pPr>
          </a:p>
        </c:txPr>
        <c:crossAx val="28061491"/>
        <c:crosses val="autoZero"/>
        <c:crossBetween val="between"/>
      </c:valAx>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Seminole Total Annual MWh Reduction</a:t>
            </a:r>
          </a:p>
        </c:rich>
      </c:tx>
      <c:layout>
        <c:manualLayout>
          <c:xMode val="edge"/>
          <c:yMode val="edge"/>
          <c:x val="0.22325"/>
          <c:y val="0"/>
        </c:manualLayout>
      </c:layout>
      <c:overlay val="0"/>
      <c:spPr>
        <a:noFill/>
        <a:ln>
          <a:noFill/>
        </a:ln>
        <a:effectLst/>
      </c:spPr>
    </c:title>
    <c:autoTitleDeleted val="0"/>
    <c:plotArea>
      <c:layout>
        <c:manualLayout>
          <c:layoutTarget val="inner"/>
          <c:xMode val="edge"/>
          <c:yMode val="edge"/>
          <c:x val="0.30675"/>
          <c:y val="0.20925"/>
          <c:w val="0.38575"/>
          <c:h val="0.578"/>
        </c:manualLayout>
      </c:layout>
      <c:doughnutChart>
        <c:varyColors val="1"/>
        <c:ser>
          <c:idx val="0"/>
          <c:order val="0"/>
          <c:tx>
            <c:strRef>
              <c:f>'Detailed Save Spend Tables'!$D$96</c:f>
              <c:strCache>
                <c:ptCount val="1"/>
                <c:pt idx="0">
                  <c:v>Seminole Total</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Lbls>
            <c:dLbl>
              <c:idx val="0"/>
              <c:layout>
                <c:manualLayout>
                  <c:x val="0.20075"/>
                  <c:y val="0.150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27175"/>
                  <c:y val="0.313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27825"/>
                  <c:y val="0.091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545"/>
                  <c:y val="-0.063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313"/>
                  <c:y val="-0.075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5"/>
              <c:layout>
                <c:manualLayout>
                  <c:x val="0.25075"/>
                  <c:y val="0.20875"/>
                </c:manualLayout>
              </c:layout>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Tables'!$C$97:$C$101,'Detailed Save Spend Tables'!$C$103)</c:f>
              <c:strCache>
                <c:ptCount val="6"/>
                <c:pt idx="0">
                  <c:v>Residential Pre-Paid Energy Program</c:v>
                </c:pt>
                <c:pt idx="1">
                  <c:v>Bulb Giveaways (LED and CFL)</c:v>
                </c:pt>
                <c:pt idx="2">
                  <c:v>TOU/Critical Peak Rates</c:v>
                </c:pt>
                <c:pt idx="3">
                  <c:v>Utility System Savings (including VR and all facilities)</c:v>
                </c:pt>
                <c:pt idx="4">
                  <c:v>Energy Smart Rebates (including all combined measures)</c:v>
                </c:pt>
                <c:pt idx="5">
                  <c:v>LED outdoor lights/streetlights (utility owned/leased)</c:v>
                </c:pt>
              </c:strCache>
            </c:strRef>
          </c:cat>
          <c:val>
            <c:numRef>
              <c:f>('Detailed Save Spend Tables'!$D$97:$D$101,'Detailed Save Spend Tables'!$D$103)</c:f>
              <c:numCache>
                <c:formatCode>0</c:formatCode>
                <c:ptCount val="6"/>
                <c:pt idx="0">
                  <c:v>7172.3274961312</c:v>
                </c:pt>
                <c:pt idx="1">
                  <c:v>287.398267774191</c:v>
                </c:pt>
                <c:pt idx="2">
                  <c:v>169.692</c:v>
                </c:pt>
                <c:pt idx="3">
                  <c:v>3474.59215373165</c:v>
                </c:pt>
                <c:pt idx="4">
                  <c:v>946.32057824121</c:v>
                </c:pt>
                <c:pt idx="5">
                  <c:v>303.0287414596</c:v>
                </c:pt>
              </c:numCache>
            </c:numRef>
          </c:val>
          <c:extLst>
            <c:ext xmlns:c16="http://schemas.microsoft.com/office/drawing/2014/chart" uri="{C3380CC4-5D6E-409C-BE32-E72D297353CC}">
              <c16:uniqueId val="{00000014-BFED-4B81-837E-8EF7DA48A5B4}"/>
            </c:ext>
          </c:extLst>
        </c:ser>
        <c:firstSliceAng val="75"/>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7.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Seminole Total Lifetime MWh Reduction</a:t>
            </a:r>
          </a:p>
        </c:rich>
      </c:tx>
      <c:layout/>
      <c:overlay val="0"/>
      <c:spPr>
        <a:noFill/>
        <a:ln>
          <a:noFill/>
        </a:ln>
        <a:effectLst/>
      </c:spPr>
    </c:title>
    <c:autoTitleDeleted val="0"/>
    <c:plotArea>
      <c:layout>
        <c:manualLayout>
          <c:layoutTarget val="inner"/>
          <c:xMode val="edge"/>
          <c:yMode val="edge"/>
          <c:x val="0.30675"/>
          <c:y val="0.20925"/>
          <c:w val="0.38575"/>
          <c:h val="0.578"/>
        </c:manualLayout>
      </c:layout>
      <c:doughnutChart>
        <c:varyColors val="1"/>
        <c:ser>
          <c:idx val="0"/>
          <c:order val="0"/>
          <c:tx>
            <c:strRef>
              <c:f>'Detailed Save Spend Tables'!$D$108</c:f>
              <c:strCache>
                <c:ptCount val="1"/>
                <c:pt idx="0">
                  <c:v>Seminole Total</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Lbls>
            <c:dLbl>
              <c:idx val="0"/>
              <c:layout>
                <c:manualLayout>
                  <c:x val="0.19575"/>
                  <c:y val="0.123"/>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02375"/>
                  <c:y val="0.18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2105"/>
                  <c:y val="0.154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86"/>
                  <c:y val="-0.02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244"/>
                  <c:y val="-0.019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5"/>
              <c:layout>
                <c:manualLayout>
                  <c:x val="0.27825"/>
                  <c:y val="-0.00625"/>
                </c:manualLayout>
              </c:layout>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Tables'!$C$73:$C$77,'Detailed Save Spend Tables'!$C$79)</c:f>
              <c:strCache>
                <c:ptCount val="6"/>
                <c:pt idx="0">
                  <c:v>Residential Pre-Paid Energy Program</c:v>
                </c:pt>
                <c:pt idx="1">
                  <c:v>Bulb Giveaways (LED and CFL)</c:v>
                </c:pt>
                <c:pt idx="2">
                  <c:v>TOU/Critical Peak Rates</c:v>
                </c:pt>
                <c:pt idx="3">
                  <c:v>Utility System Savings (including VR and all facilities)</c:v>
                </c:pt>
                <c:pt idx="4">
                  <c:v>Energy Smart Rebates (including all combined measures)</c:v>
                </c:pt>
                <c:pt idx="5">
                  <c:v>LED outdoor lights/streetlights (utility owned/leased)</c:v>
                </c:pt>
              </c:strCache>
            </c:strRef>
          </c:cat>
          <c:val>
            <c:numRef>
              <c:f>('Detailed Save Spend Tables'!$D$109:$D$113,'Detailed Save Spend Tables'!$D$115)</c:f>
              <c:numCache>
                <c:formatCode>0</c:formatCode>
                <c:ptCount val="6"/>
                <c:pt idx="0">
                  <c:v>7290.26450052256</c:v>
                </c:pt>
                <c:pt idx="1">
                  <c:v>4907.43463537902</c:v>
                </c:pt>
                <c:pt idx="2">
                  <c:v>169.692</c:v>
                </c:pt>
                <c:pt idx="3">
                  <c:v>9068.00050817702</c:v>
                </c:pt>
                <c:pt idx="4">
                  <c:v>9295.73177600747</c:v>
                </c:pt>
                <c:pt idx="5">
                  <c:v>3747.57286</c:v>
                </c:pt>
              </c:numCache>
            </c:numRef>
          </c:val>
          <c:extLst>
            <c:ext xmlns:c16="http://schemas.microsoft.com/office/drawing/2014/chart" uri="{C3380CC4-5D6E-409C-BE32-E72D297353CC}">
              <c16:uniqueId val="{00000014-BFED-4B81-837E-8EF7DA48A5B4}"/>
            </c:ext>
          </c:extLst>
        </c:ser>
        <c:firstSliceAng val="75"/>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8.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Seminole Total Annual MW Reduction</a:t>
            </a:r>
          </a:p>
        </c:rich>
      </c:tx>
      <c:layout>
        <c:manualLayout>
          <c:xMode val="edge"/>
          <c:yMode val="edge"/>
          <c:x val="0.24575"/>
          <c:y val="0"/>
        </c:manualLayout>
      </c:layout>
      <c:overlay val="0"/>
      <c:spPr>
        <a:noFill/>
        <a:ln>
          <a:noFill/>
        </a:ln>
        <a:effectLst/>
      </c:spPr>
    </c:title>
    <c:autoTitleDeleted val="0"/>
    <c:plotArea>
      <c:layout>
        <c:manualLayout>
          <c:layoutTarget val="inner"/>
          <c:xMode val="edge"/>
          <c:yMode val="edge"/>
          <c:x val="0.30675"/>
          <c:y val="0.20925"/>
          <c:w val="0.38575"/>
          <c:h val="0.578"/>
        </c:manualLayout>
      </c:layout>
      <c:doughnutChart>
        <c:varyColors val="1"/>
        <c:ser>
          <c:idx val="0"/>
          <c:order val="0"/>
          <c:tx>
            <c:strRef>
              <c:f>'Detailed Save Spend Tables'!$D$60</c:f>
              <c:strCache>
                <c:ptCount val="1"/>
                <c:pt idx="0">
                  <c:v>Seminole Total</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Lbls>
            <c:dLbl>
              <c:idx val="0"/>
              <c:layout>
                <c:manualLayout>
                  <c:x val="0.289"/>
                  <c:y val="0.224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20725"/>
                  <c:y val="-0.289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4695"/>
                  <c:y val="0.169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4575"/>
                  <c:y val="-0.126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2695"/>
                  <c:y val="-0.0515"/>
                </c:manualLayout>
              </c:layout>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5"/>
              <c:layout>
                <c:manualLayout>
                  <c:x val="0.12375"/>
                  <c:y val="0.397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Tables'!$C$61:$C$65,'Detailed Save Spend Tables'!$C$67)</c:f>
              <c:strCache>
                <c:ptCount val="6"/>
                <c:pt idx="0">
                  <c:v>Residential Pre-Paid Energy Program</c:v>
                </c:pt>
                <c:pt idx="1">
                  <c:v>Bulb Giveaways (LED and CFL)</c:v>
                </c:pt>
                <c:pt idx="2">
                  <c:v>TOU/Critical Peak Rates</c:v>
                </c:pt>
                <c:pt idx="3">
                  <c:v>Utility System Savings (including VR and all facilities)</c:v>
                </c:pt>
                <c:pt idx="4">
                  <c:v>Energy Smart Rebates (including all combined measures)</c:v>
                </c:pt>
                <c:pt idx="5">
                  <c:v>LED outdoor lights/streetlights (utility owned/leased)</c:v>
                </c:pt>
              </c:strCache>
            </c:strRef>
          </c:cat>
          <c:val>
            <c:numRef>
              <c:f>('Detailed Save Spend Tables'!$D$121:$D$125,'Detailed Save Spend Tables'!$D$127)</c:f>
              <c:numCache>
                <c:formatCode>0</c:formatCode>
                <c:ptCount val="6"/>
                <c:pt idx="0">
                  <c:v>201.01747396449</c:v>
                </c:pt>
                <c:pt idx="1">
                  <c:v>33.2649536533891</c:v>
                </c:pt>
                <c:pt idx="2">
                  <c:v>18258</c:v>
                </c:pt>
                <c:pt idx="3">
                  <c:v>66298.2454756115</c:v>
                </c:pt>
                <c:pt idx="4">
                  <c:v>235.762840177409</c:v>
                </c:pt>
                <c:pt idx="5">
                  <c:v>0</c:v>
                </c:pt>
              </c:numCache>
            </c:numRef>
          </c:val>
          <c:extLst>
            <c:ext xmlns:c16="http://schemas.microsoft.com/office/drawing/2014/chart" uri="{C3380CC4-5D6E-409C-BE32-E72D297353CC}">
              <c16:uniqueId val="{00000014-BFED-4B81-837E-8EF7DA48A5B4}"/>
            </c:ext>
          </c:extLst>
        </c:ser>
        <c:firstSliceAng val="75"/>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29.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Annual</a:t>
            </a:r>
            <a:r>
              <a:rPr lang="en-US" sz="1400" b="1" i="0" u="none" baseline="0">
                <a:solidFill>
                  <a:schemeClr val="tx1"/>
                </a:solidFill>
                <a:latin typeface="Georgia"/>
                <a:ea typeface="Georgia"/>
                <a:cs typeface="Georgia"/>
              </a:rPr>
              <a:t> MWh Savings </a:t>
            </a:r>
            <a:r>
              <a:rPr lang="en-US" sz="1400" b="1" i="0" u="none" baseline="0">
                <a:solidFill>
                  <a:schemeClr val="tx1"/>
                </a:solidFill>
                <a:latin typeface="Georgia"/>
                <a:ea typeface="Georgia"/>
                <a:cs typeface="Georgia"/>
              </a:rPr>
              <a:t>by Member Co-Op</a:t>
            </a:r>
          </a:p>
        </c:rich>
      </c:tx>
      <c:layout/>
      <c:overlay val="0"/>
      <c:spPr>
        <a:noFill/>
        <a:ln>
          <a:noFill/>
        </a:ln>
        <a:effectLst/>
      </c:spPr>
    </c:title>
    <c:autoTitleDeleted val="0"/>
    <c:plotArea>
      <c:layout/>
      <c:doughnutChart>
        <c:varyColors val="1"/>
        <c:ser>
          <c:idx val="0"/>
          <c:order val="0"/>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dLbl>
              <c:idx val="0"/>
              <c:layout>
                <c:manualLayout>
                  <c:x val="-0.08325"/>
                  <c:y val="-0.1505"/>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01475"/>
                  <c:y val="-0.1425"/>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122"/>
                  <c:y val="-0.11075"/>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1435"/>
                  <c:y val="-0.099"/>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184"/>
                  <c:y val="0.004"/>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6"/>
              <c:layout>
                <c:manualLayout>
                  <c:x val="-0.25225"/>
                  <c:y val="0.16275"/>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7"/>
              <c:layout>
                <c:manualLayout>
                  <c:x val="-0.25225"/>
                  <c:y val="0.0555"/>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8"/>
              <c:layout>
                <c:manualLayout>
                  <c:x val="-0.24575"/>
                  <c:y val="-0.05525"/>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9"/>
              <c:layout>
                <c:manualLayout>
                  <c:x val="-0.28875"/>
                  <c:y val="-0.19825"/>
                </c:manualLayout>
              </c:layout>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1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'Save Spend Summary'!$B$20:$B$29</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Summary'!$C$20:$C$29</c:f>
              <c:numCache>
                <c:formatCode>_(* #,##0.00_);_(* \(#,##0.00\);_(* "-"??_);_(@_)</c:formatCode>
                <c:ptCount val="10"/>
                <c:pt idx="0">
                  <c:v>498.145385626416</c:v>
                </c:pt>
                <c:pt idx="1">
                  <c:v>488.962706011118</c:v>
                </c:pt>
                <c:pt idx="2">
                  <c:v>1971.65481019746</c:v>
                </c:pt>
                <c:pt idx="3">
                  <c:v>1204.06977541876</c:v>
                </c:pt>
                <c:pt idx="4">
                  <c:v>664.471779181665</c:v>
                </c:pt>
                <c:pt idx="5">
                  <c:v>5605.78923278832</c:v>
                </c:pt>
                <c:pt idx="6">
                  <c:v>1076.86352926168</c:v>
                </c:pt>
                <c:pt idx="7">
                  <c:v>490.798122782481</c:v>
                </c:pt>
                <c:pt idx="8">
                  <c:v>68.1142242128</c:v>
                </c:pt>
                <c:pt idx="9">
                  <c:v>284.489671857143</c:v>
                </c:pt>
              </c:numCache>
            </c:numRef>
          </c:val>
          <c:extLst>
            <c:ext xmlns:c16="http://schemas.microsoft.com/office/drawing/2014/chart" uri="{C3380CC4-5D6E-409C-BE32-E72D297353CC}">
              <c16:uniqueId val="{00000014-2511-4358-B80E-74AF5D497A2E}"/>
            </c:ext>
          </c:extLst>
        </c:ser>
        <c:firstSliceAng val="324"/>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layout/>
      <c:overlay val="0"/>
      <c:spPr>
        <a:noFill/>
        <a:ln>
          <a:noFill/>
        </a:ln>
        <a:effectLst/>
      </c:spPr>
      <c:txPr>
        <a:bodyPr vert="horz" rot="0"/>
        <a:lstStyle/>
        <a:p>
          <a:pPr>
            <a:defRPr lang="en-US" sz="1400" b="0" i="0" u="none" baseline="0">
              <a:solidFill>
                <a:schemeClr val="tx1">
                  <a:lumMod val="65000"/>
                  <a:lumOff val="35000"/>
                </a:schemeClr>
              </a:solidFill>
            </a:defRPr>
          </a:pPr>
        </a:p>
      </c:txPr>
    </c:title>
    <c:autoTitleDeleted val="0"/>
    <c:plotArea>
      <c:layout/>
      <c:pieChart>
        <c:varyColors val="1"/>
        <c:ser>
          <c:idx val="0"/>
          <c:order val="0"/>
          <c:tx>
            <c:strRef>
              <c:f>'Save Spend Summary'!$F$32</c:f>
              <c:strCache>
                <c:ptCount val="1"/>
                <c:pt idx="0">
                  <c:v>% of Implementation 
Costs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numFmt formatCode="General" sourceLinked="1"/>
            <c:showLegendKey val="0"/>
            <c:showVal val="0"/>
            <c:showCatName val="0"/>
            <c:showSerName val="0"/>
            <c:showPercent val="0"/>
            <c:showBubbleSize val="0"/>
            <c:showLeaderLines val="0"/>
          </c:dLbls>
          <c:cat>
            <c:strRef>
              <c:f>'Save Spend Summary'!$B$33:$B$42</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Summary'!$F$33:$F$42</c:f>
              <c:numCache>
                <c:formatCode>0.00%</c:formatCode>
                <c:ptCount val="10"/>
                <c:pt idx="0">
                  <c:v>0.531259522243015</c:v>
                </c:pt>
                <c:pt idx="1">
                  <c:v>0</c:v>
                </c:pt>
                <c:pt idx="2">
                  <c:v>0.000423044336714813</c:v>
                </c:pt>
                <c:pt idx="3">
                  <c:v>0.319343178413926</c:v>
                </c:pt>
                <c:pt idx="4">
                  <c:v>0.00507653204057775</c:v>
                </c:pt>
                <c:pt idx="5">
                  <c:v>0.137885149820208</c:v>
                </c:pt>
                <c:pt idx="6">
                  <c:v>0</c:v>
                </c:pt>
                <c:pt idx="7">
                  <c:v>0.000351099161784446</c:v>
                </c:pt>
                <c:pt idx="8">
                  <c:v>0.00566147398377419</c:v>
                </c:pt>
                <c:pt idx="9">
                  <c:v>0</c:v>
                </c:pt>
              </c:numCache>
            </c:numRef>
          </c:val>
          <c:extLst>
            <c:ext xmlns:c16="http://schemas.microsoft.com/office/drawing/2014/chart" uri="{C3380CC4-5D6E-409C-BE32-E72D297353CC}">
              <c16:uniqueId val="{00000016-CB1F-4640-9BE3-A0E5CA101AE7}"/>
            </c:ext>
          </c:extLst>
        </c:ser>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chartSpace>
</file>

<file path=xl/charts/chart30.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Lifetime</a:t>
            </a:r>
            <a:r>
              <a:rPr lang="en-US" sz="1400" b="1" i="0" u="none" baseline="0">
                <a:solidFill>
                  <a:schemeClr val="tx1"/>
                </a:solidFill>
                <a:latin typeface="Georgia"/>
                <a:ea typeface="Georgia"/>
                <a:cs typeface="Georgia"/>
              </a:rPr>
              <a:t> MWh </a:t>
            </a:r>
            <a:r>
              <a:rPr lang="en-US" sz="1400" b="1" i="0" u="none" baseline="0">
                <a:solidFill>
                  <a:schemeClr val="tx1"/>
                </a:solidFill>
                <a:latin typeface="Georgia"/>
                <a:ea typeface="Georgia"/>
                <a:cs typeface="Georgia"/>
              </a:rPr>
              <a:t>Reduction by Member Co-Op</a:t>
            </a:r>
          </a:p>
        </c:rich>
      </c:tx>
      <c:layout/>
      <c:overlay val="0"/>
      <c:spPr>
        <a:noFill/>
        <a:ln>
          <a:noFill/>
        </a:ln>
        <a:effectLst/>
      </c:spPr>
    </c:title>
    <c:autoTitleDeleted val="0"/>
    <c:plotArea>
      <c:layout/>
      <c:doughnutChart>
        <c:varyColors val="1"/>
        <c:ser>
          <c:idx val="0"/>
          <c:order val="0"/>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dLbl>
              <c:idx val="0"/>
              <c:layout>
                <c:manualLayout>
                  <c:x val="-0.29075"/>
                  <c:y val="-0.091"/>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1345"/>
                  <c:y val="-0.134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37675"/>
                  <c:y val="-0.051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19275"/>
                  <c:y val="0.07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6"/>
              <c:layout>
                <c:manualLayout>
                  <c:x val="-0.21175"/>
                  <c:y val="0.265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7"/>
              <c:layout>
                <c:manualLayout>
                  <c:x val="-0.2545"/>
                  <c:y val="0.194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8"/>
              <c:layout>
                <c:manualLayout>
                  <c:x val="-0.2845"/>
                  <c:y val="0.05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9"/>
              <c:layout>
                <c:manualLayout>
                  <c:x val="-0.29725"/>
                  <c:y val="0"/>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'Save Spend Summary'!$B$20:$B$29</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Summary'!$D$20:$D$29</c:f>
              <c:numCache>
                <c:formatCode>_(* #,##0.00_);_(* \(#,##0.00\);_(* "-"??_);_(@_)</c:formatCode>
                <c:ptCount val="10"/>
                <c:pt idx="0">
                  <c:v>611.938284088176</c:v>
                </c:pt>
                <c:pt idx="1">
                  <c:v>604.944542476718</c:v>
                </c:pt>
                <c:pt idx="2">
                  <c:v>2087.26473972066</c:v>
                </c:pt>
                <c:pt idx="3">
                  <c:v>10196.7460731671</c:v>
                </c:pt>
                <c:pt idx="4">
                  <c:v>1033.74847149236</c:v>
                </c:pt>
                <c:pt idx="5">
                  <c:v>10964.5808979043</c:v>
                </c:pt>
                <c:pt idx="6">
                  <c:v>1948.08186771545</c:v>
                </c:pt>
                <c:pt idx="7">
                  <c:v>1168.41901180123</c:v>
                </c:pt>
                <c:pt idx="8">
                  <c:v>889.670496896</c:v>
                </c:pt>
                <c:pt idx="9">
                  <c:v>4973.30189482406</c:v>
                </c:pt>
              </c:numCache>
            </c:numRef>
          </c:val>
          <c:extLst>
            <c:ext xmlns:c16="http://schemas.microsoft.com/office/drawing/2014/chart" uri="{C3380CC4-5D6E-409C-BE32-E72D297353CC}">
              <c16:uniqueId val="{00000014-2511-4358-B80E-74AF5D497A2E}"/>
            </c:ext>
          </c:extLst>
        </c:ser>
        <c:firstSliceAng val="333"/>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3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kW Peak Demand Reduction by Member Co-Op</a:t>
            </a:r>
          </a:p>
        </c:rich>
      </c:tx>
      <c:layout/>
      <c:overlay val="0"/>
      <c:spPr>
        <a:noFill/>
        <a:ln>
          <a:noFill/>
        </a:ln>
        <a:effectLst/>
      </c:spPr>
    </c:title>
    <c:autoTitleDeleted val="0"/>
    <c:plotArea>
      <c:layout/>
      <c:doughnutChart>
        <c:varyColors val="1"/>
        <c:ser>
          <c:idx val="0"/>
          <c:order val="0"/>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dLbl>
              <c:idx val="0"/>
              <c:layout>
                <c:manualLayout>
                  <c:x val="0.291"/>
                  <c:y val="0.041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276"/>
                  <c:y val="0.108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26325"/>
                  <c:y val="0.23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24625"/>
                  <c:y val="0.383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1005"/>
                  <c:y val="0.399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6"/>
              <c:layout>
                <c:manualLayout>
                  <c:x val="-0.27375"/>
                  <c:y val="-0.041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7"/>
              <c:layout>
                <c:manualLayout>
                  <c:x val="0.04925"/>
                  <c:y val="-0.158"/>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8"/>
              <c:layout>
                <c:manualLayout>
                  <c:x val="0.32325"/>
                  <c:y val="-0.054"/>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9"/>
              <c:layout>
                <c:manualLayout>
                  <c:x val="0.261"/>
                  <c:y val="-0.19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'Save Spend Summary'!$B$20:$B$29</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Summary'!$E$20:$E$29</c:f>
              <c:numCache>
                <c:formatCode>_(* #,##0.00_);_(* \(#,##0.00\);_(* "-"??_);_(@_)</c:formatCode>
                <c:ptCount val="10"/>
                <c:pt idx="0">
                  <c:v>4776.00123008778</c:v>
                </c:pt>
                <c:pt idx="1">
                  <c:v>7.05243604514546</c:v>
                </c:pt>
                <c:pt idx="2">
                  <c:v>73.4601483025891</c:v>
                </c:pt>
                <c:pt idx="3">
                  <c:v>18873.1618576831</c:v>
                </c:pt>
                <c:pt idx="4">
                  <c:v>1351.59471343656</c:v>
                </c:pt>
                <c:pt idx="5">
                  <c:v>34139.9310898751</c:v>
                </c:pt>
                <c:pt idx="6">
                  <c:v>19064.9313454403</c:v>
                </c:pt>
                <c:pt idx="7">
                  <c:v>6724.95613752403</c:v>
                </c:pt>
                <c:pt idx="8">
                  <c:v>0.719442938521401</c:v>
                </c:pt>
                <c:pt idx="9">
                  <c:v>14.4823420736</c:v>
                </c:pt>
              </c:numCache>
            </c:numRef>
          </c:val>
          <c:extLst>
            <c:ext xmlns:c16="http://schemas.microsoft.com/office/drawing/2014/chart" uri="{C3380CC4-5D6E-409C-BE32-E72D297353CC}">
              <c16:uniqueId val="{00000014-2511-4358-B80E-74AF5D497A2E}"/>
            </c:ext>
          </c:extLst>
        </c:ser>
        <c:firstSliceAng val="53"/>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layout/>
      <c:overlay val="0"/>
      <c:spPr>
        <a:noFill/>
        <a:ln>
          <a:noFill/>
        </a:ln>
        <a:effectLst/>
      </c:spPr>
      <c:txPr>
        <a:bodyPr vert="horz" rot="0"/>
        <a:lstStyle/>
        <a:p>
          <a:pPr>
            <a:defRPr lang="en-US" sz="1400" b="0" i="0" u="none" baseline="0">
              <a:solidFill>
                <a:schemeClr val="tx1">
                  <a:lumMod val="65000"/>
                  <a:lumOff val="35000"/>
                </a:schemeClr>
              </a:solidFill>
            </a:defRPr>
          </a:pPr>
        </a:p>
      </c:txPr>
    </c:title>
    <c:autoTitleDeleted val="0"/>
    <c:plotArea>
      <c:layout/>
      <c:pieChart>
        <c:varyColors val="1"/>
        <c:ser>
          <c:idx val="0"/>
          <c:order val="0"/>
          <c:tx>
            <c:strRef>
              <c:f>'Save Spend Summary'!$G$32</c:f>
              <c:strCache>
                <c:ptCount val="1"/>
                <c:pt idx="0">
                  <c:v>% of Incentive 
Costs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numFmt formatCode="General" sourceLinked="1"/>
            <c:showLegendKey val="0"/>
            <c:showVal val="0"/>
            <c:showCatName val="0"/>
            <c:showSerName val="0"/>
            <c:showPercent val="0"/>
            <c:showBubbleSize val="0"/>
            <c:showLeaderLines val="0"/>
          </c:dLbls>
          <c:cat>
            <c:strRef>
              <c:f>'Save Spend Summary'!$B$33:$B$42</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Summary'!$G$33:$G$42</c:f>
              <c:numCache>
                <c:formatCode>0.00%</c:formatCode>
                <c:ptCount val="10"/>
                <c:pt idx="0">
                  <c:v>0.00794662552376953</c:v>
                </c:pt>
                <c:pt idx="1">
                  <c:v>0.00794662552376953</c:v>
                </c:pt>
                <c:pt idx="2">
                  <c:v>0.00794662552376953</c:v>
                </c:pt>
                <c:pt idx="3">
                  <c:v>0.833850989800181</c:v>
                </c:pt>
                <c:pt idx="4">
                  <c:v>0.0207249026247958</c:v>
                </c:pt>
                <c:pt idx="5">
                  <c:v>0.0917962170276351</c:v>
                </c:pt>
                <c:pt idx="6">
                  <c:v>0.00794662552376953</c:v>
                </c:pt>
                <c:pt idx="7">
                  <c:v>0.0138947629285402</c:v>
                </c:pt>
                <c:pt idx="8">
                  <c:v>0.00794662552376953</c:v>
                </c:pt>
                <c:pt idx="9">
                  <c:v>0</c:v>
                </c:pt>
              </c:numCache>
            </c:numRef>
          </c:val>
          <c:extLst>
            <c:ext xmlns:c16="http://schemas.microsoft.com/office/drawing/2014/chart" uri="{C3380CC4-5D6E-409C-BE32-E72D297353CC}">
              <c16:uniqueId val="{00000016-1E3E-4A17-A4C4-445A537FBE29}"/>
            </c:ext>
          </c:extLst>
        </c:ser>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layout>
        <c:manualLayout>
          <c:xMode val="edge"/>
          <c:yMode val="edge"/>
          <c:x val="0.31625"/>
          <c:y val="0.01975"/>
        </c:manualLayout>
      </c:layout>
      <c:overlay val="0"/>
      <c:spPr>
        <a:noFill/>
        <a:ln>
          <a:noFill/>
        </a:ln>
        <a:effectLst/>
      </c:spPr>
      <c:txPr>
        <a:bodyPr vert="horz" rot="0"/>
        <a:lstStyle/>
        <a:p>
          <a:pPr>
            <a:defRPr lang="en-US" sz="1400" b="1" i="0" u="none" baseline="0">
              <a:solidFill>
                <a:schemeClr val="tx1"/>
              </a:solidFill>
              <a:latin typeface="Georgia"/>
              <a:ea typeface="Georgia"/>
              <a:cs typeface="Georgia"/>
            </a:defRPr>
          </a:pPr>
        </a:p>
      </c:txPr>
    </c:title>
    <c:autoTitleDeleted val="0"/>
    <c:plotArea>
      <c:layout/>
      <c:pieChart>
        <c:varyColors val="1"/>
        <c:ser>
          <c:idx val="0"/>
          <c:order val="0"/>
          <c:tx>
            <c:strRef>
              <c:f>'Save Spend Summary'!$H$32</c:f>
              <c:strCache>
                <c:ptCount val="1"/>
                <c:pt idx="0">
                  <c:v>% of Total Program 
Costs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Pt>
            <c:idx val="6"/>
            <c:spPr>
              <a:solidFill>
                <a:schemeClr val="accent1">
                  <a:lumMod val="60000"/>
                </a:schemeClr>
              </a:solidFill>
              <a:ln w="19050">
                <a:solidFill>
                  <a:schemeClr val="bg1"/>
                </a:solidFill>
              </a:ln>
              <a:effectLst/>
            </c:spPr>
          </c:dPt>
          <c:dPt>
            <c:idx val="7"/>
            <c:spPr>
              <a:solidFill>
                <a:schemeClr val="accent2">
                  <a:lumMod val="60000"/>
                </a:schemeClr>
              </a:solidFill>
              <a:ln w="19050">
                <a:solidFill>
                  <a:schemeClr val="bg1"/>
                </a:solidFill>
              </a:ln>
              <a:effectLst/>
            </c:spPr>
          </c:dPt>
          <c:dPt>
            <c:idx val="8"/>
            <c:spPr>
              <a:solidFill>
                <a:schemeClr val="accent3">
                  <a:lumMod val="60000"/>
                </a:schemeClr>
              </a:solidFill>
              <a:ln w="19050">
                <a:solidFill>
                  <a:schemeClr val="bg1"/>
                </a:solidFill>
              </a:ln>
              <a:effectLst/>
            </c:spPr>
          </c:dPt>
          <c:dPt>
            <c:idx val="9"/>
            <c:spPr>
              <a:solidFill>
                <a:schemeClr val="accent4">
                  <a:lumMod val="60000"/>
                </a:schemeClr>
              </a:solidFill>
              <a:ln w="19050">
                <a:solidFill>
                  <a:schemeClr val="bg1"/>
                </a:solidFill>
              </a:ln>
              <a:effectLst/>
            </c:spPr>
          </c:dPt>
          <c:dLbls>
            <c:dLbl>
              <c:idx val="0"/>
              <c:layout>
                <c:manualLayout>
                  <c:x val="-0.076"/>
                  <c:y val="0.203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0265"/>
                  <c:y val="0.059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00325"/>
                  <c:y val="-0.188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0485"/>
                  <c:y val="0.246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6"/>
              <c:layout>
                <c:manualLayout>
                  <c:x val="-0.1475"/>
                  <c:y val="0.38"/>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7"/>
              <c:layout>
                <c:manualLayout>
                  <c:x val="-0.21575"/>
                  <c:y val="0.159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8"/>
              <c:layout>
                <c:manualLayout>
                  <c:x val="-0.23525"/>
                  <c:y val="0.00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9"/>
              <c:layout>
                <c:manualLayout>
                  <c:x val="-0.136"/>
                  <c:y val="-0.104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'Save Spend Summary'!$B$33:$B$42</c:f>
              <c:strCache>
                <c:ptCount val="10"/>
                <c:pt idx="0">
                  <c:v>Talquin </c:v>
                </c:pt>
                <c:pt idx="1">
                  <c:v>Tri-County </c:v>
                </c:pt>
                <c:pt idx="2">
                  <c:v>Suwannee </c:v>
                </c:pt>
                <c:pt idx="3">
                  <c:v>Clay </c:v>
                </c:pt>
                <c:pt idx="4">
                  <c:v>Central Florida </c:v>
                </c:pt>
                <c:pt idx="5">
                  <c:v>Sumter </c:v>
                </c:pt>
                <c:pt idx="6">
                  <c:v>Withlacoochee </c:v>
                </c:pt>
                <c:pt idx="7">
                  <c:v>Peace River </c:v>
                </c:pt>
                <c:pt idx="8">
                  <c:v>Glades </c:v>
                </c:pt>
                <c:pt idx="9">
                  <c:v>Seminole Facilities</c:v>
                </c:pt>
              </c:strCache>
            </c:strRef>
          </c:cat>
          <c:val>
            <c:numRef>
              <c:f>'Save Spend Summary'!$H$33:$H$42</c:f>
              <c:numCache>
                <c:formatCode>0.00%</c:formatCode>
                <c:ptCount val="10"/>
                <c:pt idx="0">
                  <c:v>0.358779095367405</c:v>
                </c:pt>
                <c:pt idx="1">
                  <c:v>0.00261915456537225</c:v>
                </c:pt>
                <c:pt idx="2">
                  <c:v>0.00290276632123281</c:v>
                </c:pt>
                <c:pt idx="3">
                  <c:v>0.488921508118931</c:v>
                </c:pt>
                <c:pt idx="4">
                  <c:v>0.0102341302102282</c:v>
                </c:pt>
                <c:pt idx="5">
                  <c:v>0.122694546163885</c:v>
                </c:pt>
                <c:pt idx="6">
                  <c:v>0.00261915456537225</c:v>
                </c:pt>
                <c:pt idx="7">
                  <c:v>0.00481500005663097</c:v>
                </c:pt>
                <c:pt idx="8">
                  <c:v>0.00641464463094307</c:v>
                </c:pt>
                <c:pt idx="9">
                  <c:v>0</c:v>
                </c:pt>
              </c:numCache>
            </c:numRef>
          </c:val>
          <c:extLst>
            <c:ext xmlns:c16="http://schemas.microsoft.com/office/drawing/2014/chart" uri="{C3380CC4-5D6E-409C-BE32-E72D297353CC}">
              <c16:uniqueId val="{00000016-93FC-4588-A10C-76C6B6E6B864}"/>
            </c:ext>
          </c:extLst>
        </c:ser>
        <c:firstSliceAng val="320"/>
      </c:pie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1" i="0" u="none" baseline="0">
                <a:solidFill>
                  <a:schemeClr val="tx1"/>
                </a:solidFill>
                <a:latin typeface="Georgia"/>
                <a:ea typeface="Georgia"/>
                <a:cs typeface="Georgia"/>
              </a:rPr>
              <a:t>Seminole Total Annual kW Reduction</a:t>
            </a:r>
          </a:p>
        </c:rich>
      </c:tx>
      <c:layout>
        <c:manualLayout>
          <c:xMode val="edge"/>
          <c:yMode val="edge"/>
          <c:x val="0.2045"/>
          <c:y val="0.03575"/>
        </c:manualLayout>
      </c:layout>
      <c:overlay val="0"/>
      <c:spPr>
        <a:noFill/>
        <a:ln>
          <a:noFill/>
        </a:ln>
        <a:effectLst/>
      </c:spPr>
    </c:title>
    <c:autoTitleDeleted val="0"/>
    <c:plotArea>
      <c:layout>
        <c:manualLayout>
          <c:layoutTarget val="inner"/>
          <c:xMode val="edge"/>
          <c:yMode val="edge"/>
          <c:x val="0.3105"/>
          <c:y val="0.12925"/>
          <c:w val="0.38575"/>
          <c:h val="0.578"/>
        </c:manualLayout>
      </c:layout>
      <c:doughnutChart>
        <c:varyColors val="1"/>
        <c:ser>
          <c:idx val="0"/>
          <c:order val="0"/>
          <c:tx>
            <c:strRef>
              <c:f>'Detailed Save Spend Tables'!$D$84</c:f>
              <c:strCache>
                <c:ptCount val="1"/>
                <c:pt idx="0">
                  <c:v>Seminole Total</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Pt>
            <c:idx val="2"/>
            <c:spPr>
              <a:solidFill>
                <a:schemeClr val="accent3"/>
              </a:solidFill>
              <a:ln w="19050">
                <a:solidFill>
                  <a:schemeClr val="bg1"/>
                </a:solidFill>
              </a:ln>
              <a:effectLst/>
            </c:spPr>
          </c:dPt>
          <c:dPt>
            <c:idx val="3"/>
            <c:spPr>
              <a:solidFill>
                <a:schemeClr val="accent4"/>
              </a:solidFill>
              <a:ln w="19050">
                <a:solidFill>
                  <a:schemeClr val="bg1"/>
                </a:solidFill>
              </a:ln>
              <a:effectLst/>
            </c:spPr>
          </c:dPt>
          <c:dPt>
            <c:idx val="4"/>
            <c:spPr>
              <a:solidFill>
                <a:schemeClr val="accent5"/>
              </a:solidFill>
              <a:ln w="19050">
                <a:solidFill>
                  <a:schemeClr val="bg1"/>
                </a:solidFill>
              </a:ln>
              <a:effectLst/>
            </c:spPr>
          </c:dPt>
          <c:dPt>
            <c:idx val="5"/>
            <c:spPr>
              <a:solidFill>
                <a:schemeClr val="accent6"/>
              </a:solidFill>
              <a:ln w="19050">
                <a:solidFill>
                  <a:schemeClr val="bg1"/>
                </a:solidFill>
              </a:ln>
              <a:effectLst/>
            </c:spPr>
          </c:dPt>
          <c:dLbls>
            <c:dLbl>
              <c:idx val="0"/>
              <c:layout>
                <c:manualLayout>
                  <c:x val="0.274"/>
                  <c:y val="-0.2972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1"/>
              <c:layout>
                <c:manualLayout>
                  <c:x val="0.28275"/>
                  <c:y val="-0.007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2"/>
              <c:layout>
                <c:manualLayout>
                  <c:x val="-0.371"/>
                  <c:y val="0.063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3"/>
              <c:layout>
                <c:manualLayout>
                  <c:x val="-0.36025"/>
                  <c:y val="0.075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4"/>
              <c:layout>
                <c:manualLayout>
                  <c:x val="0.3"/>
                  <c:y val="0.273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dLbl>
              <c:idx val="5"/>
              <c:layout>
                <c:manualLayout>
                  <c:x val="0.03025"/>
                  <c:y val="0.28975"/>
                </c:manualLayout>
              </c:layout>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dLbl>
            <c:numFmt formatCode="0.0%" sourceLinked="0"/>
            <c:spPr>
              <a:noFill/>
              <a:ln>
                <a:noFill/>
              </a:ln>
              <a:effectLst/>
            </c:spPr>
            <c:txPr>
              <a:bodyPr vert="horz" rot="0"/>
              <a:lstStyle/>
              <a:p>
                <a:pPr algn="ctr">
                  <a:defRPr lang="en-US" sz="1200" b="0" i="0" u="none" baseline="0">
                    <a:solidFill>
                      <a:schemeClr val="tx1">
                        <a:lumMod val="75000"/>
                        <a:lumOff val="25000"/>
                      </a:schemeClr>
                    </a:solidFill>
                    <a:latin typeface="Georgia"/>
                    <a:ea typeface="Georgia"/>
                    <a:cs typeface="Georgia"/>
                  </a:defRPr>
                </a:pPr>
              </a:p>
            </c:txPr>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Tables'!$C$85:$C$89,'Detailed Save Spend Tables'!$C$91)</c:f>
              <c:strCache>
                <c:ptCount val="6"/>
                <c:pt idx="0">
                  <c:v>Residential Pre-Paid Energy Program</c:v>
                </c:pt>
                <c:pt idx="1">
                  <c:v>Bulb Giveaways (LED and CFL)</c:v>
                </c:pt>
                <c:pt idx="2">
                  <c:v>TOU/Critical Peak Rates</c:v>
                </c:pt>
                <c:pt idx="3">
                  <c:v>Utility System Savings (including VR and all facilities)</c:v>
                </c:pt>
                <c:pt idx="4">
                  <c:v>Energy Smart Rebates (including all combined measures)</c:v>
                </c:pt>
                <c:pt idx="5">
                  <c:v>LED outdoor lights/streetlights (utility owned/leased)</c:v>
                </c:pt>
              </c:strCache>
            </c:strRef>
          </c:cat>
          <c:val>
            <c:numRef>
              <c:f>('Detailed Save Spend Tables'!$D$85:$D$89,'Detailed Save Spend Tables'!$D$91)</c:f>
              <c:numCache>
                <c:formatCode>0</c:formatCode>
                <c:ptCount val="6"/>
                <c:pt idx="0">
                  <c:v>185.977381481606</c:v>
                </c:pt>
                <c:pt idx="1">
                  <c:v>30.8398392607004</c:v>
                </c:pt>
                <c:pt idx="2">
                  <c:v>17000</c:v>
                </c:pt>
                <c:pt idx="3">
                  <c:v>61041.3009892909</c:v>
                </c:pt>
                <c:pt idx="4">
                  <c:v>219.069726981424</c:v>
                </c:pt>
                <c:pt idx="5">
                  <c:v>0</c:v>
                </c:pt>
              </c:numCache>
            </c:numRef>
          </c:val>
          <c:extLst>
            <c:ext xmlns:c16="http://schemas.microsoft.com/office/drawing/2014/chart" uri="{C3380CC4-5D6E-409C-BE32-E72D297353CC}">
              <c16:uniqueId val="{00000014-BFED-4B81-837E-8EF7DA48A5B4}"/>
            </c:ext>
          </c:extLst>
        </c:ser>
        <c:firstSliceAng val="127"/>
        <c:holeSize val="50"/>
      </c:doughnutChart>
      <c:spPr>
        <a:noFill/>
        <a:ln>
          <a:noFill/>
        </a:ln>
        <a:effectLst/>
      </c:spPr>
    </c:plotArea>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lt"/>
                <a:cs typeface="+mn-lt"/>
              </a:rPr>
              <a:t>Seminole Facilities 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Tables'!$E$120</c:f>
              <c:strCache>
                <c:ptCount val="1"/>
                <c:pt idx="0">
                  <c:v>Seminole Facilities</c:v>
                </c:pt>
              </c:strCache>
            </c:strRef>
          </c:tx>
          <c:explosion val="0"/>
          <c:dPt>
            <c:idx val="0"/>
            <c:spPr>
              <a:solidFill>
                <a:schemeClr val="accent1"/>
              </a:solidFill>
              <a:ln w="19050">
                <a:solidFill>
                  <a:schemeClr val="bg1"/>
                </a:solidFill>
              </a:ln>
              <a:effectLst/>
            </c:spPr>
          </c:dPt>
          <c:dLbls>
            <c:dLbl>
              <c:idx val="0"/>
              <c:layout>
                <c:manualLayout>
                  <c:x val="-0.0465"/>
                  <c:y val="-0.103"/>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0"/>
            <c:showBubbleSize val="0"/>
            <c:showLeaderLines val="1"/>
            <c:leaderLines>
              <c:spPr>
                <a:ln w="9525" cap="flat" cmpd="sng">
                  <a:solidFill>
                    <a:schemeClr val="tx1">
                      <a:lumMod val="35000"/>
                      <a:lumOff val="65000"/>
                    </a:schemeClr>
                  </a:solidFill>
                  <a:round/>
                </a:ln>
                <a:effectLst/>
              </c:spPr>
            </c:leaderLines>
          </c:dLbls>
          <c:cat>
            <c:strRef>
              <c:f>'Detailed Save Spend Tables'!$C$124</c:f>
              <c:strCache>
                <c:ptCount val="1"/>
                <c:pt idx="0">
                  <c:v>Utility System Savings (including VR and all facilities)</c:v>
                </c:pt>
              </c:strCache>
            </c:strRef>
          </c:cat>
          <c:val>
            <c:numRef>
              <c:f>'Detailed Save Spend Tables'!$E$124</c:f>
              <c:numCache>
                <c:formatCode>0</c:formatCode>
                <c:ptCount val="1"/>
                <c:pt idx="0">
                  <c:v>14.4823420736</c:v>
                </c:pt>
              </c:numCache>
            </c:numRef>
          </c:val>
          <c:extLst>
            <c:ext xmlns:c16="http://schemas.microsoft.com/office/drawing/2014/chart" uri="{C3380CC4-5D6E-409C-BE32-E72D297353CC}">
              <c16:uniqueId val="{0000000E-0479-4E54-8F9A-45F60014CB72}"/>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Talquin</a:t>
            </a:r>
            <a:r>
              <a:rPr lang="en-US" sz="1400" b="0" i="0" u="none" baseline="0">
                <a:solidFill>
                  <a:schemeClr val="tx1">
                    <a:lumMod val="65000"/>
                    <a:lumOff val="35000"/>
                  </a:schemeClr>
                </a:solidFill>
              </a:rPr>
              <a:t>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Tables'!$F$120</c:f>
              <c:strCache>
                <c:ptCount val="1"/>
                <c:pt idx="0">
                  <c:v>Talquin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Lbls>
            <c:dLbl>
              <c:idx val="0"/>
              <c:layout/>
              <c:numFmt formatCode="0.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dLbl>
              <c:idx val="1"/>
              <c:layout>
                <c:manualLayout>
                  <c:x val="-0.04325"/>
                  <c:y val="-0.076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Tables'!$C$122,'Detailed Save Spend Tables'!$C$124)</c:f>
              <c:strCache>
                <c:ptCount val="2"/>
                <c:pt idx="0">
                  <c:v>Bulb Giveaways (LED and CFL)</c:v>
                </c:pt>
                <c:pt idx="1">
                  <c:v>Utility System Savings (including VR and all facilities)</c:v>
                </c:pt>
              </c:strCache>
            </c:strRef>
          </c:cat>
          <c:val>
            <c:numRef>
              <c:f>('Detailed Save Spend Tables'!$F$122,'Detailed Save Spend Tables'!$F$124)</c:f>
              <c:numCache>
                <c:formatCode>0</c:formatCode>
                <c:ptCount val="2"/>
                <c:pt idx="0">
                  <c:v>0.695353287782101</c:v>
                </c:pt>
                <c:pt idx="1">
                  <c:v>4775.3058768</c:v>
                </c:pt>
              </c:numCache>
            </c:numRef>
          </c:val>
          <c:extLst>
            <c:ext xmlns:c16="http://schemas.microsoft.com/office/drawing/2014/chart" uri="{C3380CC4-5D6E-409C-BE32-E72D297353CC}">
              <c16:uniqueId val="{00000002-C788-479C-81F7-2F90C36329E1}"/>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rPr>
              <a:t>Tri-County</a:t>
            </a:r>
            <a:r>
              <a:rPr lang="en-US" sz="1400" b="0" i="0" u="none" baseline="0">
                <a:solidFill>
                  <a:schemeClr val="tx1">
                    <a:lumMod val="65000"/>
                    <a:lumOff val="35000"/>
                  </a:schemeClr>
                </a:solidFill>
              </a:rPr>
              <a:t> </a:t>
            </a:r>
            <a:r>
              <a:rPr lang="en-US" sz="1400" b="0" i="0" u="none" baseline="0">
                <a:solidFill>
                  <a:schemeClr val="tx1">
                    <a:lumMod val="65000"/>
                    <a:lumOff val="35000"/>
                  </a:schemeClr>
                </a:solidFill>
              </a:rPr>
              <a:t>Annual kW Reduction</a:t>
            </a:r>
          </a:p>
        </c:rich>
      </c:tx>
      <c:layout/>
      <c:overlay val="0"/>
      <c:spPr>
        <a:noFill/>
        <a:ln>
          <a:noFill/>
        </a:ln>
        <a:effectLst/>
      </c:spPr>
    </c:title>
    <c:autoTitleDeleted val="0"/>
    <c:plotArea>
      <c:layout>
        <c:manualLayout>
          <c:layoutTarget val="inner"/>
          <c:xMode val="edge"/>
          <c:yMode val="edge"/>
          <c:x val="0.3105"/>
          <c:y val="0.12925"/>
          <c:w val="0.38575"/>
          <c:h val="0.578"/>
        </c:manualLayout>
      </c:layout>
      <c:pieChart>
        <c:varyColors val="1"/>
        <c:ser>
          <c:idx val="0"/>
          <c:order val="0"/>
          <c:tx>
            <c:strRef>
              <c:f>'Detailed Save Spend Tables'!$G$120</c:f>
              <c:strCache>
                <c:ptCount val="1"/>
                <c:pt idx="0">
                  <c:v>Tri-County </c:v>
                </c:pt>
              </c:strCache>
            </c:strRef>
          </c:tx>
          <c:explosion val="0"/>
          <c:dPt>
            <c:idx val="0"/>
            <c:spPr>
              <a:solidFill>
                <a:schemeClr val="accent1"/>
              </a:solidFill>
              <a:ln w="19050">
                <a:solidFill>
                  <a:schemeClr val="bg1"/>
                </a:solidFill>
              </a:ln>
              <a:effectLst/>
            </c:spPr>
          </c:dPt>
          <c:dPt>
            <c:idx val="1"/>
            <c:spPr>
              <a:solidFill>
                <a:schemeClr val="accent2"/>
              </a:solidFill>
              <a:ln w="19050">
                <a:solidFill>
                  <a:schemeClr val="bg1"/>
                </a:solidFill>
              </a:ln>
              <a:effectLst/>
            </c:spPr>
          </c:dPt>
          <c:dLbls>
            <c:dLbl>
              <c:idx val="0"/>
              <c:layout>
                <c:manualLayout>
                  <c:x val="-0.04475"/>
                  <c:y val="-0.0462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dLbl>
              <c:idx val="1"/>
              <c:layout>
                <c:manualLayout>
                  <c:x val="0.02525"/>
                  <c:y val="-0.0265"/>
                </c:manualLayout>
              </c:layout>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dLbl>
            <c:numFmt formatCode="0.00%" sourceLinked="0"/>
            <c:spPr>
              <a:noFill/>
              <a:ln>
                <a:noFill/>
              </a:ln>
              <a:effectLst/>
            </c:spPr>
            <c:txPr>
              <a:bodyPr vert="horz" rot="0"/>
              <a:lstStyle/>
              <a:p>
                <a:pPr algn="ctr">
                  <a:defRPr lang="en-US" sz="900" b="0" i="0" u="none" baseline="0">
                    <a:solidFill>
                      <a:schemeClr val="tx1">
                        <a:lumMod val="75000"/>
                        <a:lumOff val="25000"/>
                      </a:schemeClr>
                    </a:solidFill>
                  </a:defRPr>
                </a:pPr>
              </a:p>
            </c:txPr>
            <c:showLegendKey val="0"/>
            <c:showVal val="1"/>
            <c:showCatName val="1"/>
            <c:showSerName val="0"/>
            <c:showPercent val="1"/>
            <c:showBubbleSize val="0"/>
            <c:showLeaderLines val="1"/>
            <c:leaderLines>
              <c:spPr>
                <a:ln w="9525" cap="flat" cmpd="sng">
                  <a:solidFill>
                    <a:schemeClr val="tx1">
                      <a:lumMod val="35000"/>
                      <a:lumOff val="65000"/>
                    </a:schemeClr>
                  </a:solidFill>
                  <a:round/>
                </a:ln>
                <a:effectLst/>
              </c:spPr>
            </c:leaderLines>
          </c:dLbls>
          <c:cat>
            <c:strRef>
              <c:f>'Detailed Save Spend Tables'!$C$121:$C$122</c:f>
              <c:strCache>
                <c:ptCount val="2"/>
                <c:pt idx="0">
                  <c:v>Residential Pre-Paid Energy Program</c:v>
                </c:pt>
                <c:pt idx="1">
                  <c:v>Bulb Giveaways (LED and CFL)</c:v>
                </c:pt>
              </c:strCache>
            </c:strRef>
          </c:cat>
          <c:val>
            <c:numRef>
              <c:f>'Detailed Save Spend Tables'!$G$121:$G$122</c:f>
              <c:numCache>
                <c:formatCode>0</c:formatCode>
                <c:ptCount val="2"/>
                <c:pt idx="0">
                  <c:v>6.3437068326941</c:v>
                </c:pt>
                <c:pt idx="1">
                  <c:v>0.708729212451362</c:v>
                </c:pt>
              </c:numCache>
            </c:numRef>
          </c:val>
          <c:extLst>
            <c:ext xmlns:c16="http://schemas.microsoft.com/office/drawing/2014/chart" uri="{C3380CC4-5D6E-409C-BE32-E72D297353CC}">
              <c16:uniqueId val="{00000004-BD49-4E8A-8C5C-261FE345915E}"/>
            </c:ext>
          </c:extLst>
        </c:ser>
        <c:firstSliceAng val="75"/>
      </c:pieChart>
      <c:spPr>
        <a:noFill/>
        <a:ln>
          <a:noFill/>
        </a:ln>
        <a:effectLst/>
      </c:spPr>
    </c:plotArea>
    <c:legend>
      <c:legendPos val="b"/>
      <c:layout/>
      <c:overlay val="0"/>
      <c:spPr>
        <a:noFill/>
        <a:ln>
          <a:noFill/>
        </a:ln>
        <a:effectLst/>
      </c:spPr>
      <c:txPr>
        <a:bodyPr vert="horz" rot="0"/>
        <a:lstStyle/>
        <a:p>
          <a:pPr>
            <a:defRPr lang="en-US" sz="900" b="0" i="0" u="none" baseline="0">
              <a:solidFill>
                <a:schemeClr val="tx1">
                  <a:lumMod val="65000"/>
                  <a:lumOff val="35000"/>
                </a:schemeClr>
              </a:solidFill>
            </a:defRPr>
          </a:pPr>
        </a:p>
      </c:txPr>
    </c:legend>
    <c:plotVisOnly val="1"/>
    <c:dispBlanksAs val="gap"/>
  </c:chart>
  <c:spPr>
    <a:solidFill>
      <a:schemeClr val="bg1"/>
    </a:solidFill>
    <a:ln w="9525" cap="flat" cmpd="sng">
      <a:solidFill>
        <a:schemeClr val="tx1">
          <a:lumMod val="15000"/>
          <a:lumOff val="85000"/>
        </a:schemeClr>
      </a:solidFill>
      <a:round/>
    </a:ln>
    <a:effectLst/>
  </c:spPr>
  <c:txPr>
    <a:bodyPr vert="horz" rot="0"/>
    <a:lstStyle/>
    <a:p>
      <a:pPr>
        <a:defRPr lang="en-US" u="none" baseline="0"/>
      </a:pPr>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s>
</file>

<file path=xl/drawings/_rels/drawing10.xml.rels><?xml version="1.0" encoding="UTF-8" standalone="yes"?><Relationships xmlns="http://schemas.openxmlformats.org/package/2006/relationships"><Relationship Id="rId1" Type="http://schemas.openxmlformats.org/officeDocument/2006/relationships/image" Target="../media/image3.png" /></Relationships>
</file>

<file path=xl/drawings/_rels/drawing11.xml.rels><?xml version="1.0" encoding="UTF-8" standalone="yes"?><Relationships xmlns="http://schemas.openxmlformats.org/package/2006/relationships"><Relationship Id="rId1" Type="http://schemas.openxmlformats.org/officeDocument/2006/relationships/image" Target="../media/image3.png" /></Relationships>
</file>

<file path=xl/drawings/_rels/drawing12.xml.rels><?xml version="1.0" encoding="UTF-8" standalone="yes"?><Relationships xmlns="http://schemas.openxmlformats.org/package/2006/relationships"><Relationship Id="rId1" Type="http://schemas.openxmlformats.org/officeDocument/2006/relationships/image" Target="../media/image3.png" /></Relationships>
</file>

<file path=xl/drawings/_rels/drawing13.xml.rels><?xml version="1.0" encoding="UTF-8" standalone="yes"?><Relationships xmlns="http://schemas.openxmlformats.org/package/2006/relationships"><Relationship Id="rId1" Type="http://schemas.openxmlformats.org/officeDocument/2006/relationships/image" Target="../media/image3.png" /></Relationships>
</file>

<file path=xl/drawings/_rels/drawing14.xml.rels><?xml version="1.0" encoding="UTF-8" standalone="yes"?><Relationships xmlns="http://schemas.openxmlformats.org/package/2006/relationships"><Relationship Id="rId1" Type="http://schemas.openxmlformats.org/officeDocument/2006/relationships/image" Target="../media/image3.png" /></Relationships>
</file>

<file path=xl/drawings/_rels/drawing2.xml.rels><?xml version="1.0" encoding="UTF-8" standalone="yes"?><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 Id="rId4" Type="http://schemas.openxmlformats.org/officeDocument/2006/relationships/chart" Target="../charts/chart9.xml" /><Relationship Id="rId5" Type="http://schemas.openxmlformats.org/officeDocument/2006/relationships/chart" Target="../charts/chart10.xml" /><Relationship Id="rId6" Type="http://schemas.openxmlformats.org/officeDocument/2006/relationships/chart" Target="../charts/chart11.xml" /><Relationship Id="rId7" Type="http://schemas.openxmlformats.org/officeDocument/2006/relationships/chart" Target="../charts/chart12.xml" /><Relationship Id="rId8" Type="http://schemas.openxmlformats.org/officeDocument/2006/relationships/chart" Target="../charts/chart13.xml" /><Relationship Id="rId9" Type="http://schemas.openxmlformats.org/officeDocument/2006/relationships/chart" Target="../charts/chart14.xml" /><Relationship Id="rId10" Type="http://schemas.openxmlformats.org/officeDocument/2006/relationships/chart" Target="../charts/chart15.xml" /><Relationship Id="rId11" Type="http://schemas.openxmlformats.org/officeDocument/2006/relationships/chart" Target="../charts/chart16.xml" /><Relationship Id="rId12" Type="http://schemas.openxmlformats.org/officeDocument/2006/relationships/chart" Target="../charts/chart17.xml" /><Relationship Id="rId13" Type="http://schemas.openxmlformats.org/officeDocument/2006/relationships/chart" Target="../charts/chart18.xml" /><Relationship Id="rId14" Type="http://schemas.openxmlformats.org/officeDocument/2006/relationships/chart" Target="../charts/chart19.xml" /><Relationship Id="rId15" Type="http://schemas.openxmlformats.org/officeDocument/2006/relationships/chart" Target="../charts/chart20.xml" /><Relationship Id="rId16" Type="http://schemas.openxmlformats.org/officeDocument/2006/relationships/chart" Target="../charts/chart21.xml" /><Relationship Id="rId17" Type="http://schemas.openxmlformats.org/officeDocument/2006/relationships/chart" Target="../charts/chart22.xml" /><Relationship Id="rId18" Type="http://schemas.openxmlformats.org/officeDocument/2006/relationships/chart" Target="../charts/chart23.xml" /><Relationship Id="rId19" Type="http://schemas.openxmlformats.org/officeDocument/2006/relationships/chart" Target="../charts/chart24.xml" /><Relationship Id="rId20" Type="http://schemas.openxmlformats.org/officeDocument/2006/relationships/chart" Target="../charts/chart25.xml" /><Relationship Id="rId21" Type="http://schemas.openxmlformats.org/officeDocument/2006/relationships/chart" Target="../charts/chart26.xml" /><Relationship Id="rId22" Type="http://schemas.openxmlformats.org/officeDocument/2006/relationships/chart" Target="../charts/chart27.xml" /><Relationship Id="rId23" Type="http://schemas.openxmlformats.org/officeDocument/2006/relationships/chart" Target="../charts/chart28.xml" /><Relationship Id="rId24" Type="http://schemas.openxmlformats.org/officeDocument/2006/relationships/chart" Target="../charts/chart29.xml" /><Relationship Id="rId25" Type="http://schemas.openxmlformats.org/officeDocument/2006/relationships/chart" Target="../charts/chart30.xml" /><Relationship Id="rId26" Type="http://schemas.openxmlformats.org/officeDocument/2006/relationships/chart" Target="../charts/chart31.xml" /></Relationships>
</file>

<file path=xl/drawings/_rels/drawing24.xml.rels><?xml version="1.0" encoding="UTF-8" standalone="yes"?><Relationships xmlns="http://schemas.openxmlformats.org/package/2006/relationships"><Relationship Id="rId1" Type="http://schemas.openxmlformats.org/officeDocument/2006/relationships/image" Target="../media/image4.png" /></Relationships>
</file>

<file path=xl/drawings/_rels/drawing3.xml.rels><?xml version="1.0" encoding="UTF-8" standalone="yes"?><Relationships xmlns="http://schemas.openxmlformats.org/package/2006/relationships"><Relationship Id="rId1" Type="http://schemas.openxmlformats.org/officeDocument/2006/relationships/image" Target="../media/image1.jpeg" /></Relationships>
</file>

<file path=xl/drawings/_rels/drawing4.xml.rels><?xml version="1.0" encoding="UTF-8" standalone="yes"?><Relationships xmlns="http://schemas.openxmlformats.org/package/2006/relationships"><Relationship Id="rId1" Type="http://schemas.openxmlformats.org/officeDocument/2006/relationships/image" Target="../media/image2.png" /></Relationships>
</file>

<file path=xl/drawings/_rels/drawing5.xml.rels><?xml version="1.0" encoding="UTF-8" standalone="yes"?><Relationships xmlns="http://schemas.openxmlformats.org/package/2006/relationships"><Relationship Id="rId1" Type="http://schemas.openxmlformats.org/officeDocument/2006/relationships/image" Target="../media/image3.png" /></Relationships>
</file>

<file path=xl/drawings/_rels/drawing6.xml.rels><?xml version="1.0" encoding="UTF-8" standalone="yes"?><Relationships xmlns="http://schemas.openxmlformats.org/package/2006/relationships"><Relationship Id="rId1" Type="http://schemas.openxmlformats.org/officeDocument/2006/relationships/image" Target="../media/image3.png" /></Relationships>
</file>

<file path=xl/drawings/_rels/drawing7.xml.rels><?xml version="1.0" encoding="UTF-8" standalone="yes"?><Relationships xmlns="http://schemas.openxmlformats.org/package/2006/relationships"><Relationship Id="rId1" Type="http://schemas.openxmlformats.org/officeDocument/2006/relationships/image" Target="../media/image3.png" /></Relationships>
</file>

<file path=xl/drawings/_rels/drawing8.xml.rels><?xml version="1.0" encoding="UTF-8" standalone="yes"?><Relationships xmlns="http://schemas.openxmlformats.org/package/2006/relationships"><Relationship Id="rId1" Type="http://schemas.openxmlformats.org/officeDocument/2006/relationships/image" Target="../media/image3.png" /></Relationships>
</file>

<file path=xl/drawings/_rels/drawing9.xml.rels><?xml version="1.0" encoding="UTF-8" standalone="yes"?><Relationships xmlns="http://schemas.openxmlformats.org/package/2006/relationships"><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15</xdr:col>
      <xdr:colOff>47623</xdr:colOff>
      <xdr:row>1</xdr:row>
      <xdr:rowOff>38552</xdr:rowOff>
    </xdr:from>
    <xdr:to>
      <xdr:col>24</xdr:col>
      <xdr:colOff>430892</xdr:colOff>
      <xdr:row>18</xdr:row>
      <xdr:rowOff>387349</xdr:rowOff>
    </xdr:to>
    <xdr:graphicFrame macro="">
      <xdr:nvGraphicFramePr>
        <xdr:cNvPr id="2" name="Chart 1"/>
        <xdr:cNvGraphicFramePr/>
      </xdr:nvGraphicFramePr>
      <xdr:xfrm>
        <a:off x="16108680" y="220980"/>
        <a:ext cx="6080760" cy="3870960"/>
      </xdr:xfrm>
      <a:graphic>
        <a:graphicData uri="http://schemas.openxmlformats.org/drawingml/2006/chart">
          <c:chart xmlns:c="http://schemas.openxmlformats.org/drawingml/2006/chart" r:id="rId1"/>
        </a:graphicData>
      </a:graphic>
    </xdr:graphicFrame>
    <xdr:clientData/>
  </xdr:twoCellAnchor>
  <xdr:twoCellAnchor>
    <xdr:from>
      <xdr:col>22</xdr:col>
      <xdr:colOff>413203</xdr:colOff>
      <xdr:row>32</xdr:row>
      <xdr:rowOff>28575</xdr:rowOff>
    </xdr:from>
    <xdr:to>
      <xdr:col>30</xdr:col>
      <xdr:colOff>108402</xdr:colOff>
      <xdr:row>48</xdr:row>
      <xdr:rowOff>24946</xdr:rowOff>
    </xdr:to>
    <xdr:graphicFrame macro="">
      <xdr:nvGraphicFramePr>
        <xdr:cNvPr id="3" name="Chart 2"/>
        <xdr:cNvGraphicFramePr/>
      </xdr:nvGraphicFramePr>
      <xdr:xfrm>
        <a:off x="20901660" y="7040880"/>
        <a:ext cx="4754880" cy="2933700"/>
      </xdr:xfrm>
      <a:graphic>
        <a:graphicData uri="http://schemas.openxmlformats.org/drawingml/2006/chart">
          <c:chart xmlns:c="http://schemas.openxmlformats.org/drawingml/2006/chart" r:id="rId2"/>
        </a:graphicData>
      </a:graphic>
    </xdr:graphicFrame>
    <xdr:clientData/>
  </xdr:twoCellAnchor>
  <xdr:twoCellAnchor>
    <xdr:from>
      <xdr:col>15</xdr:col>
      <xdr:colOff>58510</xdr:colOff>
      <xdr:row>18</xdr:row>
      <xdr:rowOff>441325</xdr:rowOff>
    </xdr:from>
    <xdr:to>
      <xdr:col>22</xdr:col>
      <xdr:colOff>364218</xdr:colOff>
      <xdr:row>31</xdr:row>
      <xdr:rowOff>173718</xdr:rowOff>
    </xdr:to>
    <xdr:graphicFrame macro="">
      <xdr:nvGraphicFramePr>
        <xdr:cNvPr id="4" name="Chart 3"/>
        <xdr:cNvGraphicFramePr/>
      </xdr:nvGraphicFramePr>
      <xdr:xfrm>
        <a:off x="16123920" y="4145280"/>
        <a:ext cx="4732020" cy="2506980"/>
      </xdr:xfrm>
      <a:graphic>
        <a:graphicData uri="http://schemas.openxmlformats.org/drawingml/2006/chart">
          <c:chart xmlns:c="http://schemas.openxmlformats.org/drawingml/2006/chart" r:id="rId3"/>
        </a:graphicData>
      </a:graphic>
    </xdr:graphicFrame>
    <xdr:clientData/>
  </xdr:twoCellAnchor>
  <xdr:twoCellAnchor>
    <xdr:from>
      <xdr:col>22</xdr:col>
      <xdr:colOff>399597</xdr:colOff>
      <xdr:row>18</xdr:row>
      <xdr:rowOff>443140</xdr:rowOff>
    </xdr:from>
    <xdr:to>
      <xdr:col>30</xdr:col>
      <xdr:colOff>94796</xdr:colOff>
      <xdr:row>31</xdr:row>
      <xdr:rowOff>170543</xdr:rowOff>
    </xdr:to>
    <xdr:graphicFrame macro="">
      <xdr:nvGraphicFramePr>
        <xdr:cNvPr id="5" name="Chart 4"/>
        <xdr:cNvGraphicFramePr/>
      </xdr:nvGraphicFramePr>
      <xdr:xfrm>
        <a:off x="20886420" y="4145280"/>
        <a:ext cx="4754880" cy="2499360"/>
      </xdr:xfrm>
      <a:graphic>
        <a:graphicData uri="http://schemas.openxmlformats.org/drawingml/2006/chart">
          <c:chart xmlns:c="http://schemas.openxmlformats.org/drawingml/2006/chart" r:id="rId4"/>
        </a:graphicData>
      </a:graphic>
    </xdr:graphicFrame>
    <xdr:clientData/>
  </xdr:twoCellAnchor>
  <xdr:twoCellAnchor>
    <xdr:from>
      <xdr:col>15</xdr:col>
      <xdr:colOff>31242</xdr:colOff>
      <xdr:row>32</xdr:row>
      <xdr:rowOff>28575</xdr:rowOff>
    </xdr:from>
    <xdr:to>
      <xdr:col>24</xdr:col>
      <xdr:colOff>528783</xdr:colOff>
      <xdr:row>48</xdr:row>
      <xdr:rowOff>158563</xdr:rowOff>
    </xdr:to>
    <xdr:graphicFrame macro="">
      <xdr:nvGraphicFramePr>
        <xdr:cNvPr id="6" name="Chart 5"/>
        <xdr:cNvGraphicFramePr/>
      </xdr:nvGraphicFramePr>
      <xdr:xfrm>
        <a:off x="16093440" y="7040880"/>
        <a:ext cx="6187440" cy="3070860"/>
      </xdr:xfrm>
      <a:graphic>
        <a:graphicData uri="http://schemas.openxmlformats.org/drawingml/2006/chart">
          <c:chart xmlns:c="http://schemas.openxmlformats.org/drawingml/2006/chart" r:id="rId5"/>
        </a:graphicData>
      </a:graphic>
    </xdr:graphicFrame>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757464</xdr:colOff>
      <xdr:row>167</xdr:row>
      <xdr:rowOff>40821</xdr:rowOff>
    </xdr:from>
    <xdr:to>
      <xdr:col>12</xdr:col>
      <xdr:colOff>29028</xdr:colOff>
      <xdr:row>184</xdr:row>
      <xdr:rowOff>2721</xdr:rowOff>
    </xdr:to>
    <xdr:graphicFrame macro="">
      <xdr:nvGraphicFramePr>
        <xdr:cNvPr id="3" name="Chart 2"/>
        <xdr:cNvGraphicFramePr/>
      </xdr:nvGraphicFramePr>
      <xdr:xfrm>
        <a:off x="9570720" y="30845760"/>
        <a:ext cx="6088380" cy="3070860"/>
      </xdr:xfrm>
      <a:graphic>
        <a:graphicData uri="http://schemas.openxmlformats.org/drawingml/2006/chart">
          <c:chart xmlns:c="http://schemas.openxmlformats.org/drawingml/2006/chart" r:id="rId1"/>
        </a:graphicData>
      </a:graphic>
    </xdr:graphicFrame>
    <xdr:clientData/>
  </xdr:twoCellAnchor>
  <xdr:twoCellAnchor>
    <xdr:from>
      <xdr:col>48</xdr:col>
      <xdr:colOff>122671</xdr:colOff>
      <xdr:row>99</xdr:row>
      <xdr:rowOff>178954</xdr:rowOff>
    </xdr:from>
    <xdr:to>
      <xdr:col>60</xdr:col>
      <xdr:colOff>13815</xdr:colOff>
      <xdr:row>122</xdr:row>
      <xdr:rowOff>103084</xdr:rowOff>
    </xdr:to>
    <xdr:graphicFrame macro="">
      <xdr:nvGraphicFramePr>
        <xdr:cNvPr id="5" name="Chart 4"/>
        <xdr:cNvGraphicFramePr/>
      </xdr:nvGraphicFramePr>
      <xdr:xfrm>
        <a:off x="48234600" y="18432780"/>
        <a:ext cx="7482840" cy="4168140"/>
      </xdr:xfrm>
      <a:graphic>
        <a:graphicData uri="http://schemas.openxmlformats.org/drawingml/2006/chart">
          <c:chart xmlns:c="http://schemas.openxmlformats.org/drawingml/2006/chart" r:id="rId2"/>
        </a:graphicData>
      </a:graphic>
    </xdr:graphicFrame>
    <xdr:clientData/>
  </xdr:twoCellAnchor>
  <xdr:twoCellAnchor>
    <xdr:from>
      <xdr:col>47</xdr:col>
      <xdr:colOff>145473</xdr:colOff>
      <xdr:row>126</xdr:row>
      <xdr:rowOff>185305</xdr:rowOff>
    </xdr:from>
    <xdr:to>
      <xdr:col>59</xdr:col>
      <xdr:colOff>469572</xdr:colOff>
      <xdr:row>151</xdr:row>
      <xdr:rowOff>109434</xdr:rowOff>
    </xdr:to>
    <xdr:graphicFrame macro="">
      <xdr:nvGraphicFramePr>
        <xdr:cNvPr id="6" name="Chart 5"/>
        <xdr:cNvGraphicFramePr/>
      </xdr:nvGraphicFramePr>
      <xdr:xfrm>
        <a:off x="47625000" y="23408640"/>
        <a:ext cx="7917180" cy="4579620"/>
      </xdr:xfrm>
      <a:graphic>
        <a:graphicData uri="http://schemas.openxmlformats.org/drawingml/2006/chart">
          <c:chart xmlns:c="http://schemas.openxmlformats.org/drawingml/2006/chart" r:id="rId3"/>
        </a:graphicData>
      </a:graphic>
    </xdr:graphicFrame>
    <xdr:clientData/>
  </xdr:twoCellAnchor>
  <xdr:twoCellAnchor>
    <xdr:from>
      <xdr:col>33</xdr:col>
      <xdr:colOff>242455</xdr:colOff>
      <xdr:row>64</xdr:row>
      <xdr:rowOff>40409</xdr:rowOff>
    </xdr:from>
    <xdr:to>
      <xdr:col>44</xdr:col>
      <xdr:colOff>165349</xdr:colOff>
      <xdr:row>86</xdr:row>
      <xdr:rowOff>155038</xdr:rowOff>
    </xdr:to>
    <xdr:graphicFrame macro="">
      <xdr:nvGraphicFramePr>
        <xdr:cNvPr id="7" name="Chart 6"/>
        <xdr:cNvGraphicFramePr/>
      </xdr:nvGraphicFramePr>
      <xdr:xfrm>
        <a:off x="38869620" y="11849100"/>
        <a:ext cx="6880860" cy="4168140"/>
      </xdr:xfrm>
      <a:graphic>
        <a:graphicData uri="http://schemas.openxmlformats.org/drawingml/2006/chart">
          <c:chart xmlns:c="http://schemas.openxmlformats.org/drawingml/2006/chart" r:id="rId4"/>
        </a:graphicData>
      </a:graphic>
    </xdr:graphicFrame>
    <xdr:clientData/>
  </xdr:twoCellAnchor>
  <xdr:twoCellAnchor>
    <xdr:from>
      <xdr:col>45</xdr:col>
      <xdr:colOff>531091</xdr:colOff>
      <xdr:row>69</xdr:row>
      <xdr:rowOff>164522</xdr:rowOff>
    </xdr:from>
    <xdr:to>
      <xdr:col>61</xdr:col>
      <xdr:colOff>341417</xdr:colOff>
      <xdr:row>92</xdr:row>
      <xdr:rowOff>82879</xdr:rowOff>
    </xdr:to>
    <xdr:graphicFrame macro="">
      <xdr:nvGraphicFramePr>
        <xdr:cNvPr id="8" name="Chart 7"/>
        <xdr:cNvGraphicFramePr/>
      </xdr:nvGraphicFramePr>
      <xdr:xfrm>
        <a:off x="46748700" y="12893040"/>
        <a:ext cx="9928860" cy="4152900"/>
      </xdr:xfrm>
      <a:graphic>
        <a:graphicData uri="http://schemas.openxmlformats.org/drawingml/2006/chart">
          <c:chart xmlns:c="http://schemas.openxmlformats.org/drawingml/2006/chart" r:id="rId5"/>
        </a:graphicData>
      </a:graphic>
    </xdr:graphicFrame>
    <xdr:clientData/>
  </xdr:twoCellAnchor>
  <xdr:twoCellAnchor>
    <xdr:from>
      <xdr:col>46</xdr:col>
      <xdr:colOff>103909</xdr:colOff>
      <xdr:row>39</xdr:row>
      <xdr:rowOff>129886</xdr:rowOff>
    </xdr:from>
    <xdr:to>
      <xdr:col>61</xdr:col>
      <xdr:colOff>474190</xdr:colOff>
      <xdr:row>61</xdr:row>
      <xdr:rowOff>48242</xdr:rowOff>
    </xdr:to>
    <xdr:graphicFrame macro="">
      <xdr:nvGraphicFramePr>
        <xdr:cNvPr id="9" name="Chart 8"/>
        <xdr:cNvGraphicFramePr/>
      </xdr:nvGraphicFramePr>
      <xdr:xfrm>
        <a:off x="46954440" y="7338060"/>
        <a:ext cx="9852660" cy="3970020"/>
      </xdr:xfrm>
      <a:graphic>
        <a:graphicData uri="http://schemas.openxmlformats.org/drawingml/2006/chart">
          <c:chart xmlns:c="http://schemas.openxmlformats.org/drawingml/2006/chart" r:id="rId6"/>
        </a:graphicData>
      </a:graphic>
    </xdr:graphicFrame>
    <xdr:clientData/>
  </xdr:twoCellAnchor>
  <xdr:twoCellAnchor>
    <xdr:from>
      <xdr:col>32</xdr:col>
      <xdr:colOff>333375</xdr:colOff>
      <xdr:row>147</xdr:row>
      <xdr:rowOff>63500</xdr:rowOff>
    </xdr:from>
    <xdr:to>
      <xdr:col>44</xdr:col>
      <xdr:colOff>207201</xdr:colOff>
      <xdr:row>171</xdr:row>
      <xdr:rowOff>172357</xdr:rowOff>
    </xdr:to>
    <xdr:graphicFrame macro="">
      <xdr:nvGraphicFramePr>
        <xdr:cNvPr id="11" name="Chart 10"/>
        <xdr:cNvGraphicFramePr/>
      </xdr:nvGraphicFramePr>
      <xdr:xfrm>
        <a:off x="38328600" y="27211020"/>
        <a:ext cx="7459980" cy="4503420"/>
      </xdr:xfrm>
      <a:graphic>
        <a:graphicData uri="http://schemas.openxmlformats.org/drawingml/2006/chart">
          <c:chart xmlns:c="http://schemas.openxmlformats.org/drawingml/2006/chart" r:id="rId7"/>
        </a:graphicData>
      </a:graphic>
    </xdr:graphicFrame>
    <xdr:clientData/>
  </xdr:twoCellAnchor>
  <xdr:twoCellAnchor>
    <xdr:from>
      <xdr:col>33</xdr:col>
      <xdr:colOff>111125</xdr:colOff>
      <xdr:row>178</xdr:row>
      <xdr:rowOff>158750</xdr:rowOff>
    </xdr:from>
    <xdr:to>
      <xdr:col>44</xdr:col>
      <xdr:colOff>556451</xdr:colOff>
      <xdr:row>203</xdr:row>
      <xdr:rowOff>77107</xdr:rowOff>
    </xdr:to>
    <xdr:graphicFrame macro="">
      <xdr:nvGraphicFramePr>
        <xdr:cNvPr id="12" name="Chart 11"/>
        <xdr:cNvGraphicFramePr/>
      </xdr:nvGraphicFramePr>
      <xdr:xfrm>
        <a:off x="38740080" y="32979360"/>
        <a:ext cx="7399020" cy="4572000"/>
      </xdr:xfrm>
      <a:graphic>
        <a:graphicData uri="http://schemas.openxmlformats.org/drawingml/2006/chart">
          <c:chart xmlns:c="http://schemas.openxmlformats.org/drawingml/2006/chart" r:id="rId8"/>
        </a:graphicData>
      </a:graphic>
    </xdr:graphicFrame>
    <xdr:clientData/>
  </xdr:twoCellAnchor>
  <xdr:twoCellAnchor>
    <xdr:from>
      <xdr:col>32</xdr:col>
      <xdr:colOff>349250</xdr:colOff>
      <xdr:row>91</xdr:row>
      <xdr:rowOff>79375</xdr:rowOff>
    </xdr:from>
    <xdr:to>
      <xdr:col>44</xdr:col>
      <xdr:colOff>127826</xdr:colOff>
      <xdr:row>113</xdr:row>
      <xdr:rowOff>188232</xdr:rowOff>
    </xdr:to>
    <xdr:graphicFrame macro="">
      <xdr:nvGraphicFramePr>
        <xdr:cNvPr id="13" name="Chart 12"/>
        <xdr:cNvGraphicFramePr/>
      </xdr:nvGraphicFramePr>
      <xdr:xfrm>
        <a:off x="38343840" y="16855440"/>
        <a:ext cx="7368540" cy="4160520"/>
      </xdr:xfrm>
      <a:graphic>
        <a:graphicData uri="http://schemas.openxmlformats.org/drawingml/2006/chart">
          <c:chart xmlns:c="http://schemas.openxmlformats.org/drawingml/2006/chart" r:id="rId9"/>
        </a:graphicData>
      </a:graphic>
    </xdr:graphicFrame>
    <xdr:clientData/>
  </xdr:twoCellAnchor>
  <xdr:twoCellAnchor>
    <xdr:from>
      <xdr:col>32</xdr:col>
      <xdr:colOff>333375</xdr:colOff>
      <xdr:row>117</xdr:row>
      <xdr:rowOff>158750</xdr:rowOff>
    </xdr:from>
    <xdr:to>
      <xdr:col>44</xdr:col>
      <xdr:colOff>111951</xdr:colOff>
      <xdr:row>141</xdr:row>
      <xdr:rowOff>70757</xdr:rowOff>
    </xdr:to>
    <xdr:graphicFrame macro="">
      <xdr:nvGraphicFramePr>
        <xdr:cNvPr id="14" name="Chart 13"/>
        <xdr:cNvGraphicFramePr/>
      </xdr:nvGraphicFramePr>
      <xdr:xfrm>
        <a:off x="38328600" y="21724620"/>
        <a:ext cx="7368540" cy="4396740"/>
      </xdr:xfrm>
      <a:graphic>
        <a:graphicData uri="http://schemas.openxmlformats.org/drawingml/2006/chart">
          <c:chart xmlns:c="http://schemas.openxmlformats.org/drawingml/2006/chart" r:id="rId10"/>
        </a:graphicData>
      </a:graphic>
    </xdr:graphicFrame>
    <xdr:clientData/>
  </xdr:twoCellAnchor>
  <xdr:twoCellAnchor>
    <xdr:from>
      <xdr:col>33</xdr:col>
      <xdr:colOff>95250</xdr:colOff>
      <xdr:row>37</xdr:row>
      <xdr:rowOff>0</xdr:rowOff>
    </xdr:from>
    <xdr:to>
      <xdr:col>44</xdr:col>
      <xdr:colOff>286576</xdr:colOff>
      <xdr:row>59</xdr:row>
      <xdr:rowOff>102507</xdr:rowOff>
    </xdr:to>
    <xdr:graphicFrame macro="">
      <xdr:nvGraphicFramePr>
        <xdr:cNvPr id="15" name="Chart 14"/>
        <xdr:cNvGraphicFramePr/>
      </xdr:nvGraphicFramePr>
      <xdr:xfrm>
        <a:off x="38724840" y="6842760"/>
        <a:ext cx="7147560" cy="4152900"/>
      </xdr:xfrm>
      <a:graphic>
        <a:graphicData uri="http://schemas.openxmlformats.org/drawingml/2006/chart">
          <c:chart xmlns:c="http://schemas.openxmlformats.org/drawingml/2006/chart" r:id="rId11"/>
        </a:graphicData>
      </a:graphic>
    </xdr:graphicFrame>
    <xdr:clientData/>
  </xdr:twoCellAnchor>
  <xdr:twoCellAnchor>
    <xdr:from>
      <xdr:col>12</xdr:col>
      <xdr:colOff>391102</xdr:colOff>
      <xdr:row>167</xdr:row>
      <xdr:rowOff>27214</xdr:rowOff>
    </xdr:from>
    <xdr:to>
      <xdr:col>16</xdr:col>
      <xdr:colOff>2868179</xdr:colOff>
      <xdr:row>183</xdr:row>
      <xdr:rowOff>28285</xdr:rowOff>
    </xdr:to>
    <xdr:graphicFrame macro="">
      <xdr:nvGraphicFramePr>
        <xdr:cNvPr id="16" name="Chart 15"/>
        <xdr:cNvGraphicFramePr/>
      </xdr:nvGraphicFramePr>
      <xdr:xfrm>
        <a:off x="16017240" y="30838140"/>
        <a:ext cx="6035040" cy="2926080"/>
      </xdr:xfrm>
      <a:graphic>
        <a:graphicData uri="http://schemas.openxmlformats.org/drawingml/2006/chart">
          <c:chart xmlns:c="http://schemas.openxmlformats.org/drawingml/2006/chart" r:id="rId12"/>
        </a:graphicData>
      </a:graphic>
    </xdr:graphicFrame>
    <xdr:clientData/>
  </xdr:twoCellAnchor>
  <xdr:twoCellAnchor>
    <xdr:from>
      <xdr:col>0</xdr:col>
      <xdr:colOff>458107</xdr:colOff>
      <xdr:row>130</xdr:row>
      <xdr:rowOff>140607</xdr:rowOff>
    </xdr:from>
    <xdr:to>
      <xdr:col>5</xdr:col>
      <xdr:colOff>979715</xdr:colOff>
      <xdr:row>149</xdr:row>
      <xdr:rowOff>154214</xdr:rowOff>
    </xdr:to>
    <xdr:graphicFrame macro="">
      <xdr:nvGraphicFramePr>
        <xdr:cNvPr id="4" name="Chart 3"/>
        <xdr:cNvGraphicFramePr/>
      </xdr:nvGraphicFramePr>
      <xdr:xfrm>
        <a:off x="457200" y="24178260"/>
        <a:ext cx="8206740" cy="3489960"/>
      </xdr:xfrm>
      <a:graphic>
        <a:graphicData uri="http://schemas.openxmlformats.org/drawingml/2006/chart">
          <c:chart xmlns:c="http://schemas.openxmlformats.org/drawingml/2006/chart" r:id="rId13"/>
        </a:graphicData>
      </a:graphic>
    </xdr:graphicFrame>
    <xdr:clientData/>
  </xdr:twoCellAnchor>
  <xdr:twoCellAnchor>
    <xdr:from>
      <xdr:col>0</xdr:col>
      <xdr:colOff>530678</xdr:colOff>
      <xdr:row>151</xdr:row>
      <xdr:rowOff>104322</xdr:rowOff>
    </xdr:from>
    <xdr:to>
      <xdr:col>5</xdr:col>
      <xdr:colOff>1052286</xdr:colOff>
      <xdr:row>170</xdr:row>
      <xdr:rowOff>117929</xdr:rowOff>
    </xdr:to>
    <xdr:graphicFrame macro="">
      <xdr:nvGraphicFramePr>
        <xdr:cNvPr id="17" name="Chart 16"/>
        <xdr:cNvGraphicFramePr/>
      </xdr:nvGraphicFramePr>
      <xdr:xfrm>
        <a:off x="533400" y="27988260"/>
        <a:ext cx="8199120" cy="3482340"/>
      </xdr:xfrm>
      <a:graphic>
        <a:graphicData uri="http://schemas.openxmlformats.org/drawingml/2006/chart">
          <c:chart xmlns:c="http://schemas.openxmlformats.org/drawingml/2006/chart" r:id="rId14"/>
        </a:graphicData>
      </a:graphic>
    </xdr:graphicFrame>
    <xdr:clientData/>
  </xdr:twoCellAnchor>
  <xdr:twoCellAnchor>
    <xdr:from>
      <xdr:col>6</xdr:col>
      <xdr:colOff>632731</xdr:colOff>
      <xdr:row>131</xdr:row>
      <xdr:rowOff>15875</xdr:rowOff>
    </xdr:from>
    <xdr:to>
      <xdr:col>11</xdr:col>
      <xdr:colOff>1006474</xdr:colOff>
      <xdr:row>147</xdr:row>
      <xdr:rowOff>168275</xdr:rowOff>
    </xdr:to>
    <xdr:graphicFrame macro="">
      <xdr:nvGraphicFramePr>
        <xdr:cNvPr id="18" name="Chart 17"/>
        <xdr:cNvGraphicFramePr/>
      </xdr:nvGraphicFramePr>
      <xdr:xfrm>
        <a:off x="9448800" y="24239220"/>
        <a:ext cx="6050280" cy="3078480"/>
      </xdr:xfrm>
      <a:graphic>
        <a:graphicData uri="http://schemas.openxmlformats.org/drawingml/2006/chart">
          <c:chart xmlns:c="http://schemas.openxmlformats.org/drawingml/2006/chart" r:id="rId15"/>
        </a:graphicData>
      </a:graphic>
    </xdr:graphicFrame>
    <xdr:clientData/>
  </xdr:twoCellAnchor>
  <xdr:twoCellAnchor>
    <xdr:from>
      <xdr:col>6</xdr:col>
      <xdr:colOff>691696</xdr:colOff>
      <xdr:row>149</xdr:row>
      <xdr:rowOff>34018</xdr:rowOff>
    </xdr:from>
    <xdr:to>
      <xdr:col>11</xdr:col>
      <xdr:colOff>1083581</xdr:colOff>
      <xdr:row>165</xdr:row>
      <xdr:rowOff>186418</xdr:rowOff>
    </xdr:to>
    <xdr:graphicFrame macro="">
      <xdr:nvGraphicFramePr>
        <xdr:cNvPr id="19" name="Chart 18"/>
        <xdr:cNvGraphicFramePr/>
      </xdr:nvGraphicFramePr>
      <xdr:xfrm>
        <a:off x="9509760" y="27546300"/>
        <a:ext cx="6065520" cy="3078480"/>
      </xdr:xfrm>
      <a:graphic>
        <a:graphicData uri="http://schemas.openxmlformats.org/drawingml/2006/chart">
          <c:chart xmlns:c="http://schemas.openxmlformats.org/drawingml/2006/chart" r:id="rId16"/>
        </a:graphicData>
      </a:graphic>
    </xdr:graphicFrame>
    <xdr:clientData/>
  </xdr:twoCellAnchor>
  <xdr:twoCellAnchor>
    <xdr:from>
      <xdr:col>12</xdr:col>
      <xdr:colOff>127680</xdr:colOff>
      <xdr:row>131</xdr:row>
      <xdr:rowOff>43656</xdr:rowOff>
    </xdr:from>
    <xdr:to>
      <xdr:col>16</xdr:col>
      <xdr:colOff>2604757</xdr:colOff>
      <xdr:row>148</xdr:row>
      <xdr:rowOff>5556</xdr:rowOff>
    </xdr:to>
    <xdr:graphicFrame macro="">
      <xdr:nvGraphicFramePr>
        <xdr:cNvPr id="20" name="Chart 19"/>
        <xdr:cNvGraphicFramePr/>
      </xdr:nvGraphicFramePr>
      <xdr:xfrm>
        <a:off x="15758160" y="24269700"/>
        <a:ext cx="6035040" cy="3070860"/>
      </xdr:xfrm>
      <a:graphic>
        <a:graphicData uri="http://schemas.openxmlformats.org/drawingml/2006/chart">
          <c:chart xmlns:c="http://schemas.openxmlformats.org/drawingml/2006/chart" r:id="rId17"/>
        </a:graphicData>
      </a:graphic>
    </xdr:graphicFrame>
    <xdr:clientData/>
  </xdr:twoCellAnchor>
  <xdr:twoCellAnchor>
    <xdr:from>
      <xdr:col>12</xdr:col>
      <xdr:colOff>369093</xdr:colOff>
      <xdr:row>149</xdr:row>
      <xdr:rowOff>68603</xdr:rowOff>
    </xdr:from>
    <xdr:to>
      <xdr:col>16</xdr:col>
      <xdr:colOff>2846170</xdr:colOff>
      <xdr:row>166</xdr:row>
      <xdr:rowOff>30503</xdr:rowOff>
    </xdr:to>
    <xdr:graphicFrame macro="">
      <xdr:nvGraphicFramePr>
        <xdr:cNvPr id="21" name="Chart 20"/>
        <xdr:cNvGraphicFramePr/>
      </xdr:nvGraphicFramePr>
      <xdr:xfrm>
        <a:off x="15994380" y="27584400"/>
        <a:ext cx="6042660" cy="3070860"/>
      </xdr:xfrm>
      <a:graphic>
        <a:graphicData uri="http://schemas.openxmlformats.org/drawingml/2006/chart">
          <c:chart xmlns:c="http://schemas.openxmlformats.org/drawingml/2006/chart" r:id="rId18"/>
        </a:graphicData>
      </a:graphic>
    </xdr:graphicFrame>
    <xdr:clientData/>
  </xdr:twoCellAnchor>
  <xdr:twoCellAnchor>
    <xdr:from>
      <xdr:col>1</xdr:col>
      <xdr:colOff>0</xdr:colOff>
      <xdr:row>190</xdr:row>
      <xdr:rowOff>0</xdr:rowOff>
    </xdr:from>
    <xdr:to>
      <xdr:col>6</xdr:col>
      <xdr:colOff>31750</xdr:colOff>
      <xdr:row>209</xdr:row>
      <xdr:rowOff>13607</xdr:rowOff>
    </xdr:to>
    <xdr:graphicFrame macro="">
      <xdr:nvGraphicFramePr>
        <xdr:cNvPr id="22" name="Chart 21"/>
        <xdr:cNvGraphicFramePr/>
      </xdr:nvGraphicFramePr>
      <xdr:xfrm>
        <a:off x="632460" y="35097720"/>
        <a:ext cx="8214360" cy="3489960"/>
      </xdr:xfrm>
      <a:graphic>
        <a:graphicData uri="http://schemas.openxmlformats.org/drawingml/2006/chart">
          <c:chart xmlns:c="http://schemas.openxmlformats.org/drawingml/2006/chart" r:id="rId19"/>
        </a:graphicData>
      </a:graphic>
    </xdr:graphicFrame>
    <xdr:clientData/>
  </xdr:twoCellAnchor>
  <xdr:twoCellAnchor>
    <xdr:from>
      <xdr:col>1</xdr:col>
      <xdr:colOff>0</xdr:colOff>
      <xdr:row>210</xdr:row>
      <xdr:rowOff>0</xdr:rowOff>
    </xdr:from>
    <xdr:to>
      <xdr:col>6</xdr:col>
      <xdr:colOff>31750</xdr:colOff>
      <xdr:row>229</xdr:row>
      <xdr:rowOff>13607</xdr:rowOff>
    </xdr:to>
    <xdr:graphicFrame macro="">
      <xdr:nvGraphicFramePr>
        <xdr:cNvPr id="23" name="Chart 22"/>
        <xdr:cNvGraphicFramePr/>
      </xdr:nvGraphicFramePr>
      <xdr:xfrm>
        <a:off x="632460" y="38755320"/>
        <a:ext cx="8214360" cy="3489960"/>
      </xdr:xfrm>
      <a:graphic>
        <a:graphicData uri="http://schemas.openxmlformats.org/drawingml/2006/chart">
          <c:chart xmlns:c="http://schemas.openxmlformats.org/drawingml/2006/chart" r:id="rId20"/>
        </a:graphicData>
      </a:graphic>
    </xdr:graphicFrame>
    <xdr:clientData/>
  </xdr:twoCellAnchor>
  <xdr:twoCellAnchor>
    <xdr:from>
      <xdr:col>7</xdr:col>
      <xdr:colOff>0</xdr:colOff>
      <xdr:row>190</xdr:row>
      <xdr:rowOff>0</xdr:rowOff>
    </xdr:from>
    <xdr:to>
      <xdr:col>12</xdr:col>
      <xdr:colOff>373743</xdr:colOff>
      <xdr:row>206</xdr:row>
      <xdr:rowOff>152400</xdr:rowOff>
    </xdr:to>
    <xdr:graphicFrame macro="">
      <xdr:nvGraphicFramePr>
        <xdr:cNvPr id="24" name="Chart 23"/>
        <xdr:cNvGraphicFramePr/>
      </xdr:nvGraphicFramePr>
      <xdr:xfrm>
        <a:off x="9951720" y="35097720"/>
        <a:ext cx="6050280" cy="3078480"/>
      </xdr:xfrm>
      <a:graphic>
        <a:graphicData uri="http://schemas.openxmlformats.org/drawingml/2006/chart">
          <c:chart xmlns:c="http://schemas.openxmlformats.org/drawingml/2006/chart" r:id="rId21"/>
        </a:graphicData>
      </a:graphic>
    </xdr:graphicFrame>
    <xdr:clientData/>
  </xdr:twoCellAnchor>
  <xdr:twoCellAnchor>
    <xdr:from>
      <xdr:col>7</xdr:col>
      <xdr:colOff>0</xdr:colOff>
      <xdr:row>208</xdr:row>
      <xdr:rowOff>0</xdr:rowOff>
    </xdr:from>
    <xdr:to>
      <xdr:col>12</xdr:col>
      <xdr:colOff>391885</xdr:colOff>
      <xdr:row>224</xdr:row>
      <xdr:rowOff>152400</xdr:rowOff>
    </xdr:to>
    <xdr:graphicFrame macro="">
      <xdr:nvGraphicFramePr>
        <xdr:cNvPr id="25" name="Chart 24"/>
        <xdr:cNvGraphicFramePr/>
      </xdr:nvGraphicFramePr>
      <xdr:xfrm>
        <a:off x="9951720" y="38389560"/>
        <a:ext cx="6065520" cy="3078480"/>
      </xdr:xfrm>
      <a:graphic>
        <a:graphicData uri="http://schemas.openxmlformats.org/drawingml/2006/chart">
          <c:chart xmlns:c="http://schemas.openxmlformats.org/drawingml/2006/chart" r:id="rId22"/>
        </a:graphicData>
      </a:graphic>
    </xdr:graphicFrame>
    <xdr:clientData/>
  </xdr:twoCellAnchor>
  <xdr:twoCellAnchor>
    <xdr:from>
      <xdr:col>7</xdr:col>
      <xdr:colOff>0</xdr:colOff>
      <xdr:row>226</xdr:row>
      <xdr:rowOff>0</xdr:rowOff>
    </xdr:from>
    <xdr:to>
      <xdr:col>12</xdr:col>
      <xdr:colOff>714375</xdr:colOff>
      <xdr:row>244</xdr:row>
      <xdr:rowOff>63500</xdr:rowOff>
    </xdr:to>
    <xdr:graphicFrame macro="">
      <xdr:nvGraphicFramePr>
        <xdr:cNvPr id="26" name="Chart 25"/>
        <xdr:cNvGraphicFramePr/>
      </xdr:nvGraphicFramePr>
      <xdr:xfrm>
        <a:off x="9951720" y="41681400"/>
        <a:ext cx="6393180" cy="3352800"/>
      </xdr:xfrm>
      <a:graphic>
        <a:graphicData uri="http://schemas.openxmlformats.org/drawingml/2006/chart">
          <c:chart xmlns:c="http://schemas.openxmlformats.org/drawingml/2006/chart" r:id="rId23"/>
        </a:graphicData>
      </a:graphic>
    </xdr:graphicFrame>
    <xdr:clientData/>
  </xdr:twoCellAnchor>
  <xdr:twoCellAnchor>
    <xdr:from>
      <xdr:col>13</xdr:col>
      <xdr:colOff>23814</xdr:colOff>
      <xdr:row>190</xdr:row>
      <xdr:rowOff>35719</xdr:rowOff>
    </xdr:from>
    <xdr:to>
      <xdr:col>16</xdr:col>
      <xdr:colOff>3603070</xdr:colOff>
      <xdr:row>206</xdr:row>
      <xdr:rowOff>188119</xdr:rowOff>
    </xdr:to>
    <xdr:graphicFrame macro="">
      <xdr:nvGraphicFramePr>
        <xdr:cNvPr id="27" name="Chart 26"/>
        <xdr:cNvGraphicFramePr/>
      </xdr:nvGraphicFramePr>
      <xdr:xfrm>
        <a:off x="16786860" y="35135820"/>
        <a:ext cx="6004560" cy="3070860"/>
      </xdr:xfrm>
      <a:graphic>
        <a:graphicData uri="http://schemas.openxmlformats.org/drawingml/2006/chart">
          <c:chart xmlns:c="http://schemas.openxmlformats.org/drawingml/2006/chart" r:id="rId24"/>
        </a:graphicData>
      </a:graphic>
    </xdr:graphicFrame>
    <xdr:clientData/>
  </xdr:twoCellAnchor>
  <xdr:twoCellAnchor>
    <xdr:from>
      <xdr:col>13</xdr:col>
      <xdr:colOff>0</xdr:colOff>
      <xdr:row>209</xdr:row>
      <xdr:rowOff>0</xdr:rowOff>
    </xdr:from>
    <xdr:to>
      <xdr:col>16</xdr:col>
      <xdr:colOff>3579256</xdr:colOff>
      <xdr:row>225</xdr:row>
      <xdr:rowOff>152400</xdr:rowOff>
    </xdr:to>
    <xdr:graphicFrame macro="">
      <xdr:nvGraphicFramePr>
        <xdr:cNvPr id="28" name="Chart 27"/>
        <xdr:cNvGraphicFramePr/>
      </xdr:nvGraphicFramePr>
      <xdr:xfrm>
        <a:off x="16764000" y="38572440"/>
        <a:ext cx="6004560" cy="3078480"/>
      </xdr:xfrm>
      <a:graphic>
        <a:graphicData uri="http://schemas.openxmlformats.org/drawingml/2006/chart">
          <c:chart xmlns:c="http://schemas.openxmlformats.org/drawingml/2006/chart" r:id="rId25"/>
        </a:graphicData>
      </a:graphic>
    </xdr:graphicFrame>
    <xdr:clientData/>
  </xdr:twoCellAnchor>
  <xdr:twoCellAnchor>
    <xdr:from>
      <xdr:col>13</xdr:col>
      <xdr:colOff>0</xdr:colOff>
      <xdr:row>228</xdr:row>
      <xdr:rowOff>0</xdr:rowOff>
    </xdr:from>
    <xdr:to>
      <xdr:col>16</xdr:col>
      <xdr:colOff>3579256</xdr:colOff>
      <xdr:row>244</xdr:row>
      <xdr:rowOff>1071</xdr:rowOff>
    </xdr:to>
    <xdr:graphicFrame macro="">
      <xdr:nvGraphicFramePr>
        <xdr:cNvPr id="29" name="Chart 28"/>
        <xdr:cNvGraphicFramePr/>
      </xdr:nvGraphicFramePr>
      <xdr:xfrm>
        <a:off x="16764000" y="42047160"/>
        <a:ext cx="6004560" cy="2926080"/>
      </xdr:xfrm>
      <a:graphic>
        <a:graphicData uri="http://schemas.openxmlformats.org/drawingml/2006/chart">
          <c:chart xmlns:c="http://schemas.openxmlformats.org/drawingml/2006/chart" r:id="rId26"/>
        </a:graphicData>
      </a:graphic>
    </xdr:graphicFrame>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361950</xdr:colOff>
      <xdr:row>19</xdr:row>
      <xdr:rowOff>18144</xdr:rowOff>
    </xdr:from>
    <xdr:to>
      <xdr:col>4</xdr:col>
      <xdr:colOff>408215</xdr:colOff>
      <xdr:row>20</xdr:row>
      <xdr:rowOff>19050</xdr:rowOff>
    </xdr:to>
    <xdr:cxnSp macro="">
      <xdr:nvCxnSpPr>
        <xdr:cNvPr id="2" name="Straight Arrow Connector 1"/>
        <xdr:cNvCxnSpPr/>
      </xdr:nvCxnSpPr>
      <xdr:spPr>
        <a:xfrm flipV="1">
          <a:off x="24384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19</xdr:row>
      <xdr:rowOff>18144</xdr:rowOff>
    </xdr:from>
    <xdr:to>
      <xdr:col>9</xdr:col>
      <xdr:colOff>408215</xdr:colOff>
      <xdr:row>20</xdr:row>
      <xdr:rowOff>19050</xdr:rowOff>
    </xdr:to>
    <xdr:cxnSp macro="">
      <xdr:nvCxnSpPr>
        <xdr:cNvPr id="3" name="Straight Arrow Connector 2"/>
        <xdr:cNvCxnSpPr/>
      </xdr:nvCxnSpPr>
      <xdr:spPr>
        <a:xfrm flipV="1">
          <a:off x="521970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361950</xdr:colOff>
      <xdr:row>19</xdr:row>
      <xdr:rowOff>18144</xdr:rowOff>
    </xdr:from>
    <xdr:to>
      <xdr:col>14</xdr:col>
      <xdr:colOff>408215</xdr:colOff>
      <xdr:row>20</xdr:row>
      <xdr:rowOff>19050</xdr:rowOff>
    </xdr:to>
    <xdr:cxnSp macro="">
      <xdr:nvCxnSpPr>
        <xdr:cNvPr id="4" name="Straight Arrow Connector 3"/>
        <xdr:cNvCxnSpPr/>
      </xdr:nvCxnSpPr>
      <xdr:spPr>
        <a:xfrm flipV="1">
          <a:off x="856488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19</xdr:row>
      <xdr:rowOff>18144</xdr:rowOff>
    </xdr:from>
    <xdr:to>
      <xdr:col>19</xdr:col>
      <xdr:colOff>408215</xdr:colOff>
      <xdr:row>20</xdr:row>
      <xdr:rowOff>19050</xdr:rowOff>
    </xdr:to>
    <xdr:cxnSp macro="">
      <xdr:nvCxnSpPr>
        <xdr:cNvPr id="5" name="Straight Arrow Connector 4"/>
        <xdr:cNvCxnSpPr/>
      </xdr:nvCxnSpPr>
      <xdr:spPr>
        <a:xfrm flipV="1">
          <a:off x="11559540" y="4213860"/>
          <a:ext cx="45720" cy="190500"/>
        </a:xfrm>
        <a:prstGeom prst="straightConnector1"/>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8</xdr:col>
      <xdr:colOff>0</xdr:colOff>
      <xdr:row>1</xdr:row>
      <xdr:rowOff>0</xdr:rowOff>
    </xdr:from>
    <xdr:ext cx="7193280" cy="6758940"/>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876800" y="182880"/>
          <a:ext cx="7193280" cy="6758940"/>
        </a:xfrm>
        <a:prstGeom prst="rect"/>
        <a:ln>
          <a:noFill/>
        </a:ln>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82550</xdr:colOff>
      <xdr:row>45</xdr:row>
      <xdr:rowOff>31750</xdr:rowOff>
    </xdr:from>
    <xdr:to>
      <xdr:col>6</xdr:col>
      <xdr:colOff>677956</xdr:colOff>
      <xdr:row>65</xdr:row>
      <xdr:rowOff>31003</xdr:rowOff>
    </xdr:to>
    <xdr:pic>
      <xdr:nvPicPr>
        <xdr:cNvPr id="3" name="Picture 2" descr="image00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665720" y="8260080"/>
          <a:ext cx="5638800" cy="420624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9</xdr:col>
      <xdr:colOff>342900</xdr:colOff>
      <xdr:row>4</xdr:row>
      <xdr:rowOff>121920</xdr:rowOff>
    </xdr:from>
    <xdr:ext cx="6202680" cy="3276600"/>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696200" y="967740"/>
          <a:ext cx="6202680" cy="3276600"/>
        </a:xfrm>
        <a:prstGeom prst="rect"/>
        <a:solidFill>
          <a:srgbClr val="EDEDED"/>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a:extLst/>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7167860"/>
          <a:ext cx="2362200" cy="502920"/>
        </a:xfrm>
        <a:prstGeom prst="rect"/>
        <a:noFill/>
        <a:ln w="9525">
          <a:noFill/>
        </a:ln>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60960</xdr:colOff>
      <xdr:row>0</xdr:row>
      <xdr:rowOff>22860</xdr:rowOff>
    </xdr:from>
    <xdr:ext cx="2880360" cy="731520"/>
    <xdr:pic>
      <xdr:nvPicPr>
        <xdr:cNvPr id="2" name="Picture 1" descr="large full EIA logo"/>
        <xdr:cNvPicPr>
          <a:picLocks noChangeAspect="1"/>
        </xdr:cNvPicPr>
      </xdr:nvPicPr>
      <xdr:blipFill>
        <a:blip r:embed="rId1"/>
        <a:stretch>
          <a:fillRect/>
        </a:stretch>
      </xdr:blipFill>
      <xdr:spPr bwMode="auto">
        <a:xfrm>
          <a:off x="60960" y="22860"/>
          <a:ext cx="2880360" cy="731520"/>
        </a:xfrm>
        <a:prstGeom prst="rect"/>
        <a:noFill/>
        <a:ln w="9525">
          <a:noFill/>
        </a:ln>
      </xdr:spPr>
    </xdr:pic>
    <xdr:clientData/>
  </xdr:oneCellAnchor>
  <xdr:oneCellAnchor>
    <xdr:from>
      <xdr:col>0</xdr:col>
      <xdr:colOff>0</xdr:colOff>
      <xdr:row>27</xdr:row>
      <xdr:rowOff>91440</xdr:rowOff>
    </xdr:from>
    <xdr:ext cx="2689860" cy="548640"/>
    <xdr:pic>
      <xdr:nvPicPr>
        <xdr:cNvPr id="3" name="Picture 2" descr="large full EIA logo"/>
        <xdr:cNvPicPr>
          <a:picLocks noChangeAspect="1"/>
        </xdr:cNvPicPr>
      </xdr:nvPicPr>
      <xdr:blipFill>
        <a:blip r:embed="rId1"/>
        <a:stretch>
          <a:fillRect/>
        </a:stretch>
      </xdr:blipFill>
      <xdr:spPr bwMode="auto">
        <a:xfrm>
          <a:off x="0" y="6050280"/>
          <a:ext cx="2689860" cy="548640"/>
        </a:xfrm>
        <a:prstGeom prst="rect"/>
        <a:noFill/>
        <a:ln w="9525">
          <a:noFill/>
        </a:ln>
      </xdr:spPr>
    </xdr:pic>
    <xdr:clientData/>
  </xdr:oneCellAnchor>
  <xdr:oneCellAnchor>
    <xdr:from>
      <xdr:col>0</xdr:col>
      <xdr:colOff>0</xdr:colOff>
      <xdr:row>52</xdr:row>
      <xdr:rowOff>0</xdr:rowOff>
    </xdr:from>
    <xdr:ext cx="2461260" cy="784860"/>
    <xdr:pic>
      <xdr:nvPicPr>
        <xdr:cNvPr id="4" name="Picture 3" descr="large full EIA logo"/>
        <xdr:cNvPicPr>
          <a:picLocks noChangeAspect="1"/>
        </xdr:cNvPicPr>
      </xdr:nvPicPr>
      <xdr:blipFill>
        <a:blip r:embed="rId1"/>
        <a:stretch>
          <a:fillRect/>
        </a:stretch>
      </xdr:blipFill>
      <xdr:spPr bwMode="auto">
        <a:xfrm>
          <a:off x="0" y="11643360"/>
          <a:ext cx="2461260" cy="784860"/>
        </a:xfrm>
        <a:prstGeom prst="rect"/>
        <a:noFill/>
        <a:ln w="9525">
          <a:noFill/>
        </a:ln>
      </xdr:spPr>
    </xdr:pic>
    <xdr:clientData/>
  </xdr:oneCellAnchor>
  <xdr:oneCellAnchor>
    <xdr:from>
      <xdr:col>0</xdr:col>
      <xdr:colOff>0</xdr:colOff>
      <xdr:row>74</xdr:row>
      <xdr:rowOff>0</xdr:rowOff>
    </xdr:from>
    <xdr:ext cx="2362200" cy="502920"/>
    <xdr:pic>
      <xdr:nvPicPr>
        <xdr:cNvPr id="5" name="Picture 4" descr="large full EIA logo"/>
        <xdr:cNvPicPr>
          <a:picLocks noChangeAspect="1"/>
        </xdr:cNvPicPr>
      </xdr:nvPicPr>
      <xdr:blipFill>
        <a:blip r:embed="rId1"/>
        <a:stretch>
          <a:fillRect/>
        </a:stretch>
      </xdr:blipFill>
      <xdr:spPr bwMode="auto">
        <a:xfrm>
          <a:off x="0" y="16977360"/>
          <a:ext cx="2362200" cy="502920"/>
        </a:xfrm>
        <a:prstGeom prst="rect"/>
        <a:noFill/>
        <a:ln w="9525">
          <a:noFill/>
        </a:ln>
      </xdr:spPr>
    </xdr:pic>
    <xdr:clientData/>
  </xdr:one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Users\erics_000\Desktop\SMEPA%202015\Goal%20and%20budget%20Forecast%20Tool%20SMEPA%20Master%20v18%20Markup%20(5).xlsm"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erics_000\AppData\Local\Microsoft\Windows\INetCache\Content.Outlook\S38HGN26\Goal%20and%20budget%20Forecast%20Tool%20SMEPA%20Master%20v18%20Markup%20Lighting%20Custom.xlsm"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Users\erics_000\Desktop\Goal%20and%20budget%20Forecast%20Tool%20SMEPA%20Master%20v18%20Markup.xlsm"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Read Me"/>
      <sheetName val="Instructions"/>
      <sheetName val="Savings Tables"/>
      <sheetName val="Spending Tables"/>
      <sheetName val="Save Spend Summary"/>
      <sheetName val="EIA-861 Forms"/>
      <sheetName val="Coahoma"/>
      <sheetName val="Coast"/>
      <sheetName val="Delta"/>
      <sheetName val="Dixie"/>
      <sheetName val="Magnolia"/>
      <sheetName val="Pearl River Valley"/>
      <sheetName val="Singing River"/>
      <sheetName val="Southern Pine"/>
      <sheetName val="Southwest"/>
      <sheetName val="Twin County"/>
      <sheetName val="Yazoo Valley"/>
      <sheetName val="SMEPA Total Gap Analysis"/>
      <sheetName val="Percentages and Costs"/>
      <sheetName val="Average Annual Customer Usage"/>
      <sheetName val="mWh by member and class"/>
      <sheetName val="meters by member and class"/>
      <sheetName val="Members"/>
      <sheetName val="Forecast Planning Tool"/>
      <sheetName val="&gt;&gt;&gt; Rule 29 Submittal &gt;&gt;&gt;"/>
      <sheetName val="2013 EIA Table 5a"/>
      <sheetName val="NTG"/>
      <sheetName val="Tables"/>
      <sheetName val="SMEPA Avoided Cost"/>
      <sheetName val="Custom Measures"/>
      <sheetName val="Coahoma 2014"/>
      <sheetName val="Coast 2014"/>
      <sheetName val="Delta 2014"/>
      <sheetName val="Dixie 2014"/>
      <sheetName val="Magnolia 2014"/>
      <sheetName val="Pearl River 2014"/>
      <sheetName val="Singing River 2014"/>
      <sheetName val="Southern Pine 2014"/>
      <sheetName val="Southern Pine Notes"/>
      <sheetName val="Southwest Mississippi 2014"/>
      <sheetName val="Twin County 2014"/>
      <sheetName val="Yazoo Valley 2014"/>
      <sheetName val="&gt;&gt;&gt; Savings Analysis &gt;&gt;&gt;"/>
      <sheetName val="Nest Thermostat"/>
      <sheetName val="Residential PrePay Metering"/>
      <sheetName val="Custom Streetlighting Analysis"/>
      <sheetName val="13W CFL Direct Install Savings"/>
      <sheetName val="13W CFL Giveaway Savings"/>
      <sheetName val="ASHP Deemed Savings"/>
      <sheetName val="GSHP Deemed Savings"/>
      <sheetName val="COM HP Savings"/>
      <sheetName val="Custom C&amp;I EUI"/>
      <sheetName val="Comfort Advantage Savings"/>
      <sheetName val="Pilot Program Savings"/>
      <sheetName val="Residential Retrofit Database"/>
      <sheetName val="Performance Testing Database"/>
      <sheetName val="Air Infiltration Deemed Savings"/>
      <sheetName val="Coastal Home 1 FAF Base"/>
      <sheetName val="Coastal Home 2 HP Base"/>
      <sheetName val="Delta Home 1 HP Base"/>
      <sheetName val="GDS Results"/>
      <sheetName val="GDS Definitions"/>
      <sheetName val="GDS Notes"/>
      <sheetName val="GDS Cost Moc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0.03</v>
          </cell>
        </row>
        <row r="6">
          <cell r="B6">
            <v>0.05</v>
          </cell>
        </row>
        <row r="8">
          <cell r="B8">
            <v>10</v>
          </cell>
        </row>
      </sheetData>
      <sheetData sheetId="19"/>
      <sheetData sheetId="20"/>
      <sheetData sheetId="21"/>
      <sheetData sheetId="22"/>
      <sheetData sheetId="23"/>
      <sheetData sheetId="24"/>
      <sheetData sheetId="25"/>
      <sheetData sheetId="26"/>
      <sheetData sheetId="27">
        <row r="1">
          <cell r="A1" t="str">
            <v>2014 Reported</v>
          </cell>
        </row>
        <row r="2">
          <cell r="A2" t="str">
            <v>Forecast</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ad Me"/>
      <sheetName val="Instructions"/>
      <sheetName val="Savings Tables"/>
      <sheetName val="Spending Tables"/>
      <sheetName val="Save Spend Summary"/>
      <sheetName val="EIA-861 Forms"/>
      <sheetName val="Coahoma"/>
      <sheetName val="Coast"/>
      <sheetName val="Delta"/>
      <sheetName val="Dixie"/>
      <sheetName val="Magnolia"/>
      <sheetName val="Pearl River Valley"/>
      <sheetName val="Singing River"/>
      <sheetName val="Southern Pine"/>
      <sheetName val="Southwest"/>
      <sheetName val="Twin County"/>
      <sheetName val="Yazoo Valley"/>
      <sheetName val="SMEPA Total Gap Analysis"/>
      <sheetName val="Percentages and Costs"/>
      <sheetName val="Average Annual Customer Usage"/>
      <sheetName val="mWh by member and class"/>
      <sheetName val="meters by member and class"/>
      <sheetName val="Members"/>
      <sheetName val="Forecast Planning Tool"/>
      <sheetName val="&gt;&gt;&gt; Rule 29 Submittal &gt;&gt;&gt;"/>
      <sheetName val="2013 EIA Table 5a"/>
      <sheetName val="NTG"/>
      <sheetName val="Tables"/>
      <sheetName val="SMEPA Avoided Cost"/>
      <sheetName val="Custom Measures"/>
      <sheetName val="9W LED Direct Install Savings"/>
      <sheetName val="13W CFL Direct Install Savings"/>
      <sheetName val="Coahoma 2014"/>
      <sheetName val="Coast 2014"/>
      <sheetName val="Delta 2014"/>
      <sheetName val="Dixie 2014"/>
      <sheetName val="Magnolia 2014"/>
      <sheetName val="Pearl River 2014"/>
      <sheetName val="Singing River 2014"/>
      <sheetName val="Southern Pine 2014"/>
      <sheetName val="Southern Pine Notes"/>
      <sheetName val="Southwest Mississippi 2014"/>
      <sheetName val="Twin County 2014"/>
      <sheetName val="Yazoo Valley 2014"/>
      <sheetName val="&gt;&gt;&gt; Savings Analysis &gt;&gt;&gt;"/>
      <sheetName val="Nest Thermostat"/>
      <sheetName val="Residential PrePay Metering"/>
      <sheetName val="Custom Streetlighting Analysis"/>
      <sheetName val="13W CFL Giveaway Savings"/>
      <sheetName val="ASHP Deemed Savings"/>
      <sheetName val="GSHP Deemed Savings"/>
      <sheetName val="COM HP Savings"/>
      <sheetName val="Custom C&amp;I EUI"/>
      <sheetName val="Comfort Advantage Savings"/>
      <sheetName val="Pilot Program Savings"/>
      <sheetName val="Residential Retrofit Database"/>
      <sheetName val="Performance Testing Database"/>
      <sheetName val="Air Infiltration Deemed Savings"/>
      <sheetName val="Coastal Home 1 FAF Base"/>
      <sheetName val="Coastal Home 2 HP Base"/>
      <sheetName val="Delta Home 1 HP Base"/>
      <sheetName val="GDS Results"/>
      <sheetName val="GDS Definitions"/>
      <sheetName val="GDS Notes"/>
      <sheetName val="GDS Cost Moc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0.03</v>
          </cell>
        </row>
        <row r="6">
          <cell r="B6">
            <v>0.05</v>
          </cell>
        </row>
        <row r="8">
          <cell r="B8">
            <v>10</v>
          </cell>
        </row>
      </sheetData>
      <sheetData sheetId="19"/>
      <sheetData sheetId="20"/>
      <sheetData sheetId="21"/>
      <sheetData sheetId="22"/>
      <sheetData sheetId="23"/>
      <sheetData sheetId="24"/>
      <sheetData sheetId="25"/>
      <sheetData sheetId="26"/>
      <sheetData sheetId="27">
        <row r="1">
          <cell r="A1" t="str">
            <v>2014 Reported</v>
          </cell>
        </row>
        <row r="2">
          <cell r="A2" t="str">
            <v>Forecast</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Forecast Planning Tool"/>
      <sheetName val="Savings Tables"/>
      <sheetName val="Spending Tables"/>
      <sheetName val="Save Spend Summary"/>
      <sheetName val="EIA-861 Forms"/>
      <sheetName val="Coahoma"/>
      <sheetName val="Coast"/>
      <sheetName val="Delta"/>
      <sheetName val="Dixie"/>
      <sheetName val="Magnolia"/>
      <sheetName val="Pearl River Valley"/>
      <sheetName val="Singing River"/>
      <sheetName val="Southern Pine"/>
      <sheetName val="Southwest"/>
      <sheetName val="Twin County"/>
      <sheetName val="Yazoo Valley"/>
      <sheetName val="SMEPA Total Gap Analysis"/>
      <sheetName val="Percentages and Costs"/>
      <sheetName val="Average Annual Customer Usage"/>
      <sheetName val="mWh by member and class"/>
      <sheetName val="meters by member and class"/>
      <sheetName val="Members"/>
      <sheetName val="&gt;&gt;&gt; Rule 29 Submittal &gt;&gt;&gt;"/>
      <sheetName val="2013 EIA Table 5a"/>
      <sheetName val="NTG"/>
      <sheetName val="Tables"/>
      <sheetName val="SMEPA Avoided Cost"/>
      <sheetName val="Custom Measures"/>
      <sheetName val="Coahoma 2014"/>
      <sheetName val="Coast 2014"/>
      <sheetName val="Delta 2014"/>
      <sheetName val="Dixie 2014"/>
      <sheetName val="Magnolia 2014"/>
      <sheetName val="Pearl River 2014"/>
      <sheetName val="Singing River 2014"/>
      <sheetName val="Southern Pine 2014"/>
      <sheetName val="Southern Pine Notes"/>
      <sheetName val="Southwest Mississippi 2014"/>
      <sheetName val="Twin County 2014"/>
      <sheetName val="Yazoo Valley 2014"/>
      <sheetName val="Nest Thermostat"/>
      <sheetName val="Residential PrePay Metering"/>
      <sheetName val="Custom Streetlighting Analysis"/>
      <sheetName val="13W CFL Direct Install Savings"/>
      <sheetName val="13W CFL Giveaway Savings"/>
      <sheetName val="ASHP Deemed Savings"/>
      <sheetName val="GSHP Deemed Savings"/>
      <sheetName val="COM HP Savings"/>
      <sheetName val="Custom C&amp;I EUI"/>
      <sheetName val="Comfort Advantage Savings"/>
      <sheetName val="Pilot Program Savings"/>
      <sheetName val="Residential Retrofit Database"/>
      <sheetName val="Performance Testing Database"/>
      <sheetName val="Air Infiltration Deemed Savings"/>
      <sheetName val="Coastal Home 1 FAF Base"/>
      <sheetName val="Coastal Home 2 HP Base"/>
      <sheetName val="Delta Home 1 HP Base"/>
      <sheetName val="GDS Results"/>
      <sheetName val="GDS Definitions"/>
      <sheetName val="GDS Notes"/>
      <sheetName val="GDS Cost Mock Up"/>
      <sheetName val="Read 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0.03</v>
          </cell>
        </row>
        <row r="6">
          <cell r="B6">
            <v>0.05</v>
          </cell>
        </row>
        <row r="8">
          <cell r="B8">
            <v>10</v>
          </cell>
        </row>
      </sheetData>
      <sheetData sheetId="19"/>
      <sheetData sheetId="20"/>
      <sheetData sheetId="21"/>
      <sheetData sheetId="22"/>
      <sheetData sheetId="23"/>
      <sheetData sheetId="24"/>
      <sheetData sheetId="25"/>
      <sheetData sheetId="26">
        <row r="1">
          <cell r="A1" t="str">
            <v>2014 Reported</v>
          </cell>
        </row>
        <row r="2">
          <cell r="A2" t="str">
            <v>Forecast</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vmlDrawing" Target="../drawings/vmlDrawing1.v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vmlDrawing" Target="../drawings/vmlDrawing5.vml" /><Relationship Id="rId2" Type="http://schemas.openxmlformats.org/officeDocument/2006/relationships/printerSettings" Target="../printerSettings/printerSettings8.bin" /></Relationships>
</file>

<file path=xl/worksheets/_rels/sheet11.xml.rels><?xml version="1.0" encoding="UTF-8" standalone="yes"?><Relationships xmlns="http://schemas.openxmlformats.org/package/2006/relationships"><Relationship Id="rId1" Type="http://schemas.openxmlformats.org/officeDocument/2006/relationships/vmlDrawing" Target="../drawings/vmlDrawing6.vml" /><Relationship Id="rId2" Type="http://schemas.openxmlformats.org/officeDocument/2006/relationships/printerSettings" Target="../printerSettings/printerSettings9.bin" /></Relationships>
</file>

<file path=xl/worksheets/_rels/sheet12.xml.rels><?xml version="1.0" encoding="UTF-8" standalone="yes"?><Relationships xmlns="http://schemas.openxmlformats.org/package/2006/relationships"><Relationship Id="rId1" Type="http://schemas.openxmlformats.org/officeDocument/2006/relationships/vmlDrawing" Target="../drawings/vmlDrawing7.vml" /><Relationship Id="rId2" Type="http://schemas.openxmlformats.org/officeDocument/2006/relationships/printerSettings" Target="../printerSettings/printerSettings10.bin" /></Relationships>
</file>

<file path=xl/worksheets/_rels/sheet13.xml.rels><?xml version="1.0" encoding="UTF-8" standalone="yes"?><Relationships xmlns="http://schemas.openxmlformats.org/package/2006/relationships"><Relationship Id="rId1" Type="http://schemas.openxmlformats.org/officeDocument/2006/relationships/vmlDrawing" Target="../drawings/vmlDrawing8.vml" /><Relationship Id="rId2" Type="http://schemas.openxmlformats.org/officeDocument/2006/relationships/printerSettings" Target="../printerSettings/printerSettings11.bin" /></Relationships>
</file>

<file path=xl/worksheets/_rels/sheet14.xml.rels><?xml version="1.0" encoding="UTF-8" standalone="yes"?><Relationships xmlns="http://schemas.openxmlformats.org/package/2006/relationships"><Relationship Id="rId1" Type="http://schemas.openxmlformats.org/officeDocument/2006/relationships/vmlDrawing" Target="../drawings/vmlDrawing9.vml" /><Relationship Id="rId2" Type="http://schemas.openxmlformats.org/officeDocument/2006/relationships/printerSettings" Target="../printerSettings/printerSettings12.bin" /></Relationships>
</file>

<file path=xl/worksheets/_rels/sheet15.xml.rels><?xml version="1.0" encoding="UTF-8" standalone="yes"?><Relationships xmlns="http://schemas.openxmlformats.org/package/2006/relationships"><Relationship Id="rId1" Type="http://schemas.openxmlformats.org/officeDocument/2006/relationships/vmlDrawing" Target="../drawings/vmlDrawing10.vml" /><Relationship Id="rId2" Type="http://schemas.openxmlformats.org/officeDocument/2006/relationships/printerSettings" Target="../printerSettings/printerSettings13.bin" /></Relationships>
</file>

<file path=xl/worksheets/_rels/sheet16.xml.rels><?xml version="1.0" encoding="UTF-8" standalone="yes"?><Relationships xmlns="http://schemas.openxmlformats.org/package/2006/relationships"><Relationship Id="rId1" Type="http://schemas.openxmlformats.org/officeDocument/2006/relationships/vmlDrawing" Target="../drawings/vmlDrawing11.vml" /><Relationship Id="rId2" Type="http://schemas.openxmlformats.org/officeDocument/2006/relationships/printerSettings" Target="../printerSettings/printerSettings14.bin" /></Relationships>
</file>

<file path=xl/worksheets/_rels/sheet17.xml.rels><?xml version="1.0" encoding="UTF-8" standalone="yes"?><Relationships xmlns="http://schemas.openxmlformats.org/package/2006/relationships"><Relationship Id="rId1" Type="http://schemas.openxmlformats.org/officeDocument/2006/relationships/vmlDrawing" Target="../drawings/vmlDrawing12.vml" /><Relationship Id="rId2" Type="http://schemas.openxmlformats.org/officeDocument/2006/relationships/printerSettings" Target="../printerSettings/printerSettings15.bin" /></Relationships>
</file>

<file path=xl/worksheets/_rels/sheet18.xml.rels><?xml version="1.0" encoding="UTF-8" standalone="yes"?><Relationships xmlns="http://schemas.openxmlformats.org/package/2006/relationships"><Relationship Id="rId1" Type="http://schemas.openxmlformats.org/officeDocument/2006/relationships/vmlDrawing" Target="../drawings/vmlDrawing13.vml" /><Relationship Id="rId2" Type="http://schemas.openxmlformats.org/officeDocument/2006/relationships/printerSettings" Target="../printerSettings/printerSettings16.bin" /></Relationships>
</file>

<file path=xl/worksheets/_rels/sheet19.xml.rels><?xml version="1.0" encoding="UTF-8" standalone="yes"?><Relationships xmlns="http://schemas.openxmlformats.org/package/2006/relationships"><Relationship Id="rId1" Type="http://schemas.openxmlformats.org/officeDocument/2006/relationships/vmlDrawing" Target="../drawings/vmlDrawing14.vml" /><Relationship Id="rId2" Type="http://schemas.openxmlformats.org/officeDocument/2006/relationships/printerSettings" Target="../printerSettings/printerSettings17.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vmlDrawing" Target="../drawings/vmlDrawing2.vml" /><Relationship Id="rId3"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vmlDrawing" Target="../drawings/vmlDrawing15.vml" /><Relationship Id="rId2" Type="http://schemas.openxmlformats.org/officeDocument/2006/relationships/printerSettings" Target="../printerSettings/printerSettings18.bin" /></Relationships>
</file>

<file path=xl/worksheets/_rels/sheet22.xml.rels><?xml version="1.0" encoding="UTF-8" standalone="yes"?><Relationships xmlns="http://schemas.openxmlformats.org/package/2006/relationships"><Relationship Id="rId1" Type="http://schemas.openxmlformats.org/officeDocument/2006/relationships/vmlDrawing" Target="../drawings/vmlDrawing16.vml" /><Relationship Id="rId2" Type="http://schemas.openxmlformats.org/officeDocument/2006/relationships/printerSettings" Target="../printerSettings/printerSettings19.bin" /></Relationships>
</file>

<file path=xl/worksheets/_rels/sheet23.xml.rels><?xml version="1.0" encoding="UTF-8" standalone="yes"?><Relationships xmlns="http://schemas.openxmlformats.org/package/2006/relationships"><Relationship Id="rId1" Type="http://schemas.openxmlformats.org/officeDocument/2006/relationships/vmlDrawing" Target="../drawings/vmlDrawing17.vml" /><Relationship Id="rId2" Type="http://schemas.openxmlformats.org/officeDocument/2006/relationships/printerSettings" Target="../printerSettings/printerSettings20.bin" /></Relationships>
</file>

<file path=xl/worksheets/_rels/sheet24.xml.rels><?xml version="1.0" encoding="UTF-8" standalone="yes"?><Relationships xmlns="http://schemas.openxmlformats.org/package/2006/relationships"><Relationship Id="rId1" Type="http://schemas.openxmlformats.org/officeDocument/2006/relationships/vmlDrawing" Target="../drawings/vmlDrawing18.vml" /><Relationship Id="rId2" Type="http://schemas.openxmlformats.org/officeDocument/2006/relationships/printerSettings" Target="../printerSettings/printerSettings21.bin" /></Relationships>
</file>

<file path=xl/worksheets/_rels/sheet25.xml.rels><?xml version="1.0" encoding="UTF-8" standalone="yes"?><Relationships xmlns="http://schemas.openxmlformats.org/package/2006/relationships"><Relationship Id="rId1" Type="http://schemas.openxmlformats.org/officeDocument/2006/relationships/vmlDrawing" Target="../drawings/vmlDrawing19.vml" /></Relationships>
</file>

<file path=xl/worksheets/_rels/sheet26.xml.rels><?xml version="1.0" encoding="UTF-8" standalone="yes"?><Relationships xmlns="http://schemas.openxmlformats.org/package/2006/relationships"><Relationship Id="rId1" Type="http://schemas.openxmlformats.org/officeDocument/2006/relationships/vmlDrawing" Target="../drawings/vmlDrawing20.vml" /><Relationship Id="rId2" Type="http://schemas.openxmlformats.org/officeDocument/2006/relationships/printerSettings" Target="../printerSettings/printerSettings22.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vmlDrawing" Target="../drawings/vmlDrawing3.vml" /><Relationship Id="rId3"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vmlDrawing" Target="../drawings/vmlDrawing21.vml" /><Relationship Id="rId2" Type="http://schemas.openxmlformats.org/officeDocument/2006/relationships/printerSettings" Target="../printerSettings/printerSettings25.bin"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vmlDrawing" Target="../drawings/vmlDrawing22.vml" /><Relationship Id="rId3" Type="http://schemas.openxmlformats.org/officeDocument/2006/relationships/printerSettings" Target="../printerSettings/printerSettings26.bin" /></Relationships>
</file>

<file path=xl/worksheets/_rels/sheet33.xml.rels><?xml version="1.0" encoding="UTF-8" standalone="yes"?><Relationships xmlns="http://schemas.openxmlformats.org/package/2006/relationships"><Relationship Id="rId1" Type="http://schemas.openxmlformats.org/officeDocument/2006/relationships/vmlDrawing" Target="../drawings/vmlDrawing23.vml" /><Relationship Id="rId2" Type="http://schemas.openxmlformats.org/officeDocument/2006/relationships/printerSettings" Target="../printerSettings/printerSettings27.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vmlDrawing" Target="../drawings/vmlDrawing24.vml" /><Relationship Id="rId3" Type="http://schemas.openxmlformats.org/officeDocument/2006/relationships/printerSettings" Target="../printerSettings/printerSettings28.bin"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43.xml.rels><?xml version="1.0" encoding="UTF-8" standalone="yes"?><Relationships xmlns="http://schemas.openxmlformats.org/package/2006/relationships"><Relationship Id="rId1" Type="http://schemas.openxmlformats.org/officeDocument/2006/relationships/vmlDrawing" Target="../drawings/vmlDrawing25.vml" /><Relationship Id="rId2" Type="http://schemas.openxmlformats.org/officeDocument/2006/relationships/printerSettings" Target="../printerSettings/printerSettings30.bin" /></Relationships>
</file>

<file path=xl/worksheets/_rels/sheet44.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45.xml.rels><?xml version="1.0" encoding="UTF-8" standalone="yes"?><Relationships xmlns="http://schemas.openxmlformats.org/package/2006/relationships"><Relationship Id="rId1" Type="http://schemas.openxmlformats.org/officeDocument/2006/relationships/vmlDrawing" Target="../drawings/vmlDrawing26.vml" /></Relationships>
</file>

<file path=xl/worksheets/_rels/sheet46.xml.rels><?xml version="1.0" encoding="UTF-8" standalone="yes"?><Relationships xmlns="http://schemas.openxmlformats.org/package/2006/relationships"><Relationship Id="rId1" Type="http://schemas.openxmlformats.org/officeDocument/2006/relationships/vmlDrawing" Target="../drawings/vmlDrawing27.vml" /><Relationship Id="rId2" Type="http://schemas.openxmlformats.org/officeDocument/2006/relationships/printerSettings" Target="../printerSettings/printerSettings32.bin" /></Relationships>
</file>

<file path=xl/worksheets/_rels/sheet47.xml.rels><?xml version="1.0" encoding="UTF-8" standalone="yes"?><Relationships xmlns="http://schemas.openxmlformats.org/package/2006/relationships"><Relationship Id="rId1" Type="http://schemas.openxmlformats.org/officeDocument/2006/relationships/vmlDrawing" Target="../drawings/vmlDrawing28.vml" /></Relationships>
</file>

<file path=xl/worksheets/_rels/sheet49.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5.xml.rels><?xml version="1.0" encoding="UTF-8" standalone="yes"?><Relationships xmlns="http://schemas.openxmlformats.org/package/2006/relationships"><Relationship Id="rId1" Type="http://schemas.openxmlformats.org/officeDocument/2006/relationships/vmlDrawing" Target="../drawings/vmlDrawing4.vml" /><Relationship Id="rId2" Type="http://schemas.openxmlformats.org/officeDocument/2006/relationships/printerSettings" Target="../printerSettings/printerSettings5.bin" /></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34.bin" /></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35.bin" /></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36.bin" /></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8.xml" /><Relationship Id="rId2" Type="http://schemas.openxmlformats.org/officeDocument/2006/relationships/printerSettings" Target="../printerSettings/printerSettings37.bin" /></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38.bin" /></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10.xml" /><Relationship Id="rId2" Type="http://schemas.openxmlformats.org/officeDocument/2006/relationships/printerSettings" Target="../printerSettings/printerSettings39.bin" /></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40.bin" /></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12.xml" /><Relationship Id="rId2" Type="http://schemas.openxmlformats.org/officeDocument/2006/relationships/printerSettings" Target="../printerSettings/printerSettings41.bin" /></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42.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14.xml" /><Relationship Id="rId2" Type="http://schemas.openxmlformats.org/officeDocument/2006/relationships/printerSettings" Target="../printerSettings/printerSettings43.bin" /></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44.bin" /></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16.xml" /><Relationship Id="rId2" Type="http://schemas.openxmlformats.org/officeDocument/2006/relationships/printerSettings" Target="../printerSettings/printerSettings45.bin" /></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46.bin" /></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47.bin" /></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48.bin" /></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20.xml" /><Relationship Id="rId2" Type="http://schemas.openxmlformats.org/officeDocument/2006/relationships/printerSettings" Target="../printerSettings/printerSettings49.bin" /></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50.bin" /></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51.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52.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53.bin" /></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2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tint="0.59999"/>
  </sheetPr>
  <dimension ref="A1:G45"/>
  <sheetViews>
    <sheetView zoomScale="85" zoomScaleNormal="85" workbookViewId="0" topLeftCell="A1"/>
  </sheetViews>
  <sheetFormatPr defaultColWidth="8.88888888888889" defaultRowHeight="14.4"/>
  <cols>
    <col min="1" max="1" width="8.88888888888889" customWidth="1"/>
    <col min="2" max="2" width="80.7777777777778" customWidth="1"/>
    <col min="3" max="3" width="142.777777777778" bestFit="1" customWidth="1"/>
    <col min="4" max="4" width="60.7777777777778" bestFit="1" customWidth="1"/>
    <col min="5" max="5" width="44.7777777777778" bestFit="1" customWidth="1"/>
    <col min="6" max="6" width="28.7777777777778" bestFit="1" customWidth="1"/>
    <col min="7" max="7" width="27.7777777777778" bestFit="1" customWidth="1"/>
  </cols>
  <sheetData>
    <row r="1" s="415" customFormat="1" ht="14.4">
      <c r="A1" s="416" t="s">
        <v>880</v>
      </c>
    </row>
    <row r="2" ht="14.4"/>
    <row r="3" ht="14.4">
      <c r="B3" s="414" t="s">
        <v>879</v>
      </c>
    </row>
    <row r="4" ht="14.4"/>
    <row r="5" spans="2:4" ht="14.55" customHeight="1">
      <c r="B5" s="1612" t="s">
        <v>1621</v>
      </c>
      <c r="C5" s="1612"/>
      <c r="D5" s="1612"/>
    </row>
    <row r="6" spans="2:4" ht="14.4">
      <c r="B6" s="1612"/>
      <c r="C6" s="1612"/>
      <c r="D6" s="1612"/>
    </row>
    <row r="7" spans="2:4" ht="14.4">
      <c r="B7" s="1612"/>
      <c r="C7" s="1612"/>
      <c r="D7" s="1612"/>
    </row>
    <row r="8" spans="2:3" ht="14.4">
      <c r="B8" s="413"/>
      <c r="C8" s="413"/>
    </row>
    <row r="9" ht="14.4">
      <c r="B9" t="s">
        <v>1471</v>
      </c>
    </row>
    <row r="10" ht="14.4"/>
    <row r="11" spans="2:7" ht="14.4">
      <c r="B11" s="363" t="s">
        <v>878</v>
      </c>
      <c r="C11" s="363" t="s">
        <v>868</v>
      </c>
      <c r="D11" s="363" t="s">
        <v>195</v>
      </c>
      <c r="E11" s="363" t="s">
        <v>1168</v>
      </c>
      <c r="F11" s="363" t="s">
        <v>1485</v>
      </c>
      <c r="G11" s="361" t="s">
        <v>1105</v>
      </c>
    </row>
    <row r="12" spans="2:7" ht="14.4">
      <c r="B12" s="519" t="s">
        <v>119</v>
      </c>
      <c r="C12" s="519" t="s">
        <v>1482</v>
      </c>
      <c r="D12" s="519" t="s">
        <v>1478</v>
      </c>
      <c r="E12" s="163" t="s">
        <v>1466</v>
      </c>
      <c r="F12" s="519" t="s">
        <v>1483</v>
      </c>
      <c r="G12" s="520" t="s">
        <v>669</v>
      </c>
    </row>
    <row r="13" spans="2:7" ht="14.4">
      <c r="B13" s="519" t="s">
        <v>89</v>
      </c>
      <c r="C13" s="519" t="s">
        <v>1477</v>
      </c>
      <c r="D13" s="519" t="s">
        <v>1478</v>
      </c>
      <c r="E13" s="163" t="s">
        <v>1466</v>
      </c>
      <c r="F13" s="519" t="s">
        <v>1484</v>
      </c>
      <c r="G13" s="520" t="s">
        <v>668</v>
      </c>
    </row>
    <row r="14" spans="2:7" ht="14.4">
      <c r="B14" s="519" t="s">
        <v>1472</v>
      </c>
      <c r="C14" s="519" t="s">
        <v>1476</v>
      </c>
      <c r="D14" s="519" t="s">
        <v>1478</v>
      </c>
      <c r="E14" s="163" t="s">
        <v>1466</v>
      </c>
      <c r="F14" s="519" t="s">
        <v>1486</v>
      </c>
      <c r="G14" s="520" t="s">
        <v>667</v>
      </c>
    </row>
    <row r="15" spans="2:7" ht="14.4">
      <c r="B15" s="519" t="s">
        <v>84</v>
      </c>
      <c r="C15" s="519" t="s">
        <v>1487</v>
      </c>
      <c r="D15" s="519" t="s">
        <v>1488</v>
      </c>
      <c r="E15" s="163" t="s">
        <v>1466</v>
      </c>
      <c r="F15" s="519" t="s">
        <v>1489</v>
      </c>
      <c r="G15" s="520">
        <v>414</v>
      </c>
    </row>
    <row r="16" spans="2:7" ht="14.4">
      <c r="B16" s="163" t="s">
        <v>877</v>
      </c>
      <c r="C16" s="163" t="s">
        <v>876</v>
      </c>
      <c r="D16" s="163" t="s">
        <v>875</v>
      </c>
      <c r="E16" s="163" t="s">
        <v>1466</v>
      </c>
      <c r="F16" s="163" t="s">
        <v>1468</v>
      </c>
      <c r="G16" s="518">
        <v>1029.7905780788428</v>
      </c>
    </row>
    <row r="17" spans="2:7" ht="14.4">
      <c r="B17" s="163" t="s">
        <v>262</v>
      </c>
      <c r="C17" s="163" t="s">
        <v>1469</v>
      </c>
      <c r="D17" s="163" t="s">
        <v>1463</v>
      </c>
      <c r="E17" s="163" t="s">
        <v>1466</v>
      </c>
      <c r="F17" s="163" t="s">
        <v>1470</v>
      </c>
      <c r="G17" s="518">
        <v>20</v>
      </c>
    </row>
    <row r="18" spans="2:7" ht="14.4">
      <c r="B18" s="163" t="s">
        <v>874</v>
      </c>
      <c r="C18" s="163" t="s">
        <v>873</v>
      </c>
      <c r="D18" s="163" t="s">
        <v>870</v>
      </c>
      <c r="E18" s="163" t="s">
        <v>1466</v>
      </c>
      <c r="F18" s="163" t="s">
        <v>1467</v>
      </c>
      <c r="G18" s="516">
        <v>233160.21</v>
      </c>
    </row>
    <row r="19" spans="2:7" ht="14.4">
      <c r="B19" s="163" t="s">
        <v>872</v>
      </c>
      <c r="C19" s="163" t="s">
        <v>871</v>
      </c>
      <c r="D19" s="163" t="s">
        <v>870</v>
      </c>
      <c r="E19" s="163" t="s">
        <v>1466</v>
      </c>
      <c r="F19" s="163" t="s">
        <v>1538</v>
      </c>
      <c r="G19" s="516">
        <v>1847</v>
      </c>
    </row>
    <row r="20" spans="2:7" ht="14.4">
      <c r="B20" s="163" t="s">
        <v>841</v>
      </c>
      <c r="C20" s="163" t="s">
        <v>1490</v>
      </c>
      <c r="D20" s="163" t="s">
        <v>1491</v>
      </c>
      <c r="E20" s="163" t="s">
        <v>1466</v>
      </c>
      <c r="F20" s="163" t="s">
        <v>1492</v>
      </c>
      <c r="G20" s="516">
        <v>5</v>
      </c>
    </row>
    <row r="21" spans="2:7" ht="14.4">
      <c r="B21" s="163" t="s">
        <v>832</v>
      </c>
      <c r="C21" s="163" t="s">
        <v>1493</v>
      </c>
      <c r="D21" s="163" t="s">
        <v>169</v>
      </c>
      <c r="E21" s="163" t="s">
        <v>1466</v>
      </c>
      <c r="F21" s="163" t="s">
        <v>1496</v>
      </c>
      <c r="G21" s="521">
        <v>0</v>
      </c>
    </row>
    <row r="22" spans="2:7" ht="14.4">
      <c r="B22" s="163" t="s">
        <v>831</v>
      </c>
      <c r="C22" s="163" t="s">
        <v>1494</v>
      </c>
      <c r="D22" s="163" t="s">
        <v>169</v>
      </c>
      <c r="E22" s="163" t="s">
        <v>1466</v>
      </c>
      <c r="F22" s="163" t="s">
        <v>1497</v>
      </c>
      <c r="G22" s="521">
        <v>0</v>
      </c>
    </row>
    <row r="23" spans="2:7" ht="14.4">
      <c r="B23" s="163" t="s">
        <v>830</v>
      </c>
      <c r="C23" s="163" t="s">
        <v>1495</v>
      </c>
      <c r="D23" s="163" t="s">
        <v>169</v>
      </c>
      <c r="E23" s="163" t="s">
        <v>1466</v>
      </c>
      <c r="F23" s="163" t="s">
        <v>1498</v>
      </c>
      <c r="G23" s="521">
        <v>0</v>
      </c>
    </row>
    <row r="24" spans="2:7" ht="14.4">
      <c r="B24" s="163" t="s">
        <v>833</v>
      </c>
      <c r="C24" s="163" t="s">
        <v>1167</v>
      </c>
      <c r="D24" s="163" t="s">
        <v>169</v>
      </c>
      <c r="E24" s="163" t="s">
        <v>1458</v>
      </c>
      <c r="F24" s="163" t="s">
        <v>1459</v>
      </c>
      <c r="G24" s="515">
        <v>0.06</v>
      </c>
    </row>
    <row r="25" spans="2:7" ht="14.4">
      <c r="B25" s="163" t="s">
        <v>1106</v>
      </c>
      <c r="C25" s="163" t="s">
        <v>1461</v>
      </c>
      <c r="D25" s="163" t="s">
        <v>1457</v>
      </c>
      <c r="E25" s="163" t="s">
        <v>1458</v>
      </c>
      <c r="F25" s="163" t="s">
        <v>1460</v>
      </c>
      <c r="G25" s="163">
        <v>0.0292</v>
      </c>
    </row>
    <row r="26" spans="2:7" ht="14.4">
      <c r="B26" s="163" t="s">
        <v>1160</v>
      </c>
      <c r="C26" s="163" t="s">
        <v>1462</v>
      </c>
      <c r="D26" s="163" t="s">
        <v>1463</v>
      </c>
      <c r="E26" s="163" t="s">
        <v>1464</v>
      </c>
      <c r="F26" s="163" t="s">
        <v>1465</v>
      </c>
      <c r="G26" s="163">
        <v>2015</v>
      </c>
    </row>
    <row r="27" spans="2:7" ht="14.4">
      <c r="B27" s="163" t="s">
        <v>1499</v>
      </c>
      <c r="C27" s="163" t="s">
        <v>1500</v>
      </c>
      <c r="D27" s="163" t="s">
        <v>1501</v>
      </c>
      <c r="E27" s="163" t="s">
        <v>1502</v>
      </c>
      <c r="F27" s="163" t="s">
        <v>1503</v>
      </c>
      <c r="G27" s="516">
        <v>0.12211881500974713</v>
      </c>
    </row>
    <row r="28" spans="2:7" ht="14.4">
      <c r="B28" s="163" t="s">
        <v>1504</v>
      </c>
      <c r="C28" s="163" t="s">
        <v>1507</v>
      </c>
      <c r="D28" s="163" t="s">
        <v>169</v>
      </c>
      <c r="E28" s="163" t="s">
        <v>1505</v>
      </c>
      <c r="F28" s="163" t="s">
        <v>1506</v>
      </c>
      <c r="G28" s="522">
        <v>0.073050000000000004</v>
      </c>
    </row>
    <row r="29" spans="2:6" ht="14.4">
      <c r="B29" s="79"/>
      <c r="C29" s="46"/>
      <c r="D29" s="79"/>
      <c r="E29" s="79"/>
      <c r="F29" s="79"/>
    </row>
    <row r="30" spans="2:6" ht="14.4">
      <c r="B30" s="79" t="s">
        <v>899</v>
      </c>
      <c r="C30" s="46"/>
      <c r="D30" s="79"/>
      <c r="E30" s="79"/>
      <c r="F30" s="79"/>
    </row>
    <row r="31" ht="14.4"/>
    <row r="32" spans="2:7" ht="14.4">
      <c r="B32" s="363" t="s">
        <v>869</v>
      </c>
      <c r="C32" s="363" t="s">
        <v>868</v>
      </c>
      <c r="D32" s="363" t="s">
        <v>195</v>
      </c>
      <c r="E32" s="363" t="s">
        <v>1168</v>
      </c>
      <c r="F32" s="363" t="s">
        <v>1485</v>
      </c>
      <c r="G32" s="361" t="s">
        <v>1105</v>
      </c>
    </row>
    <row r="33" spans="2:7" ht="14.4">
      <c r="B33" s="163" t="s">
        <v>866</v>
      </c>
      <c r="C33" s="163" t="s">
        <v>865</v>
      </c>
      <c r="D33" s="163" t="s">
        <v>860</v>
      </c>
      <c r="E33" s="163" t="s">
        <v>1466</v>
      </c>
      <c r="F33" s="163" t="s">
        <v>1529</v>
      </c>
      <c r="G33" s="517">
        <v>1.9974873038344263</v>
      </c>
    </row>
    <row r="34" spans="2:7" ht="14.4">
      <c r="B34" s="163" t="s">
        <v>862</v>
      </c>
      <c r="C34" s="163" t="s">
        <v>861</v>
      </c>
      <c r="D34" s="163" t="s">
        <v>860</v>
      </c>
      <c r="E34" s="163" t="s">
        <v>1466</v>
      </c>
      <c r="F34" s="163" t="s">
        <v>1531</v>
      </c>
      <c r="G34" s="517">
        <v>0.32484893202782017</v>
      </c>
    </row>
    <row r="35" spans="2:7" ht="14.4">
      <c r="B35" s="163" t="s">
        <v>80</v>
      </c>
      <c r="C35" s="163" t="s">
        <v>1514</v>
      </c>
      <c r="D35" s="163" t="s">
        <v>1511</v>
      </c>
      <c r="E35" s="163" t="s">
        <v>1464</v>
      </c>
      <c r="F35" s="163" t="s">
        <v>1522</v>
      </c>
      <c r="G35" s="517">
        <v>542.1781700617239</v>
      </c>
    </row>
    <row r="36" spans="2:7" ht="14.4">
      <c r="B36" s="163" t="s">
        <v>79</v>
      </c>
      <c r="C36" s="163" t="s">
        <v>1515</v>
      </c>
      <c r="D36" s="163" t="s">
        <v>1509</v>
      </c>
      <c r="E36" s="163" t="s">
        <v>1464</v>
      </c>
      <c r="F36" s="163" t="s">
        <v>1523</v>
      </c>
      <c r="G36" s="517">
        <v>656.18847582651233</v>
      </c>
    </row>
    <row r="37" spans="2:7" ht="14.4">
      <c r="B37" s="163" t="s">
        <v>95</v>
      </c>
      <c r="C37" s="163" t="s">
        <v>1516</v>
      </c>
      <c r="D37" s="163" t="s">
        <v>1510</v>
      </c>
      <c r="E37" s="163" t="s">
        <v>1464</v>
      </c>
      <c r="F37" s="163" t="s">
        <v>1524</v>
      </c>
      <c r="G37" s="517">
        <v>95.496923083824484</v>
      </c>
    </row>
    <row r="38" spans="2:7" ht="14.4">
      <c r="B38" s="163" t="s">
        <v>1473</v>
      </c>
      <c r="C38" s="163" t="s">
        <v>1512</v>
      </c>
      <c r="D38" s="163" t="s">
        <v>1520</v>
      </c>
      <c r="E38" s="163" t="s">
        <v>1464</v>
      </c>
      <c r="F38" s="163" t="s">
        <v>1525</v>
      </c>
      <c r="G38" s="516">
        <v>251160.21</v>
      </c>
    </row>
    <row r="39" spans="2:7" ht="14.4">
      <c r="B39" s="163" t="s">
        <v>1474</v>
      </c>
      <c r="C39" s="163" t="s">
        <v>1513</v>
      </c>
      <c r="D39" s="163" t="s">
        <v>1520</v>
      </c>
      <c r="E39" s="163" t="s">
        <v>1464</v>
      </c>
      <c r="F39" s="163" t="s">
        <v>1526</v>
      </c>
      <c r="G39" s="516">
        <v>1847</v>
      </c>
    </row>
    <row r="40" spans="2:7" ht="14.4">
      <c r="B40" s="163" t="s">
        <v>1475</v>
      </c>
      <c r="C40" s="163" t="s">
        <v>1508</v>
      </c>
      <c r="D40" s="163" t="s">
        <v>1520</v>
      </c>
      <c r="E40" s="163" t="s">
        <v>1464</v>
      </c>
      <c r="F40" s="163" t="s">
        <v>1527</v>
      </c>
      <c r="G40" s="516">
        <v>253007.21</v>
      </c>
    </row>
    <row r="41" spans="2:7" ht="14.4">
      <c r="B41" s="163" t="s">
        <v>1479</v>
      </c>
      <c r="C41" s="163" t="s">
        <v>1517</v>
      </c>
      <c r="D41" s="163" t="s">
        <v>1511</v>
      </c>
      <c r="E41" s="163" t="s">
        <v>1521</v>
      </c>
      <c r="F41" s="163" t="s">
        <v>1532</v>
      </c>
      <c r="G41" s="517">
        <v>8461.3817377951582</v>
      </c>
    </row>
    <row r="42" spans="2:7" ht="14.4">
      <c r="B42" s="163" t="s">
        <v>1480</v>
      </c>
      <c r="C42" s="163" t="s">
        <v>1518</v>
      </c>
      <c r="D42" s="163" t="s">
        <v>1509</v>
      </c>
      <c r="E42" s="163" t="s">
        <v>1521</v>
      </c>
      <c r="F42" s="163" t="s">
        <v>1533</v>
      </c>
      <c r="G42" s="517">
        <f>'Detailed Save Spend Tables'!D16</f>
        <v>19941.796385524773</v>
      </c>
    </row>
    <row r="43" spans="2:7" ht="14.4">
      <c r="B43" s="163" t="s">
        <v>1481</v>
      </c>
      <c r="C43" s="163" t="s">
        <v>1519</v>
      </c>
      <c r="D43" s="163" t="s">
        <v>1510</v>
      </c>
      <c r="E43" s="163" t="s">
        <v>1521</v>
      </c>
      <c r="F43" s="163" t="s">
        <v>1534</v>
      </c>
      <c r="G43" s="517">
        <f>'Detailed Save Spend Tables'!D25</f>
        <v>435.88694772373111</v>
      </c>
    </row>
    <row r="44" spans="2:7" s="173" customFormat="1" ht="14.4">
      <c r="B44" s="174" t="s">
        <v>864</v>
      </c>
      <c r="C44" s="174" t="s">
        <v>863</v>
      </c>
      <c r="D44" s="174" t="s">
        <v>860</v>
      </c>
      <c r="E44" s="174" t="s">
        <v>1466</v>
      </c>
      <c r="F44" s="174" t="s">
        <v>1530</v>
      </c>
      <c r="G44" s="590">
        <v>10.84592596261667</v>
      </c>
    </row>
    <row r="45" spans="2:7" s="173" customFormat="1" ht="14.4">
      <c r="B45" s="174" t="s">
        <v>867</v>
      </c>
      <c r="C45" s="174" t="s">
        <v>1539</v>
      </c>
      <c r="D45" s="174" t="s">
        <v>860</v>
      </c>
      <c r="E45" s="174" t="s">
        <v>1466</v>
      </c>
      <c r="F45" s="174" t="s">
        <v>1528</v>
      </c>
      <c r="G45" s="590">
        <v>3.8672526731469481</v>
      </c>
    </row>
  </sheetData>
  <mergeCells count="1">
    <mergeCell ref="B5:D7"/>
  </mergeCells>
  <pageMargins left="0.7" right="0.7" top="0.75" bottom="0.75" header="0.3" footer="0.3"/>
  <pageSetup orientation="portrait" r:id="rId2"/>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24997"/>
    <pageSetUpPr fitToPage="1"/>
  </sheetPr>
  <dimension ref="A1:AU58"/>
  <sheetViews>
    <sheetView zoomScale="70" zoomScaleNormal="70" workbookViewId="0" topLeftCell="A31">
      <selection pane="topLeft" activeCell="A1" sqref="A1"/>
    </sheetView>
  </sheetViews>
  <sheetFormatPr defaultColWidth="9.21875" defaultRowHeight="14.4" outlineLevelCol="1"/>
  <cols>
    <col min="1" max="1" width="22.6666666666667" style="267" customWidth="1"/>
    <col min="2" max="2" width="22.6666666666667" style="856" customWidth="1"/>
    <col min="3" max="5" width="16.6666666666667" style="267" customWidth="1"/>
    <col min="6" max="13" width="12.6666666666667" style="267" customWidth="1"/>
    <col min="14" max="14" width="36.6666666666667" style="856" customWidth="1"/>
    <col min="15" max="15" width="22.3333333333333" style="267" customWidth="1"/>
    <col min="16" max="16" width="13.8888888888889" style="267" customWidth="1"/>
    <col min="17" max="17" width="18.2222222222222" style="267" customWidth="1"/>
    <col min="18" max="18" width="2.55555555555556" style="267" customWidth="1"/>
    <col min="19" max="19" width="33.7777777777778" style="267" bestFit="1" customWidth="1"/>
    <col min="20" max="20" width="14" style="267" bestFit="1" customWidth="1"/>
    <col min="21" max="21" width="56.5555555555556" style="267" bestFit="1" customWidth="1"/>
    <col min="22" max="27" width="10.7777777777778" style="267" customWidth="1"/>
    <col min="28" max="31" width="10.7777777777778" style="267" customWidth="1" outlineLevel="1"/>
    <col min="32" max="32" width="12.7777777777778" style="267" customWidth="1" collapsed="1"/>
    <col min="33" max="33" width="14.5555555555556" style="267" bestFit="1" customWidth="1"/>
    <col min="34" max="34" width="11.7777777777778" style="267" bestFit="1" customWidth="1"/>
    <col min="35" max="35" width="13.4444444444444" style="267" bestFit="1" customWidth="1"/>
    <col min="36" max="39" width="10.7777777777778" style="267" customWidth="1" outlineLevel="1"/>
    <col min="40" max="40" width="14.5555555555556" style="267" bestFit="1" customWidth="1" collapsed="1"/>
    <col min="41" max="41" width="14.5555555555556" style="267" bestFit="1" customWidth="1"/>
    <col min="42" max="42" width="12" style="267" customWidth="1"/>
    <col min="43" max="43" width="10.7777777777778" style="267" customWidth="1"/>
    <col min="44" max="44" width="9.22222222222222" style="267"/>
    <col min="45" max="46" width="15.5555555555556" style="630" customWidth="1"/>
    <col min="47" max="47" width="15.5555555555556" style="267" customWidth="1"/>
    <col min="48" max="16384" width="9.22222222222222" style="267"/>
  </cols>
  <sheetData>
    <row r="1" spans="1:39" ht="14.4">
      <c r="A1" s="1691" t="s">
        <v>1625</v>
      </c>
      <c r="B1" s="1692"/>
      <c r="C1" s="1692"/>
      <c r="D1" s="1692"/>
      <c r="E1" s="1692"/>
      <c r="F1" s="1692"/>
      <c r="G1" s="1692"/>
      <c r="H1" s="1614"/>
      <c r="I1" s="1614"/>
      <c r="J1" s="1614"/>
      <c r="K1" s="1614"/>
      <c r="L1" s="1614"/>
      <c r="M1" s="1614"/>
      <c r="N1" s="1614"/>
      <c r="AB1" s="267"/>
      <c r="AC1" s="267"/>
      <c r="AD1" s="267"/>
      <c r="AE1" s="267"/>
      <c r="AJ1" s="267"/>
      <c r="AK1" s="267"/>
      <c r="AL1" s="267"/>
      <c r="AM1" s="267"/>
    </row>
    <row r="2" spans="28:39" ht="14.4">
      <c r="AB2" s="267"/>
      <c r="AC2" s="267"/>
      <c r="AD2" s="267"/>
      <c r="AE2" s="267"/>
      <c r="AJ2" s="267"/>
      <c r="AK2" s="267"/>
      <c r="AL2" s="267"/>
      <c r="AM2" s="267"/>
    </row>
    <row r="3" spans="28:39" ht="14.4">
      <c r="AB3" s="267"/>
      <c r="AC3" s="267"/>
      <c r="AD3" s="267"/>
      <c r="AE3" s="267"/>
      <c r="AJ3" s="267"/>
      <c r="AK3" s="267"/>
      <c r="AL3" s="267"/>
      <c r="AM3" s="267"/>
    </row>
    <row r="4" spans="1:39" ht="25.8">
      <c r="A4" s="1709" t="str">
        <f>"Seminole "&amp;$T$4</f>
        <v>Seminole 2015</v>
      </c>
      <c r="B4" s="1710"/>
      <c r="C4" s="1710"/>
      <c r="D4" s="1710"/>
      <c r="E4" s="1710"/>
      <c r="F4" s="1710"/>
      <c r="G4" s="1710"/>
      <c r="H4" s="1710"/>
      <c r="I4" s="1710"/>
      <c r="J4" s="1710"/>
      <c r="K4" s="1710"/>
      <c r="L4" s="1710"/>
      <c r="M4" s="1710"/>
      <c r="N4" s="1710"/>
      <c r="S4" s="490" t="s">
        <v>1160</v>
      </c>
      <c r="T4" s="490">
        <f>'Save Spend Summary'!$C$2</f>
        <v>2015</v>
      </c>
      <c r="AB4" s="267"/>
      <c r="AC4" s="267"/>
      <c r="AD4" s="267"/>
      <c r="AE4" s="267"/>
      <c r="AJ4" s="267"/>
      <c r="AK4" s="267"/>
      <c r="AL4" s="267"/>
      <c r="AM4" s="267"/>
    </row>
    <row r="5" spans="1:46" s="628" customFormat="1" ht="15" customHeight="1" thickBot="1">
      <c r="A5" s="194"/>
      <c r="B5" s="1324"/>
      <c r="C5" s="194"/>
      <c r="D5" s="194"/>
      <c r="E5" s="194"/>
      <c r="F5" s="194"/>
      <c r="G5" s="194"/>
      <c r="H5" s="194"/>
      <c r="I5" s="194"/>
      <c r="J5" s="194"/>
      <c r="K5" s="194"/>
      <c r="L5" s="194"/>
      <c r="N5" s="843"/>
      <c r="AB5" s="628"/>
      <c r="AC5" s="628"/>
      <c r="AD5" s="628"/>
      <c r="AE5" s="628"/>
      <c r="AJ5" s="628"/>
      <c r="AK5" s="628"/>
      <c r="AL5" s="628"/>
      <c r="AM5" s="628"/>
      <c r="AS5" s="654"/>
      <c r="AT5" s="654"/>
    </row>
    <row r="6" spans="1:46" s="628" customFormat="1" ht="63.6" thickBot="1">
      <c r="A6" s="584" t="s">
        <v>1578</v>
      </c>
      <c r="B6" s="251" t="s">
        <v>1473</v>
      </c>
      <c r="C6" s="250" t="s">
        <v>87</v>
      </c>
      <c r="D6" s="249" t="s">
        <v>86</v>
      </c>
      <c r="F6" s="1711" t="s">
        <v>1579</v>
      </c>
      <c r="G6" s="1712"/>
      <c r="H6" s="1712"/>
      <c r="I6" s="248" t="s">
        <v>80</v>
      </c>
      <c r="J6" s="248" t="s">
        <v>79</v>
      </c>
      <c r="K6" s="247" t="s">
        <v>95</v>
      </c>
      <c r="N6" s="843"/>
      <c r="S6" s="1673" t="s">
        <v>834</v>
      </c>
      <c r="T6" s="1674"/>
      <c r="U6" s="1675"/>
      <c r="AB6" s="628"/>
      <c r="AC6" s="628"/>
      <c r="AD6" s="628"/>
      <c r="AE6" s="628"/>
      <c r="AJ6" s="628"/>
      <c r="AK6" s="628"/>
      <c r="AL6" s="628"/>
      <c r="AM6" s="628"/>
      <c r="AS6" s="654"/>
      <c r="AT6" s="654"/>
    </row>
    <row r="7" spans="1:46" s="628" customFormat="1" ht="15" customHeight="1">
      <c r="A7" s="245" t="s">
        <v>136</v>
      </c>
      <c r="B7" s="1325"/>
      <c r="C7" s="244"/>
      <c r="D7" s="243"/>
      <c r="F7" s="1676" t="s">
        <v>136</v>
      </c>
      <c r="G7" s="1677"/>
      <c r="H7" s="1678"/>
      <c r="I7" s="244"/>
      <c r="J7" s="244"/>
      <c r="K7" s="243"/>
      <c r="N7" s="843"/>
      <c r="S7" s="386" t="s">
        <v>196</v>
      </c>
      <c r="T7" s="386" t="s">
        <v>194</v>
      </c>
      <c r="U7" s="386" t="s">
        <v>78</v>
      </c>
      <c r="AB7" s="628"/>
      <c r="AC7" s="628"/>
      <c r="AD7" s="628"/>
      <c r="AE7" s="628"/>
      <c r="AJ7" s="628"/>
      <c r="AK7" s="628"/>
      <c r="AL7" s="628"/>
      <c r="AM7" s="628"/>
      <c r="AS7" s="654"/>
      <c r="AT7" s="654"/>
    </row>
    <row r="8" spans="1:46" s="628" customFormat="1" ht="15" customHeight="1">
      <c r="A8" s="209" t="s">
        <v>134</v>
      </c>
      <c r="B8" s="1326">
        <f>C23</f>
        <v>0</v>
      </c>
      <c r="C8" s="208">
        <f>D23</f>
        <v>0</v>
      </c>
      <c r="D8" s="206">
        <f>SUM(B8:C8)</f>
        <v>0</v>
      </c>
      <c r="F8" s="1669" t="s">
        <v>134</v>
      </c>
      <c r="G8" s="1647"/>
      <c r="H8" s="1648"/>
      <c r="I8" s="239">
        <f>K23</f>
        <v>0</v>
      </c>
      <c r="J8" s="211">
        <f>L23</f>
        <v>0</v>
      </c>
      <c r="K8" s="210">
        <f>M23</f>
        <v>0</v>
      </c>
      <c r="N8" s="843"/>
      <c r="S8" s="382" t="s">
        <v>833</v>
      </c>
      <c r="T8" s="385">
        <f>'Seminole Avoided Cost'!$C$8</f>
        <v>0.06</v>
      </c>
      <c r="U8" s="651" t="s">
        <v>1120</v>
      </c>
      <c r="AB8" s="628"/>
      <c r="AC8" s="628"/>
      <c r="AD8" s="628"/>
      <c r="AE8" s="628"/>
      <c r="AJ8" s="628"/>
      <c r="AK8" s="628"/>
      <c r="AL8" s="628"/>
      <c r="AM8" s="628"/>
      <c r="AS8" s="654"/>
      <c r="AT8" s="654"/>
    </row>
    <row r="9" spans="1:46" s="628" customFormat="1" ht="15" customHeight="1">
      <c r="A9" s="209" t="s">
        <v>132</v>
      </c>
      <c r="B9" s="1327">
        <f>C32</f>
        <v>0</v>
      </c>
      <c r="C9" s="208">
        <f>D32</f>
        <v>0</v>
      </c>
      <c r="D9" s="206">
        <f>SUM(B9:C9)</f>
        <v>0</v>
      </c>
      <c r="F9" s="1669" t="s">
        <v>132</v>
      </c>
      <c r="G9" s="1647"/>
      <c r="H9" s="1648"/>
      <c r="I9" s="239">
        <f>K32</f>
        <v>0</v>
      </c>
      <c r="J9" s="239">
        <f>L32</f>
        <v>0</v>
      </c>
      <c r="K9" s="333">
        <f>M32</f>
        <v>0</v>
      </c>
      <c r="N9" s="843"/>
      <c r="S9" s="382" t="s">
        <v>832</v>
      </c>
      <c r="T9" s="652">
        <v>0</v>
      </c>
      <c r="U9" s="651" t="s">
        <v>857</v>
      </c>
      <c r="AB9" s="628"/>
      <c r="AC9" s="628"/>
      <c r="AD9" s="628"/>
      <c r="AE9" s="628"/>
      <c r="AJ9" s="628"/>
      <c r="AK9" s="628"/>
      <c r="AL9" s="628"/>
      <c r="AM9" s="628"/>
      <c r="AS9" s="654"/>
      <c r="AT9" s="654"/>
    </row>
    <row r="10" spans="1:47" s="628" customFormat="1" ht="15" customHeight="1" thickBot="1">
      <c r="A10" s="236" t="s">
        <v>130</v>
      </c>
      <c r="B10" s="1327">
        <f>C45</f>
        <v>0</v>
      </c>
      <c r="C10" s="208">
        <f>D40</f>
        <v>0</v>
      </c>
      <c r="D10" s="229">
        <f>SUM(B10:C10)</f>
        <v>0</v>
      </c>
      <c r="F10" s="1670" t="s">
        <v>130</v>
      </c>
      <c r="G10" s="1671"/>
      <c r="H10" s="1672"/>
      <c r="I10" s="234">
        <f>K45</f>
        <v>284.48967185714287</v>
      </c>
      <c r="J10" s="233">
        <f>L45</f>
        <v>4973.3018948240633</v>
      </c>
      <c r="K10" s="232">
        <f>M45</f>
        <v>14.482342073599998</v>
      </c>
      <c r="N10" s="843"/>
      <c r="S10" s="382" t="s">
        <v>831</v>
      </c>
      <c r="T10" s="652">
        <v>0</v>
      </c>
      <c r="U10" s="651" t="s">
        <v>857</v>
      </c>
      <c r="AB10" s="628"/>
      <c r="AC10" s="628"/>
      <c r="AD10" s="628"/>
      <c r="AE10" s="628"/>
      <c r="AJ10" s="628"/>
      <c r="AK10" s="628"/>
      <c r="AL10" s="628"/>
      <c r="AM10" s="628"/>
      <c r="AS10" s="654"/>
      <c r="AT10" s="499"/>
      <c r="AU10" s="655"/>
    </row>
    <row r="11" spans="1:46" s="628" customFormat="1" ht="15" customHeight="1" thickTop="1" thickBot="1">
      <c r="A11" s="231" t="s">
        <v>129</v>
      </c>
      <c r="B11" s="1328">
        <f>C46</f>
        <v>0</v>
      </c>
      <c r="C11" s="331"/>
      <c r="D11" s="229">
        <f>SUM(B11:C11)</f>
        <v>0</v>
      </c>
      <c r="F11" s="1665" t="s">
        <v>128</v>
      </c>
      <c r="G11" s="1666"/>
      <c r="H11" s="1667"/>
      <c r="I11" s="228">
        <f>SUM(I8:I10)</f>
        <v>284.48967185714287</v>
      </c>
      <c r="J11" s="228">
        <f>SUM(J8:J10)</f>
        <v>4973.3018948240633</v>
      </c>
      <c r="K11" s="227">
        <f>SUM(K8:K10)</f>
        <v>14.482342073599998</v>
      </c>
      <c r="N11" s="843"/>
      <c r="S11" s="382" t="s">
        <v>830</v>
      </c>
      <c r="T11" s="652">
        <v>0</v>
      </c>
      <c r="U11" s="651" t="s">
        <v>857</v>
      </c>
      <c r="AB11" s="628"/>
      <c r="AC11" s="628"/>
      <c r="AD11" s="628"/>
      <c r="AE11" s="628"/>
      <c r="AJ11" s="628"/>
      <c r="AK11" s="628"/>
      <c r="AL11" s="628"/>
      <c r="AM11" s="628"/>
      <c r="AS11" s="654"/>
      <c r="AT11" s="654"/>
    </row>
    <row r="12" spans="1:46" s="341" customFormat="1" ht="15" customHeight="1" thickTop="1">
      <c r="A12" s="226" t="s">
        <v>128</v>
      </c>
      <c r="B12" s="1329">
        <f>SUM(B8:B11)</f>
        <v>0</v>
      </c>
      <c r="C12" s="224">
        <f>SUM(C8:C11)</f>
        <v>0</v>
      </c>
      <c r="D12" s="223">
        <f>SUM(D8:D11)</f>
        <v>0</v>
      </c>
      <c r="F12" s="1668" t="s">
        <v>127</v>
      </c>
      <c r="G12" s="1662"/>
      <c r="H12" s="1663"/>
      <c r="I12" s="222"/>
      <c r="J12" s="222"/>
      <c r="K12" s="221"/>
      <c r="N12" s="845"/>
      <c r="S12" s="382" t="s">
        <v>829</v>
      </c>
      <c r="T12" s="383">
        <f>'2015 Annual Sales and Revenue '!H34</f>
        <v>0.12640480077522429</v>
      </c>
      <c r="U12" s="651" t="s">
        <v>1592</v>
      </c>
      <c r="AB12" s="341"/>
      <c r="AC12" s="341"/>
      <c r="AD12" s="341"/>
      <c r="AE12" s="341"/>
      <c r="AJ12" s="341"/>
      <c r="AK12" s="341"/>
      <c r="AL12" s="341"/>
      <c r="AM12" s="341"/>
      <c r="AR12" s="628"/>
      <c r="AS12" s="654"/>
      <c r="AT12" s="656"/>
    </row>
    <row r="13" spans="1:46" s="628" customFormat="1" ht="15" customHeight="1">
      <c r="A13" s="220" t="s">
        <v>127</v>
      </c>
      <c r="B13" s="1330"/>
      <c r="C13" s="219"/>
      <c r="D13" s="218"/>
      <c r="F13" s="1669" t="s">
        <v>126</v>
      </c>
      <c r="G13" s="1647"/>
      <c r="H13" s="1648"/>
      <c r="I13" s="217">
        <f>K27</f>
        <v>0</v>
      </c>
      <c r="J13" s="217">
        <f>L27</f>
        <v>0</v>
      </c>
      <c r="K13" s="216">
        <f>M27</f>
        <v>0</v>
      </c>
      <c r="N13" s="843"/>
      <c r="S13" s="382" t="s">
        <v>856</v>
      </c>
      <c r="T13" s="383">
        <f>'2015 Annual Sales and Revenue '!H32</f>
        <v>0.10803823392019421</v>
      </c>
      <c r="U13" s="651" t="s">
        <v>1592</v>
      </c>
      <c r="AB13" s="628"/>
      <c r="AC13" s="628"/>
      <c r="AD13" s="628"/>
      <c r="AE13" s="628"/>
      <c r="AJ13" s="628"/>
      <c r="AK13" s="628"/>
      <c r="AL13" s="628"/>
      <c r="AM13" s="628"/>
      <c r="AS13" s="654"/>
      <c r="AT13" s="654"/>
    </row>
    <row r="14" spans="1:46" s="628" customFormat="1" ht="15" customHeight="1" thickBot="1">
      <c r="A14" s="215" t="s">
        <v>126</v>
      </c>
      <c r="B14" s="1331">
        <f>B27</f>
        <v>0</v>
      </c>
      <c r="C14" s="213">
        <f>D27</f>
        <v>0</v>
      </c>
      <c r="D14" s="212">
        <f>SUM(B14:C14)</f>
        <v>0</v>
      </c>
      <c r="F14" s="1670" t="s">
        <v>125</v>
      </c>
      <c r="G14" s="1671"/>
      <c r="H14" s="1672"/>
      <c r="I14" s="211">
        <f>K36</f>
        <v>0</v>
      </c>
      <c r="J14" s="211">
        <f>L36</f>
        <v>0</v>
      </c>
      <c r="K14" s="210">
        <f>M36</f>
        <v>0</v>
      </c>
      <c r="N14" s="843"/>
      <c r="S14" s="502"/>
      <c r="T14" s="503"/>
      <c r="U14" s="657"/>
      <c r="AB14" s="628"/>
      <c r="AC14" s="628"/>
      <c r="AD14" s="628"/>
      <c r="AE14" s="628"/>
      <c r="AJ14" s="628"/>
      <c r="AK14" s="628"/>
      <c r="AL14" s="628"/>
      <c r="AM14" s="628"/>
      <c r="AS14" s="654"/>
      <c r="AT14" s="654"/>
    </row>
    <row r="15" spans="1:46" s="628" customFormat="1" ht="15" customHeight="1" thickBot="1">
      <c r="A15" s="209" t="s">
        <v>124</v>
      </c>
      <c r="B15" s="1326">
        <f>C36</f>
        <v>0</v>
      </c>
      <c r="C15" s="207">
        <f>D36</f>
        <v>0</v>
      </c>
      <c r="D15" s="206">
        <f>SUM(B15:C15)</f>
        <v>0</v>
      </c>
      <c r="F15" s="1706" t="s">
        <v>123</v>
      </c>
      <c r="G15" s="1707"/>
      <c r="H15" s="1708"/>
      <c r="I15" s="205">
        <f>SUM(I13:I14)</f>
        <v>0</v>
      </c>
      <c r="J15" s="205">
        <f>SUM(J13:J14)</f>
        <v>0</v>
      </c>
      <c r="K15" s="204">
        <f>SUM(K13:K14)</f>
        <v>0</v>
      </c>
      <c r="N15" s="843"/>
      <c r="S15" s="502"/>
      <c r="T15" s="503"/>
      <c r="U15" s="657"/>
      <c r="AB15" s="628"/>
      <c r="AC15" s="628"/>
      <c r="AD15" s="628"/>
      <c r="AE15" s="628"/>
      <c r="AJ15" s="628"/>
      <c r="AK15" s="628"/>
      <c r="AL15" s="628"/>
      <c r="AM15" s="628"/>
      <c r="AS15" s="654"/>
      <c r="AT15" s="654"/>
    </row>
    <row r="16" spans="1:46" s="628" customFormat="1" ht="15" customHeight="1" thickBot="1">
      <c r="A16" s="203" t="s">
        <v>123</v>
      </c>
      <c r="B16" s="1332">
        <f>SUM(B14:B15)</f>
        <v>0</v>
      </c>
      <c r="C16" s="202">
        <f>SUM(C14:C15)</f>
        <v>0</v>
      </c>
      <c r="D16" s="201">
        <f>SUM(D14:D15)</f>
        <v>0</v>
      </c>
      <c r="F16" s="1700" t="s">
        <v>1590</v>
      </c>
      <c r="G16" s="1701"/>
      <c r="H16" s="1702"/>
      <c r="I16" s="200">
        <f>SUM(I11,I15)</f>
        <v>284.48967185714287</v>
      </c>
      <c r="J16" s="200">
        <f>SUM(J11,J15)</f>
        <v>4973.3018948240633</v>
      </c>
      <c r="K16" s="199">
        <f>SUM(K11,K15)</f>
        <v>14.482342073599998</v>
      </c>
      <c r="N16" s="843"/>
      <c r="S16" s="502"/>
      <c r="T16" s="503"/>
      <c r="U16" s="657"/>
      <c r="AB16" s="628"/>
      <c r="AC16" s="628"/>
      <c r="AD16" s="628"/>
      <c r="AE16" s="628"/>
      <c r="AJ16" s="628"/>
      <c r="AK16" s="628"/>
      <c r="AL16" s="628"/>
      <c r="AM16" s="628"/>
      <c r="AS16" s="654"/>
      <c r="AT16" s="654"/>
    </row>
    <row r="17" spans="1:46" s="628" customFormat="1" ht="16.2" thickBot="1">
      <c r="A17" s="198" t="s">
        <v>1590</v>
      </c>
      <c r="B17" s="1333">
        <f>SUM(B12,B16)</f>
        <v>0</v>
      </c>
      <c r="C17" s="197">
        <f>SUM(C12,C16)</f>
        <v>0</v>
      </c>
      <c r="D17" s="196">
        <f>SUM(D12,D16)</f>
        <v>0</v>
      </c>
      <c r="N17" s="843"/>
      <c r="S17" s="502"/>
      <c r="T17" s="503"/>
      <c r="U17" s="657"/>
      <c r="AB17" s="628"/>
      <c r="AC17" s="628"/>
      <c r="AD17" s="628"/>
      <c r="AE17" s="628"/>
      <c r="AJ17" s="628"/>
      <c r="AK17" s="628"/>
      <c r="AL17" s="628"/>
      <c r="AM17" s="628"/>
      <c r="AS17" s="654"/>
      <c r="AT17" s="654"/>
    </row>
    <row r="18" spans="1:46" s="628" customFormat="1" ht="15" thickBot="1">
      <c r="A18" s="195"/>
      <c r="B18" s="1334"/>
      <c r="C18" s="194"/>
      <c r="D18" s="194"/>
      <c r="E18" s="194"/>
      <c r="F18" s="194"/>
      <c r="G18" s="194"/>
      <c r="H18" s="194"/>
      <c r="I18" s="194"/>
      <c r="J18" s="194"/>
      <c r="K18" s="194"/>
      <c r="N18" s="843"/>
      <c r="AB18" s="1627" t="s">
        <v>1161</v>
      </c>
      <c r="AC18" s="1627"/>
      <c r="AD18" s="1627"/>
      <c r="AE18" s="1627"/>
      <c r="AJ18" s="1627" t="s">
        <v>1161</v>
      </c>
      <c r="AK18" s="1627"/>
      <c r="AL18" s="1627"/>
      <c r="AM18" s="1627"/>
      <c r="AS18" s="654"/>
      <c r="AT18" s="654"/>
    </row>
    <row r="19" spans="1:45" ht="21.6" thickBot="1">
      <c r="A19" s="1696" t="s">
        <v>122</v>
      </c>
      <c r="B19" s="1697"/>
      <c r="C19" s="1697"/>
      <c r="D19" s="1697"/>
      <c r="E19" s="1697"/>
      <c r="F19" s="1697"/>
      <c r="G19" s="1697"/>
      <c r="H19" s="1697"/>
      <c r="I19" s="1697"/>
      <c r="J19" s="1697"/>
      <c r="K19" s="1697"/>
      <c r="L19" s="1697"/>
      <c r="M19" s="1697"/>
      <c r="N19" s="1698"/>
      <c r="S19" s="1703" t="s">
        <v>855</v>
      </c>
      <c r="T19" s="1704"/>
      <c r="U19" s="1704"/>
      <c r="V19" s="1704"/>
      <c r="W19" s="1704"/>
      <c r="X19" s="1704"/>
      <c r="Y19" s="1704"/>
      <c r="Z19" s="1704"/>
      <c r="AA19" s="1704"/>
      <c r="AB19" s="1704" t="s">
        <v>854</v>
      </c>
      <c r="AC19" s="1704"/>
      <c r="AD19" s="1704"/>
      <c r="AE19" s="1704"/>
      <c r="AF19" s="1704"/>
      <c r="AG19" s="1704"/>
      <c r="AH19" s="1704"/>
      <c r="AI19" s="1704"/>
      <c r="AJ19" s="1704"/>
      <c r="AK19" s="1704"/>
      <c r="AL19" s="1704"/>
      <c r="AM19" s="1704"/>
      <c r="AN19" s="1704"/>
      <c r="AO19" s="1704"/>
      <c r="AP19" s="1704"/>
      <c r="AQ19" s="1705"/>
      <c r="AR19" s="629"/>
      <c r="AS19" s="341"/>
    </row>
    <row r="20" spans="1:47" ht="15.6">
      <c r="A20" s="193"/>
      <c r="B20" s="1335"/>
      <c r="C20" s="1682" t="s">
        <v>121</v>
      </c>
      <c r="D20" s="1683"/>
      <c r="E20" s="1684"/>
      <c r="F20" s="1685" t="s">
        <v>120</v>
      </c>
      <c r="G20" s="1686"/>
      <c r="H20" s="1686"/>
      <c r="I20" s="1686"/>
      <c r="J20" s="1686"/>
      <c r="K20" s="1686"/>
      <c r="L20" s="1687"/>
      <c r="M20" s="188"/>
      <c r="N20" s="666"/>
      <c r="S20" s="1688"/>
      <c r="T20" s="1689"/>
      <c r="U20" s="1689"/>
      <c r="V20" s="1689"/>
      <c r="W20" s="1689"/>
      <c r="X20" s="1689"/>
      <c r="Y20" s="1689"/>
      <c r="Z20" s="1689"/>
      <c r="AA20" s="1689"/>
      <c r="AB20" s="1690" t="s">
        <v>853</v>
      </c>
      <c r="AC20" s="1690"/>
      <c r="AD20" s="1690"/>
      <c r="AE20" s="1690"/>
      <c r="AF20" s="1690" t="s">
        <v>852</v>
      </c>
      <c r="AG20" s="1690"/>
      <c r="AH20" s="1690"/>
      <c r="AI20" s="1690"/>
      <c r="AJ20" s="1690" t="s">
        <v>851</v>
      </c>
      <c r="AK20" s="1690"/>
      <c r="AL20" s="1690"/>
      <c r="AM20" s="1690"/>
      <c r="AN20" s="1690" t="s">
        <v>850</v>
      </c>
      <c r="AO20" s="1690"/>
      <c r="AP20" s="1690"/>
      <c r="AQ20" s="1693"/>
      <c r="AR20" s="629"/>
      <c r="AS20" s="1694" t="s">
        <v>849</v>
      </c>
      <c r="AT20" s="1695"/>
      <c r="AU20" s="408" t="s">
        <v>858</v>
      </c>
    </row>
    <row r="21" spans="1:47" ht="63" thickBot="1">
      <c r="A21" s="186" t="s">
        <v>119</v>
      </c>
      <c r="B21" s="107" t="s">
        <v>89</v>
      </c>
      <c r="C21" s="107" t="s">
        <v>1473</v>
      </c>
      <c r="D21" s="106" t="s">
        <v>87</v>
      </c>
      <c r="E21" s="105" t="s">
        <v>86</v>
      </c>
      <c r="F21" s="104" t="s">
        <v>85</v>
      </c>
      <c r="G21" s="104" t="s">
        <v>84</v>
      </c>
      <c r="H21" s="104" t="s">
        <v>97</v>
      </c>
      <c r="I21" s="104" t="s">
        <v>82</v>
      </c>
      <c r="J21" s="104" t="s">
        <v>96</v>
      </c>
      <c r="K21" s="104" t="s">
        <v>80</v>
      </c>
      <c r="L21" s="104" t="s">
        <v>79</v>
      </c>
      <c r="M21" s="104" t="s">
        <v>95</v>
      </c>
      <c r="N21" s="89" t="s">
        <v>78</v>
      </c>
      <c r="P21" s="183" t="str">
        <f>K21&amp;" Weighting"</f>
        <v>Total Annual MWh Weighting</v>
      </c>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629"/>
      <c r="AS21" s="397" t="s">
        <v>791</v>
      </c>
      <c r="AT21" s="386" t="s">
        <v>1164</v>
      </c>
      <c r="AU21" s="398" t="s">
        <v>752</v>
      </c>
    </row>
    <row r="22" spans="1:47" ht="16.8" thickTop="1" thickBot="1">
      <c r="A22" s="658"/>
      <c r="B22" s="1336"/>
      <c r="C22" s="100"/>
      <c r="D22" s="169"/>
      <c r="E22" s="320"/>
      <c r="F22" s="659"/>
      <c r="G22" s="99"/>
      <c r="H22" s="165"/>
      <c r="I22" s="328"/>
      <c r="J22" s="165"/>
      <c r="K22" s="164"/>
      <c r="L22" s="164"/>
      <c r="M22" s="164"/>
      <c r="N22" s="853"/>
      <c r="P22" s="162" t="e">
        <f>K22/$K$23</f>
        <v>#DIV/0!</v>
      </c>
      <c r="S22" s="399" t="str">
        <f>IFERROR(IF(G22/$G$23=0,0,G22/$G$23),"")</f>
        <v/>
      </c>
      <c r="T22" s="638" t="s">
        <v>836</v>
      </c>
      <c r="U22" s="638" t="s">
        <v>835</v>
      </c>
      <c r="V22" s="639">
        <v>0.90</v>
      </c>
      <c r="W22" s="392" t="str">
        <f>IF($H22*$T$12=0,"",$H22*$T$12)</f>
        <v/>
      </c>
      <c r="X22" s="392" t="str">
        <f>IFERROR($W22*((1+$T$9)/(1+$T$8)*(1-((1+$T$9)/(1+$T$8))^$J22)/(1-((1+$T$9)/(1+$T$8)))),"")</f>
        <v/>
      </c>
      <c r="Y22" s="391" t="str">
        <f>IFERROR(D22/G22,"")</f>
        <v/>
      </c>
      <c r="Z22" s="437">
        <v>5</v>
      </c>
      <c r="AA22" s="390"/>
      <c r="AB22" s="437">
        <f>IFERROR(($AS22*$H22*$V22*((1+$T$11)/(1+$T$8)*(1-((1+$T$11)/(1+$T$8))^$J22)/(1-((1+$T$11)/(1+$T$8)))))+($AT$22*$I22),"")</f>
        <v>0</v>
      </c>
      <c r="AC22" s="437" t="str">
        <f>IFERROR((SUM($C22)/$G22)+($Z22*$V22),"")</f>
        <v/>
      </c>
      <c r="AD22" s="388" t="str">
        <f>IFERROR(IF(AB22="","",AB22-AC22),"")</f>
        <v/>
      </c>
      <c r="AE22" s="387" t="str">
        <f>IFERROR(AB22/AC22,"")</f>
        <v/>
      </c>
      <c r="AF22" s="437">
        <f>IFERROR(($AS22*$H22*$V22*((1+$T$11)/(1+$T$8)*(1-((1+$T$11)/(1+$T$8))^$J22)/(1-((1+$T$11)/(1+$T$8)))))+($AT22*$I22),"")</f>
        <v>0</v>
      </c>
      <c r="AG22" s="388" t="str">
        <f>IFERROR(-PV($T$8,1,($E22/$G22)),"")</f>
        <v/>
      </c>
      <c r="AH22" s="388" t="str">
        <f>IFERROR(IF(AF22="","",AF22-AG22),"")</f>
        <v/>
      </c>
      <c r="AI22" s="387" t="str">
        <f>IFERROR(AF22/AG22,"")</f>
        <v/>
      </c>
      <c r="AJ22" s="388" t="str">
        <f>IFERROR(-PV($T$8,$J22,$W22)+($Y22),"")</f>
        <v/>
      </c>
      <c r="AK22" s="388">
        <f>IF(Z22="","",Z22)</f>
        <v>5</v>
      </c>
      <c r="AL22" s="388" t="str">
        <f>IFERROR(IF(AJ22="","",AJ22-AK22),"")</f>
        <v/>
      </c>
      <c r="AM22" s="387" t="str">
        <f>IFERROR(AJ22/AK22,"")</f>
        <v/>
      </c>
      <c r="AN22" s="388">
        <f>IFERROR(($AS22*$H22*$V22*((1+$T$11)/(1+$T$8)*(1-((1+$T$11)/(1+$T$8))^$J22)/(1-((1+$T$11)/(1+$T$8)))))+($AT22*$I22),"")</f>
        <v>0</v>
      </c>
      <c r="AO22" s="389" t="str">
        <f>IFERROR((SUM($C22)/$G22)+X22+Y22,"")</f>
        <v/>
      </c>
      <c r="AP22" s="388" t="str">
        <f>IFERROR(IF(AN22="","",AN22-AO22),"")</f>
        <v/>
      </c>
      <c r="AQ22" s="400" t="str">
        <f>IFERROR(AN22/AO22,"")</f>
        <v/>
      </c>
      <c r="AR22" s="629"/>
      <c r="AS22" s="409">
        <f>IFERROR(VLOOKUP(ROUND($J22,0),'Seminole Avoided Cost'!$B$15:$Y$41,8,FALSE),"")</f>
        <v>0.0292</v>
      </c>
      <c r="AT22" s="660">
        <f>IFERROR(VLOOKUP(ROUND($J22,0),'Seminole Avoided Cost'!$B$15:$Y$41,24,FALSE),"")</f>
        <v>76.44</v>
      </c>
      <c r="AU22" s="410" t="str">
        <f>IFERROR(SUM(C22)/G22,"")</f>
        <v/>
      </c>
    </row>
    <row r="23" spans="1:47" ht="22.5" customHeight="1" thickTop="1" thickBot="1">
      <c r="A23" s="321" t="s">
        <v>103</v>
      </c>
      <c r="B23" s="1337"/>
      <c r="C23" s="96">
        <f>SUM(C22:C22)</f>
        <v>0</v>
      </c>
      <c r="D23" s="96">
        <f>SUM(D22:D22)</f>
        <v>0</v>
      </c>
      <c r="E23" s="96">
        <f>SUM(E22:E22)</f>
        <v>0</v>
      </c>
      <c r="F23" s="95" t="s">
        <v>76</v>
      </c>
      <c r="G23" s="94">
        <f>SUM(G22:G22)</f>
        <v>0</v>
      </c>
      <c r="H23" s="94"/>
      <c r="I23" s="94"/>
      <c r="J23" s="159"/>
      <c r="K23" s="159">
        <f>SUM(K22:K22)</f>
        <v>0</v>
      </c>
      <c r="L23" s="159">
        <f>SUM(L22:L22)</f>
        <v>0</v>
      </c>
      <c r="M23" s="138">
        <f>SUM(M22:M22)</f>
        <v>0</v>
      </c>
      <c r="N23" s="1322"/>
      <c r="P23" s="348" t="e">
        <f>SUM(P22:P22)</f>
        <v>#DIV/0!</v>
      </c>
      <c r="S23" s="401">
        <f>SUM(S11:S22)</f>
        <v>0</v>
      </c>
      <c r="T23" s="402"/>
      <c r="U23" s="402"/>
      <c r="V23" s="402"/>
      <c r="W23" s="403"/>
      <c r="X23" s="403"/>
      <c r="Y23" s="403"/>
      <c r="Z23" s="404"/>
      <c r="AA23" s="405"/>
      <c r="AB23" s="404" t="e">
        <f>SUMPRODUCT(AB$22:AB$22,$S$22:$S$22)</f>
        <v>#VALUE!</v>
      </c>
      <c r="AC23" s="404" t="e">
        <f>SUMPRODUCT(AC$22:AC$22,$S$22:$S$22)</f>
        <v>#VALUE!</v>
      </c>
      <c r="AD23" s="404" t="e">
        <f>SUMPRODUCT(AD$22:AD$22,$S$22:$S$22)</f>
        <v>#VALUE!</v>
      </c>
      <c r="AE23" s="406" t="str">
        <f>IFERROR(AB23/AC23,"")</f>
        <v/>
      </c>
      <c r="AF23" s="404" t="e">
        <f>SUMPRODUCT(AF$22:AF$22,$S$22:$S$22)</f>
        <v>#VALUE!</v>
      </c>
      <c r="AG23" s="404" t="e">
        <f>SUMPRODUCT(AG$22:AG$22,$S$22:$S$22)</f>
        <v>#VALUE!</v>
      </c>
      <c r="AH23" s="404" t="e">
        <f>SUMPRODUCT(AH$22:AH$22,$S$22:$S$22)</f>
        <v>#VALUE!</v>
      </c>
      <c r="AI23" s="406" t="str">
        <f>IFERROR(AF23/AG23,"")</f>
        <v/>
      </c>
      <c r="AJ23" s="404" t="e">
        <f>SUMPRODUCT(AJ$22:AJ$22,$S$22:$S$22)</f>
        <v>#VALUE!</v>
      </c>
      <c r="AK23" s="404" t="e">
        <f>SUMPRODUCT(AK$22:AK$22,$S$22:$S$22)</f>
        <v>#VALUE!</v>
      </c>
      <c r="AL23" s="404" t="e">
        <f>SUMPRODUCT(AL$22:AL$22,$S$22:$S$22)</f>
        <v>#VALUE!</v>
      </c>
      <c r="AM23" s="406" t="str">
        <f>IFERROR(AJ23/AK23,"")</f>
        <v/>
      </c>
      <c r="AN23" s="404" t="e">
        <f>SUMPRODUCT(AN$22:AN$22,$S$22:$S$22)</f>
        <v>#VALUE!</v>
      </c>
      <c r="AO23" s="404" t="e">
        <f>SUMPRODUCT(AO$22:AO$22,$S$22:$S$22)</f>
        <v>#VALUE!</v>
      </c>
      <c r="AP23" s="404" t="e">
        <f>SUMPRODUCT(AP$22:AP$22,$S$22:$S$22)</f>
        <v>#VALUE!</v>
      </c>
      <c r="AQ23" s="407" t="str">
        <f>IFERROR(AN23/AO23,"")</f>
        <v/>
      </c>
      <c r="AR23" s="629"/>
      <c r="AS23" s="411">
        <f>IFERROR(VLOOKUP(ROUND($J23,0),'Seminole Avoided Cost'!$B$15:$Y$41,8,FALSE),"")</f>
        <v>0.0292</v>
      </c>
      <c r="AT23" s="491">
        <f>IFERROR(VLOOKUP(ROUND($J23,0),'Seminole Avoided Cost'!$B$15:$Y$41,24,FALSE),"")</f>
        <v>76.44</v>
      </c>
      <c r="AU23" s="412" t="str">
        <f>IFERROR(SUM(C23)/G23,"")</f>
        <v/>
      </c>
    </row>
    <row r="24" spans="1:14" ht="17.25" customHeight="1" thickBot="1">
      <c r="A24" s="347"/>
      <c r="B24" s="1338"/>
      <c r="C24" s="346"/>
      <c r="D24" s="346"/>
      <c r="E24" s="346"/>
      <c r="F24" s="345"/>
      <c r="G24" s="344"/>
      <c r="H24" s="344"/>
      <c r="I24" s="344"/>
      <c r="J24" s="344"/>
      <c r="K24" s="343"/>
      <c r="L24" s="343"/>
      <c r="M24" s="343"/>
      <c r="N24" s="1323"/>
    </row>
    <row r="25" spans="1:14" ht="63" thickBot="1">
      <c r="A25" s="373" t="s">
        <v>99</v>
      </c>
      <c r="B25" s="511" t="s">
        <v>89</v>
      </c>
      <c r="C25" s="107" t="s">
        <v>1473</v>
      </c>
      <c r="D25" s="370" t="s">
        <v>87</v>
      </c>
      <c r="E25" s="369" t="s">
        <v>86</v>
      </c>
      <c r="F25" s="90" t="s">
        <v>85</v>
      </c>
      <c r="G25" s="90" t="s">
        <v>98</v>
      </c>
      <c r="H25" s="90" t="s">
        <v>97</v>
      </c>
      <c r="I25" s="90" t="s">
        <v>82</v>
      </c>
      <c r="J25" s="90" t="s">
        <v>96</v>
      </c>
      <c r="K25" s="103" t="s">
        <v>80</v>
      </c>
      <c r="L25" s="103" t="s">
        <v>79</v>
      </c>
      <c r="M25" s="103" t="s">
        <v>95</v>
      </c>
      <c r="N25" s="368" t="s">
        <v>78</v>
      </c>
    </row>
    <row r="26" spans="1:14" ht="16.8" thickTop="1" thickBot="1">
      <c r="A26" s="658"/>
      <c r="B26" s="1336"/>
      <c r="C26" s="100">
        <v>0</v>
      </c>
      <c r="D26" s="169">
        <v>0</v>
      </c>
      <c r="E26" s="320">
        <f>SUM(C26:C26)</f>
        <v>0</v>
      </c>
      <c r="F26" s="659"/>
      <c r="G26" s="99">
        <v>0</v>
      </c>
      <c r="H26" s="165"/>
      <c r="I26" s="328"/>
      <c r="J26" s="165"/>
      <c r="K26" s="164">
        <f>(G26*H26)/1000</f>
        <v>0</v>
      </c>
      <c r="L26" s="164">
        <f>J26*K26</f>
        <v>0</v>
      </c>
      <c r="M26" s="164">
        <f>G26*I26</f>
        <v>0</v>
      </c>
      <c r="N26" s="853"/>
    </row>
    <row r="27" spans="1:46" s="628" customFormat="1" ht="22.5" customHeight="1" thickTop="1" thickBot="1">
      <c r="A27" s="321" t="s">
        <v>102</v>
      </c>
      <c r="B27" s="1339">
        <f>SUM(C26)</f>
        <v>0</v>
      </c>
      <c r="D27" s="96">
        <f>SUM(D26)</f>
        <v>0</v>
      </c>
      <c r="E27" s="96">
        <f>SUM(E26)</f>
        <v>0</v>
      </c>
      <c r="F27" s="95" t="s">
        <v>76</v>
      </c>
      <c r="G27" s="94">
        <f>SUM(G26)</f>
        <v>0</v>
      </c>
      <c r="H27" s="94"/>
      <c r="I27" s="94"/>
      <c r="J27" s="159"/>
      <c r="K27" s="159">
        <f>SUM(K26)</f>
        <v>0</v>
      </c>
      <c r="L27" s="159">
        <f>SUM(L26)</f>
        <v>0</v>
      </c>
      <c r="M27" s="138">
        <f>SUM(M26)</f>
        <v>0</v>
      </c>
      <c r="N27" s="847"/>
      <c r="AS27" s="654"/>
      <c r="AT27" s="654"/>
    </row>
    <row r="28" spans="1:46" s="628" customFormat="1" ht="22.5" customHeight="1" thickBot="1">
      <c r="A28" s="133"/>
      <c r="B28" s="670"/>
      <c r="C28" s="133"/>
      <c r="D28" s="133"/>
      <c r="E28" s="133"/>
      <c r="F28" s="133"/>
      <c r="G28" s="133"/>
      <c r="H28" s="133"/>
      <c r="I28" s="133"/>
      <c r="J28" s="133"/>
      <c r="K28" s="133"/>
      <c r="L28" s="133"/>
      <c r="M28" s="133"/>
      <c r="N28" s="670"/>
      <c r="AS28" s="654"/>
      <c r="AT28" s="654"/>
    </row>
    <row r="29" spans="1:14" ht="37.5" customHeight="1" thickBot="1">
      <c r="A29" s="1696" t="s">
        <v>101</v>
      </c>
      <c r="B29" s="1697"/>
      <c r="C29" s="1697"/>
      <c r="D29" s="1697"/>
      <c r="E29" s="1697"/>
      <c r="F29" s="1697"/>
      <c r="G29" s="1697"/>
      <c r="H29" s="1697"/>
      <c r="I29" s="1697"/>
      <c r="J29" s="1697"/>
      <c r="K29" s="1697"/>
      <c r="L29" s="1697"/>
      <c r="M29" s="1697"/>
      <c r="N29" s="1698"/>
    </row>
    <row r="30" spans="1:14" ht="63" thickBot="1">
      <c r="A30" s="91" t="s">
        <v>90</v>
      </c>
      <c r="B30" s="107" t="s">
        <v>89</v>
      </c>
      <c r="C30" s="107" t="s">
        <v>1473</v>
      </c>
      <c r="D30" s="106" t="s">
        <v>87</v>
      </c>
      <c r="E30" s="105" t="s">
        <v>86</v>
      </c>
      <c r="F30" s="104" t="s">
        <v>85</v>
      </c>
      <c r="G30" s="103" t="s">
        <v>84</v>
      </c>
      <c r="H30" s="90" t="s">
        <v>97</v>
      </c>
      <c r="I30" s="90" t="s">
        <v>82</v>
      </c>
      <c r="J30" s="90" t="s">
        <v>96</v>
      </c>
      <c r="K30" s="90" t="s">
        <v>80</v>
      </c>
      <c r="L30" s="90" t="s">
        <v>79</v>
      </c>
      <c r="M30" s="90" t="s">
        <v>95</v>
      </c>
      <c r="N30" s="141" t="s">
        <v>78</v>
      </c>
    </row>
    <row r="31" spans="1:14" ht="16.8" thickTop="1" thickBot="1">
      <c r="A31" s="172"/>
      <c r="B31" s="1340"/>
      <c r="C31" s="100">
        <v>0</v>
      </c>
      <c r="D31" s="169">
        <v>0</v>
      </c>
      <c r="E31" s="320">
        <f>SUM(C31:C31)</f>
        <v>0</v>
      </c>
      <c r="F31" s="178"/>
      <c r="G31" s="99">
        <v>0</v>
      </c>
      <c r="H31" s="175"/>
      <c r="I31" s="181"/>
      <c r="J31" s="175"/>
      <c r="K31" s="164">
        <f>(G31*H31)/1000</f>
        <v>0</v>
      </c>
      <c r="L31" s="164">
        <f>J31*K31</f>
        <v>0</v>
      </c>
      <c r="M31" s="164">
        <f>G31*I31</f>
        <v>0</v>
      </c>
      <c r="N31" s="853"/>
    </row>
    <row r="32" spans="1:14" ht="22.5" customHeight="1" thickTop="1" thickBot="1">
      <c r="A32" s="161" t="s">
        <v>100</v>
      </c>
      <c r="B32" s="1341"/>
      <c r="C32" s="96">
        <f>SUM(C31)</f>
        <v>0</v>
      </c>
      <c r="D32" s="96">
        <f>SUM(D31)</f>
        <v>0</v>
      </c>
      <c r="E32" s="96">
        <f>SUM(E31)</f>
        <v>0</v>
      </c>
      <c r="F32" s="376" t="s">
        <v>76</v>
      </c>
      <c r="G32" s="94">
        <f>SUM(G31)</f>
        <v>0</v>
      </c>
      <c r="H32" s="375"/>
      <c r="I32" s="375"/>
      <c r="J32" s="374"/>
      <c r="K32" s="159">
        <f>SUM(K31)</f>
        <v>0</v>
      </c>
      <c r="L32" s="159">
        <f>SUM(L31)</f>
        <v>0</v>
      </c>
      <c r="M32" s="138">
        <f>SUM(M31)</f>
        <v>0</v>
      </c>
      <c r="N32" s="847"/>
    </row>
    <row r="33" spans="1:46" s="628" customFormat="1" ht="22.5" customHeight="1" thickBot="1">
      <c r="A33" s="347"/>
      <c r="B33" s="1338"/>
      <c r="C33" s="346"/>
      <c r="D33" s="346"/>
      <c r="E33" s="346"/>
      <c r="F33" s="345"/>
      <c r="G33" s="344"/>
      <c r="H33" s="344"/>
      <c r="I33" s="344"/>
      <c r="J33" s="344"/>
      <c r="K33" s="343"/>
      <c r="L33" s="343"/>
      <c r="M33" s="343"/>
      <c r="N33" s="1323"/>
      <c r="AS33" s="654"/>
      <c r="AT33" s="654"/>
    </row>
    <row r="34" spans="1:14" ht="63" thickBot="1">
      <c r="A34" s="373" t="s">
        <v>99</v>
      </c>
      <c r="B34" s="511" t="s">
        <v>89</v>
      </c>
      <c r="C34" s="107" t="s">
        <v>1473</v>
      </c>
      <c r="D34" s="370" t="s">
        <v>87</v>
      </c>
      <c r="E34" s="369" t="s">
        <v>86</v>
      </c>
      <c r="F34" s="90" t="s">
        <v>85</v>
      </c>
      <c r="G34" s="90" t="s">
        <v>98</v>
      </c>
      <c r="H34" s="90" t="s">
        <v>97</v>
      </c>
      <c r="I34" s="90" t="s">
        <v>82</v>
      </c>
      <c r="J34" s="90" t="s">
        <v>96</v>
      </c>
      <c r="K34" s="90" t="s">
        <v>80</v>
      </c>
      <c r="L34" s="90" t="s">
        <v>79</v>
      </c>
      <c r="M34" s="90" t="s">
        <v>95</v>
      </c>
      <c r="N34" s="368" t="s">
        <v>78</v>
      </c>
    </row>
    <row r="35" spans="1:14" ht="16.8" thickTop="1" thickBot="1">
      <c r="A35" s="140"/>
      <c r="B35" s="1342"/>
      <c r="C35" s="100">
        <v>0</v>
      </c>
      <c r="D35" s="169">
        <v>0</v>
      </c>
      <c r="E35" s="320">
        <f>SUM(C35:C35)</f>
        <v>0</v>
      </c>
      <c r="F35" s="318"/>
      <c r="G35" s="99">
        <v>0</v>
      </c>
      <c r="H35" s="319"/>
      <c r="I35" s="318"/>
      <c r="J35" s="317"/>
      <c r="K35" s="164">
        <f>(G35*H35)/1000</f>
        <v>0</v>
      </c>
      <c r="L35" s="164">
        <f>J35*K35</f>
        <v>0</v>
      </c>
      <c r="M35" s="164">
        <f>G35*I35</f>
        <v>0</v>
      </c>
      <c r="N35" s="853"/>
    </row>
    <row r="36" spans="1:46" s="628" customFormat="1" ht="22.5" customHeight="1" thickTop="1" thickBot="1">
      <c r="A36" s="321" t="s">
        <v>93</v>
      </c>
      <c r="B36" s="1337"/>
      <c r="C36" s="96">
        <f>SUM(C35)</f>
        <v>0</v>
      </c>
      <c r="D36" s="96">
        <f>SUM(D35)</f>
        <v>0</v>
      </c>
      <c r="E36" s="96">
        <f>SUM(E35)</f>
        <v>0</v>
      </c>
      <c r="F36" s="376" t="s">
        <v>76</v>
      </c>
      <c r="G36" s="94">
        <f>SUM(G35)</f>
        <v>0</v>
      </c>
      <c r="H36" s="94"/>
      <c r="I36" s="94"/>
      <c r="J36" s="159"/>
      <c r="K36" s="159">
        <f>SUM(K35)</f>
        <v>0</v>
      </c>
      <c r="L36" s="159">
        <f>SUM(L35)</f>
        <v>0</v>
      </c>
      <c r="M36" s="138">
        <f>SUM(M35)</f>
        <v>0</v>
      </c>
      <c r="N36" s="847"/>
      <c r="AS36" s="654"/>
      <c r="AT36" s="654"/>
    </row>
    <row r="37" spans="1:13" ht="15.75" customHeight="1">
      <c r="A37" s="661"/>
      <c r="B37" s="1343"/>
      <c r="C37" s="662"/>
      <c r="D37" s="662"/>
      <c r="E37" s="662"/>
      <c r="F37" s="662"/>
      <c r="G37" s="662"/>
      <c r="H37" s="662"/>
      <c r="I37" s="662"/>
      <c r="J37" s="662"/>
      <c r="K37" s="662"/>
      <c r="L37" s="662"/>
      <c r="M37" s="459"/>
    </row>
    <row r="38" spans="1:14" ht="37.5" customHeight="1">
      <c r="A38" s="1699" t="s">
        <v>91</v>
      </c>
      <c r="B38" s="1699"/>
      <c r="C38" s="1699"/>
      <c r="D38" s="1699"/>
      <c r="E38" s="1699"/>
      <c r="F38" s="1699"/>
      <c r="G38" s="1699"/>
      <c r="H38" s="1699"/>
      <c r="I38" s="1699"/>
      <c r="J38" s="1699"/>
      <c r="K38" s="1699"/>
      <c r="L38" s="1699"/>
      <c r="M38" s="1699"/>
      <c r="N38" s="1699"/>
    </row>
    <row r="39" spans="1:14" ht="71.55" customHeight="1">
      <c r="A39" s="434" t="s">
        <v>90</v>
      </c>
      <c r="B39" s="434" t="s">
        <v>89</v>
      </c>
      <c r="C39" s="434" t="s">
        <v>1473</v>
      </c>
      <c r="D39" s="1346" t="s">
        <v>87</v>
      </c>
      <c r="E39" s="434" t="s">
        <v>86</v>
      </c>
      <c r="F39" s="434" t="s">
        <v>85</v>
      </c>
      <c r="G39" s="434" t="s">
        <v>84</v>
      </c>
      <c r="H39" s="434" t="s">
        <v>97</v>
      </c>
      <c r="I39" s="434" t="s">
        <v>82</v>
      </c>
      <c r="J39" s="434" t="s">
        <v>81</v>
      </c>
      <c r="K39" s="434" t="s">
        <v>80</v>
      </c>
      <c r="L39" s="434" t="s">
        <v>79</v>
      </c>
      <c r="M39" s="434" t="s">
        <v>95</v>
      </c>
      <c r="N39" s="434" t="s">
        <v>78</v>
      </c>
    </row>
    <row r="40" spans="1:14" ht="57.6">
      <c r="A40" s="209" t="s">
        <v>1638</v>
      </c>
      <c r="B40" s="1347" t="s">
        <v>1609</v>
      </c>
      <c r="C40" s="1348"/>
      <c r="D40" s="1348"/>
      <c r="E40" s="1348"/>
      <c r="F40" s="178" t="s">
        <v>1338</v>
      </c>
      <c r="G40" s="1349">
        <v>1</v>
      </c>
      <c r="H40" s="175">
        <f>(4550/1000)*'General Lighting Factors'!$E$25</f>
        <v>8604.0499999999993</v>
      </c>
      <c r="I40" s="175">
        <v>0</v>
      </c>
      <c r="J40" s="175">
        <f>AVERAGEIFS('General Lighting Calculations'!$Q$4:$Q$27,'General Lighting Calculations'!$J$4:$J$27,"LED")</f>
        <v>17.766797828901485</v>
      </c>
      <c r="K40" s="1355">
        <f>(H40)/1000</f>
        <v>8.6040499999999991</v>
      </c>
      <c r="L40" s="1355">
        <f>J40*K40</f>
        <v>152.8664168597598</v>
      </c>
      <c r="M40" s="164">
        <f>I40</f>
        <v>0</v>
      </c>
      <c r="N40" s="846" t="s">
        <v>1760</v>
      </c>
    </row>
    <row r="41" spans="1:14" ht="72">
      <c r="A41" s="209" t="s">
        <v>1638</v>
      </c>
      <c r="B41" s="1347" t="s">
        <v>1542</v>
      </c>
      <c r="C41" s="1348"/>
      <c r="D41" s="1348"/>
      <c r="E41" s="1348"/>
      <c r="F41" s="178" t="s">
        <v>1338</v>
      </c>
      <c r="G41" s="1349">
        <v>1</v>
      </c>
      <c r="H41" s="175">
        <f>(8800/1000)*3068</f>
        <v>26998.40</v>
      </c>
      <c r="I41" s="175">
        <v>0</v>
      </c>
      <c r="J41" s="175">
        <f>'Clay Heat Pumps'!$K$38</f>
        <v>12</v>
      </c>
      <c r="K41" s="1355">
        <f>(H41)/1000</f>
        <v>26.9984</v>
      </c>
      <c r="L41" s="1355">
        <f>J41*K41</f>
        <v>323.98079999999999</v>
      </c>
      <c r="M41" s="164">
        <f>I41</f>
        <v>0</v>
      </c>
      <c r="N41" s="846" t="s">
        <v>1762</v>
      </c>
    </row>
    <row r="42" spans="1:14" ht="72">
      <c r="A42" s="209" t="s">
        <v>1638</v>
      </c>
      <c r="B42" s="1347" t="s">
        <v>1543</v>
      </c>
      <c r="C42" s="1348"/>
      <c r="D42" s="1348"/>
      <c r="E42" s="1348"/>
      <c r="F42" s="178" t="s">
        <v>1338</v>
      </c>
      <c r="G42" s="1349">
        <v>1</v>
      </c>
      <c r="H42" s="175">
        <f>(15500/1000)*'General Lighting Factors'!$E$27</f>
        <v>63550</v>
      </c>
      <c r="I42" s="175">
        <v>0</v>
      </c>
      <c r="J42" s="175">
        <f>'40W Streetlight'!$E$40</f>
        <v>12.367054167697255</v>
      </c>
      <c r="K42" s="1355">
        <f>(H42)/1000</f>
        <v>63.55</v>
      </c>
      <c r="L42" s="1355">
        <f>J42*K42</f>
        <v>785.92629235716049</v>
      </c>
      <c r="M42" s="164">
        <f>I42</f>
        <v>0</v>
      </c>
      <c r="N42" s="846" t="s">
        <v>1761</v>
      </c>
    </row>
    <row r="43" spans="1:14" ht="28.8">
      <c r="A43" s="209" t="s">
        <v>1575</v>
      </c>
      <c r="B43" s="1347" t="s">
        <v>1446</v>
      </c>
      <c r="C43" s="1348"/>
      <c r="D43" s="1348"/>
      <c r="E43" s="1348"/>
      <c r="F43" s="178" t="s">
        <v>1577</v>
      </c>
      <c r="G43" s="1350">
        <f>SUMIFS('General Lighting Calculations'!$S:$S,'General Lighting Calculations'!$AF:$AF,1,'General Lighting Calculations'!$B:$B,"Seminole",'General Lighting Calculations'!$I:$I,"HQ")</f>
        <v>63</v>
      </c>
      <c r="H43" s="175">
        <f>SUMIFS('General Lighting Calculations'!$Y:$Y,'General Lighting Calculations'!$AF:$AF,1,'General Lighting Calculations'!$B:$B,"Seminole",'General Lighting Calculations'!$I:$I,"HQ")/$G43</f>
        <v>214.70309523809524</v>
      </c>
      <c r="I43" s="181">
        <f>SUMIFS('General Lighting Calculations'!$AE:$AE,'General Lighting Calculations'!$AF:$AF,1,'General Lighting Calculations'!$B:$B,"Seminole",'General Lighting Calculations'!$I:$I,"HQ")/$G43</f>
        <v>0.051777816888888897</v>
      </c>
      <c r="J43" s="175">
        <f>AVERAGEIFS('General Lighting Calculations'!$Q:$Q,'General Lighting Calculations'!$AF:$AF,1,'General Lighting Calculations'!$B:$B,"Seminole",'General Lighting Calculations'!$I:$I,"HQ")</f>
        <v>16.345644143851835</v>
      </c>
      <c r="K43" s="1356">
        <f>(G43*H43)/1000</f>
        <v>13.526294999999999</v>
      </c>
      <c r="L43" s="1356">
        <f>J43*K43</f>
        <v>221.09600465476234</v>
      </c>
      <c r="M43" s="176">
        <f>G43*I43</f>
        <v>3.2620024640000005</v>
      </c>
      <c r="N43" s="841"/>
    </row>
    <row r="44" spans="1:14" ht="28.8">
      <c r="A44" s="209" t="s">
        <v>1576</v>
      </c>
      <c r="B44" s="1347" t="s">
        <v>1446</v>
      </c>
      <c r="C44" s="1348"/>
      <c r="D44" s="1348"/>
      <c r="E44" s="1348"/>
      <c r="F44" s="178" t="s">
        <v>1577</v>
      </c>
      <c r="G44" s="1350">
        <f>SUMIFS('General Lighting Calculations'!$S:$S,'General Lighting Calculations'!$AF:$AF,1,'General Lighting Calculations'!$B:$B,"Seminole",'General Lighting Calculations'!$I:$I,"SGS")</f>
        <v>244</v>
      </c>
      <c r="H44" s="175">
        <f>SUMIFS('General Lighting Calculations'!$Y:$Y,'General Lighting Calculations'!$AF:$AF,1,'General Lighting Calculations'!$B:$B,"Seminole",'General Lighting Calculations'!$I:$I,"SGS")/$G43</f>
        <v>704.14314285714283</v>
      </c>
      <c r="I44" s="181">
        <f>AVERAGEIFS('General Lighting Calculations'!$AE:$AE,'General Lighting Calculations'!$AF:$AF,1,'General Lighting Calculations'!$B:$B,"Seminole",'General Lighting Calculations'!$I:$I,"SGS")/$G43</f>
        <v>0.045984998399999991</v>
      </c>
      <c r="J44" s="175">
        <f>AVERAGEIFS('General Lighting Calculations'!$Q:$Q,'General Lighting Calculations'!$AF:$AF,1,'General Lighting Calculations'!$B:$B,"Seminole",'General Lighting Calculations'!$I:$I,"SGS")</f>
        <v>20.309723280020311</v>
      </c>
      <c r="K44" s="1356">
        <f>(G44*H44)/1000</f>
        <v>171.81092685714285</v>
      </c>
      <c r="L44" s="1356">
        <f>J44*K44</f>
        <v>3489.4323809523808</v>
      </c>
      <c r="M44" s="176">
        <f>G44*I44</f>
        <v>11.220339609599998</v>
      </c>
      <c r="N44" s="841"/>
    </row>
    <row r="45" spans="1:14" ht="22.5" customHeight="1">
      <c r="A45" s="1353" t="s">
        <v>77</v>
      </c>
      <c r="B45" s="1352"/>
      <c r="C45" s="1352">
        <f>SUM(C40:C44)</f>
        <v>0</v>
      </c>
      <c r="D45" s="1352">
        <f>SUM(D40:D44)</f>
        <v>0</v>
      </c>
      <c r="E45" s="1352">
        <f>SUM(E40:E44)</f>
        <v>0</v>
      </c>
      <c r="F45" s="1352" t="s">
        <v>76</v>
      </c>
      <c r="G45" s="1352">
        <f>SUM(G40:G44)</f>
        <v>310</v>
      </c>
      <c r="H45" s="1352"/>
      <c r="I45" s="1352"/>
      <c r="J45" s="1352"/>
      <c r="K45" s="1357">
        <f>SUM(K40:K44)</f>
        <v>284.48967185714287</v>
      </c>
      <c r="L45" s="1357">
        <f>SUM(L40:L44)</f>
        <v>4973.3018948240633</v>
      </c>
      <c r="M45" s="1354">
        <f>SUM(M40:M44)</f>
        <v>14.482342073599998</v>
      </c>
      <c r="N45" s="1352"/>
    </row>
    <row r="46" spans="1:12" ht="15.75" customHeight="1" thickBot="1">
      <c r="A46" s="93"/>
      <c r="B46" s="1344"/>
      <c r="C46" s="92"/>
      <c r="D46" s="92"/>
      <c r="E46" s="92"/>
      <c r="F46" s="92"/>
      <c r="G46" s="92"/>
      <c r="H46" s="92"/>
      <c r="I46" s="92"/>
      <c r="J46" s="92"/>
      <c r="K46" s="92" t="s">
        <v>1544</v>
      </c>
      <c r="L46" s="92"/>
    </row>
    <row r="47" spans="1:3" ht="21.6" thickBot="1">
      <c r="A47" s="1679" t="s">
        <v>75</v>
      </c>
      <c r="B47" s="1680"/>
      <c r="C47" s="1681"/>
    </row>
    <row r="48" spans="1:8" ht="15.6">
      <c r="A48" s="91" t="s">
        <v>74</v>
      </c>
      <c r="B48" s="90" t="s">
        <v>73</v>
      </c>
      <c r="C48" s="89" t="s">
        <v>72</v>
      </c>
      <c r="H48" s="663"/>
    </row>
    <row r="49" spans="1:3" ht="14.4">
      <c r="A49" s="523" t="s">
        <v>61</v>
      </c>
      <c r="B49" s="1006">
        <v>0</v>
      </c>
      <c r="C49" s="664">
        <v>0</v>
      </c>
    </row>
    <row r="50" spans="1:3" ht="14.4">
      <c r="A50" s="523" t="s">
        <v>60</v>
      </c>
      <c r="B50" s="1006">
        <v>0</v>
      </c>
      <c r="C50" s="664">
        <v>0</v>
      </c>
    </row>
    <row r="51" spans="1:3" ht="14.4">
      <c r="A51" s="523" t="s">
        <v>59</v>
      </c>
      <c r="B51" s="1006">
        <v>0</v>
      </c>
      <c r="C51" s="664">
        <v>0</v>
      </c>
    </row>
    <row r="52" spans="1:3" ht="16.2" thickBot="1">
      <c r="A52" s="85" t="str">
        <f>"Total for "&amp;A47</f>
        <v>Total for Advanced Metering</v>
      </c>
      <c r="B52" s="1345">
        <f>SUM(B49:B51)</f>
        <v>0</v>
      </c>
      <c r="C52" s="83">
        <f>SUM(C49:C51)</f>
        <v>0</v>
      </c>
    </row>
    <row r="53" ht="14.4"/>
    <row r="54" ht="14.4"/>
    <row r="55" ht="14.4"/>
    <row r="56" ht="14.4"/>
    <row r="57" ht="15.6">
      <c r="K57" s="434"/>
    </row>
    <row r="58" ht="15.6">
      <c r="K58" s="434"/>
    </row>
    <row r="64" ht="409.5" customHeight="1"/>
  </sheetData>
  <mergeCells count="30">
    <mergeCell ref="A1:N1"/>
    <mergeCell ref="AN20:AQ20"/>
    <mergeCell ref="AS20:AT20"/>
    <mergeCell ref="A29:N29"/>
    <mergeCell ref="A38:N38"/>
    <mergeCell ref="AF20:AI20"/>
    <mergeCell ref="AJ20:AM20"/>
    <mergeCell ref="F16:H16"/>
    <mergeCell ref="AB18:AE18"/>
    <mergeCell ref="AJ18:AM18"/>
    <mergeCell ref="A19:N19"/>
    <mergeCell ref="S19:AA19"/>
    <mergeCell ref="AB19:AQ19"/>
    <mergeCell ref="F15:H15"/>
    <mergeCell ref="A4:N4"/>
    <mergeCell ref="F6:H6"/>
    <mergeCell ref="A47:C47"/>
    <mergeCell ref="C20:E20"/>
    <mergeCell ref="F20:L20"/>
    <mergeCell ref="S20:AA20"/>
    <mergeCell ref="AB20:AE20"/>
    <mergeCell ref="F11:H11"/>
    <mergeCell ref="F12:H12"/>
    <mergeCell ref="F13:H13"/>
    <mergeCell ref="F14:H14"/>
    <mergeCell ref="S6:U6"/>
    <mergeCell ref="F7:H7"/>
    <mergeCell ref="F8:H8"/>
    <mergeCell ref="F9:H9"/>
    <mergeCell ref="F10:H10"/>
  </mergeCells>
  <pageMargins left="0.7" right="0.7" top="0.75" bottom="0.75" header="0.3" footer="0.3"/>
  <pageSetup orientation="landscape" scale="10" r:id="rId2"/>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tint="-0.24997"/>
  </sheetPr>
  <dimension ref="A1:AU49"/>
  <sheetViews>
    <sheetView zoomScale="70" zoomScaleNormal="70" workbookViewId="0" topLeftCell="V6">
      <selection pane="topLeft" activeCell="A1" sqref="A1"/>
    </sheetView>
  </sheetViews>
  <sheetFormatPr defaultColWidth="9.21875" defaultRowHeight="14.4" outlineLevelCol="1"/>
  <cols>
    <col min="1" max="1" width="22.6666666666667" style="614" customWidth="1"/>
    <col min="2" max="2" width="22.6666666666667" style="613" customWidth="1"/>
    <col min="3" max="5" width="16.6666666666667" style="613" customWidth="1"/>
    <col min="6" max="13" width="12.6666666666667" style="613" customWidth="1"/>
    <col min="14" max="14" width="36.6666666666667" style="614" customWidth="1"/>
    <col min="15" max="15" width="10.5555555555556" style="613" hidden="1" customWidth="1"/>
    <col min="16" max="16" width="35.7777777777778" style="613" customWidth="1"/>
    <col min="17" max="17" width="10.5555555555556" style="613" hidden="1" customWidth="1"/>
    <col min="18" max="18" width="2.55555555555556" style="613" customWidth="1"/>
    <col min="19" max="19" width="33.7777777777778" style="613" bestFit="1" customWidth="1"/>
    <col min="20" max="20" width="13.2222222222222" style="613" bestFit="1" customWidth="1"/>
    <col min="21" max="21" width="32.7777777777778" style="613" bestFit="1" customWidth="1"/>
    <col min="22" max="27" width="10.7777777777778" style="613" customWidth="1"/>
    <col min="28" max="31" width="10.7777777777778" style="613" customWidth="1" outlineLevel="1"/>
    <col min="32" max="32" width="10.7777777777778" style="613" customWidth="1" collapsed="1"/>
    <col min="33" max="33" width="14.5555555555556" style="613" bestFit="1" customWidth="1"/>
    <col min="34" max="34" width="13.4444444444444" style="613" bestFit="1" customWidth="1"/>
    <col min="35" max="35" width="10.7777777777778" style="613" customWidth="1"/>
    <col min="36" max="39" width="10.7777777777778" style="613" customWidth="1" outlineLevel="1"/>
    <col min="40" max="40" width="10.7777777777778" style="613" customWidth="1" collapsed="1"/>
    <col min="41" max="41" width="14.5555555555556" style="613" bestFit="1" customWidth="1"/>
    <col min="42" max="42" width="13.4444444444444" style="613" bestFit="1" customWidth="1"/>
    <col min="43" max="43" width="10.7777777777778" style="613" customWidth="1"/>
    <col min="44" max="44" width="9.22222222222222" style="613"/>
    <col min="45" max="46" width="15.5555555555556" style="671" customWidth="1"/>
    <col min="47" max="47" width="15.5555555555556" style="613" customWidth="1"/>
    <col min="48" max="16384" width="9.22222222222222" style="613"/>
  </cols>
  <sheetData>
    <row r="1" spans="1:39" ht="14.4">
      <c r="A1" s="1749" t="s">
        <v>1624</v>
      </c>
      <c r="B1" s="1749"/>
      <c r="C1" s="1749"/>
      <c r="D1" s="1749"/>
      <c r="E1" s="1749"/>
      <c r="F1" s="1749"/>
      <c r="G1" s="1749"/>
      <c r="H1" s="1749"/>
      <c r="I1" s="1749"/>
      <c r="J1" s="1749"/>
      <c r="K1" s="1749"/>
      <c r="L1" s="1749"/>
      <c r="M1" s="1749"/>
      <c r="N1" s="1749"/>
      <c r="O1" s="613"/>
      <c r="P1" s="613"/>
      <c r="Q1" s="613"/>
      <c r="AB1" s="613"/>
      <c r="AC1" s="613"/>
      <c r="AD1" s="613"/>
      <c r="AE1" s="613"/>
      <c r="AJ1" s="613"/>
      <c r="AK1" s="613"/>
      <c r="AL1" s="613"/>
      <c r="AM1" s="613"/>
    </row>
    <row r="2" spans="2:39" ht="14.4">
      <c r="B2" s="614"/>
      <c r="C2" s="614"/>
      <c r="D2" s="614"/>
      <c r="E2" s="614"/>
      <c r="F2" s="614"/>
      <c r="G2" s="614"/>
      <c r="H2" s="614"/>
      <c r="I2" s="614"/>
      <c r="J2" s="614"/>
      <c r="K2" s="614"/>
      <c r="L2" s="614"/>
      <c r="M2" s="614"/>
      <c r="O2" s="613"/>
      <c r="P2" s="613"/>
      <c r="Q2" s="613"/>
      <c r="AB2" s="613"/>
      <c r="AC2" s="613"/>
      <c r="AD2" s="613"/>
      <c r="AE2" s="613"/>
      <c r="AJ2" s="613"/>
      <c r="AK2" s="613"/>
      <c r="AL2" s="613"/>
      <c r="AM2" s="613"/>
    </row>
    <row r="3" spans="15:39" ht="14.4">
      <c r="O3" s="613"/>
      <c r="P3" s="613"/>
      <c r="Q3" s="613"/>
      <c r="AB3" s="613"/>
      <c r="AC3" s="613"/>
      <c r="AD3" s="613"/>
      <c r="AE3" s="613"/>
      <c r="AJ3" s="613"/>
      <c r="AK3" s="613"/>
      <c r="AL3" s="613"/>
      <c r="AM3" s="613"/>
    </row>
    <row r="4" spans="1:39" ht="25.8">
      <c r="A4" s="1756" t="str">
        <f>"Talquin "&amp;$T$4</f>
        <v>Talquin 2015</v>
      </c>
      <c r="B4" s="1757"/>
      <c r="C4" s="1757"/>
      <c r="D4" s="1757"/>
      <c r="E4" s="1757"/>
      <c r="F4" s="1757"/>
      <c r="G4" s="1757"/>
      <c r="H4" s="1757"/>
      <c r="I4" s="1757"/>
      <c r="J4" s="1757"/>
      <c r="K4" s="1757"/>
      <c r="L4" s="1757"/>
      <c r="M4" s="1757"/>
      <c r="N4" s="1757"/>
      <c r="O4" s="613"/>
      <c r="P4" s="613"/>
      <c r="Q4" s="613"/>
      <c r="S4" s="672" t="s">
        <v>1160</v>
      </c>
      <c r="T4" s="672">
        <f>'Save Spend Summary'!$C$2</f>
        <v>2015</v>
      </c>
      <c r="AB4" s="613"/>
      <c r="AC4" s="613"/>
      <c r="AD4" s="613"/>
      <c r="AE4" s="613"/>
      <c r="AJ4" s="613"/>
      <c r="AK4" s="613"/>
      <c r="AL4" s="613"/>
      <c r="AM4" s="613"/>
    </row>
    <row r="5" spans="1:46" s="674" customFormat="1" ht="15" thickBot="1">
      <c r="A5" s="1358"/>
      <c r="B5" s="673"/>
      <c r="C5" s="673"/>
      <c r="D5" s="673"/>
      <c r="E5" s="673"/>
      <c r="F5" s="673"/>
      <c r="G5" s="673"/>
      <c r="H5" s="673"/>
      <c r="I5" s="673"/>
      <c r="J5" s="673"/>
      <c r="K5" s="673"/>
      <c r="L5" s="673"/>
      <c r="N5" s="675"/>
      <c r="O5" s="674"/>
      <c r="P5" s="674"/>
      <c r="Q5" s="674"/>
      <c r="AB5" s="674"/>
      <c r="AC5" s="674"/>
      <c r="AD5" s="674"/>
      <c r="AE5" s="674"/>
      <c r="AJ5" s="674"/>
      <c r="AK5" s="674"/>
      <c r="AL5" s="674"/>
      <c r="AM5" s="674"/>
      <c r="AS5" s="676"/>
      <c r="AT5" s="676"/>
    </row>
    <row r="6" spans="1:46" s="674" customFormat="1" ht="84.6" thickBot="1">
      <c r="A6" s="1304" t="s">
        <v>139</v>
      </c>
      <c r="B6" s="678" t="s">
        <v>88</v>
      </c>
      <c r="C6" s="679" t="s">
        <v>87</v>
      </c>
      <c r="D6" s="680" t="s">
        <v>86</v>
      </c>
      <c r="F6" s="1758" t="s">
        <v>138</v>
      </c>
      <c r="G6" s="1759"/>
      <c r="H6" s="1759"/>
      <c r="I6" s="681" t="s">
        <v>80</v>
      </c>
      <c r="J6" s="681" t="s">
        <v>79</v>
      </c>
      <c r="K6" s="682" t="s">
        <v>95</v>
      </c>
      <c r="N6" s="675"/>
      <c r="O6" s="674"/>
      <c r="P6" s="674"/>
      <c r="Q6" s="674"/>
      <c r="S6" s="1715" t="s">
        <v>834</v>
      </c>
      <c r="T6" s="1716"/>
      <c r="U6" s="1717"/>
      <c r="AB6" s="674"/>
      <c r="AC6" s="674"/>
      <c r="AD6" s="674"/>
      <c r="AE6" s="674"/>
      <c r="AJ6" s="674"/>
      <c r="AK6" s="674"/>
      <c r="AL6" s="674"/>
      <c r="AM6" s="674"/>
      <c r="AS6" s="676"/>
      <c r="AT6" s="676"/>
    </row>
    <row r="7" spans="1:46" s="674" customFormat="1" ht="15.6">
      <c r="A7" s="1359" t="s">
        <v>136</v>
      </c>
      <c r="B7" s="684"/>
      <c r="C7" s="684"/>
      <c r="D7" s="685"/>
      <c r="F7" s="1743" t="s">
        <v>136</v>
      </c>
      <c r="G7" s="1744"/>
      <c r="H7" s="1745"/>
      <c r="I7" s="684"/>
      <c r="J7" s="684"/>
      <c r="K7" s="685"/>
      <c r="N7" s="675"/>
      <c r="O7" s="674"/>
      <c r="P7" s="674"/>
      <c r="Q7" s="674"/>
      <c r="S7" s="686" t="s">
        <v>196</v>
      </c>
      <c r="T7" s="686" t="s">
        <v>194</v>
      </c>
      <c r="U7" s="686" t="s">
        <v>78</v>
      </c>
      <c r="AB7" s="674"/>
      <c r="AC7" s="674"/>
      <c r="AD7" s="674"/>
      <c r="AE7" s="674"/>
      <c r="AJ7" s="674"/>
      <c r="AK7" s="674"/>
      <c r="AL7" s="674"/>
      <c r="AM7" s="674"/>
      <c r="AS7" s="676"/>
      <c r="AT7" s="676"/>
    </row>
    <row r="8" spans="1:46" s="674" customFormat="1" ht="28.8">
      <c r="A8" s="1360" t="s">
        <v>134</v>
      </c>
      <c r="B8" s="688">
        <f>C24</f>
        <v>233160.21</v>
      </c>
      <c r="C8" s="688">
        <f>D24</f>
        <v>1847</v>
      </c>
      <c r="D8" s="689">
        <f>SUM(B8:C8)</f>
        <v>235007.21</v>
      </c>
      <c r="F8" s="1746" t="s">
        <v>134</v>
      </c>
      <c r="G8" s="1747"/>
      <c r="H8" s="1748"/>
      <c r="I8" s="690">
        <f>K24</f>
        <v>232.97034523980852</v>
      </c>
      <c r="J8" s="691">
        <f>L24</f>
        <v>339.22947163980848</v>
      </c>
      <c r="K8" s="692">
        <f>M24</f>
        <v>0.64931673151750968</v>
      </c>
      <c r="N8" s="675"/>
      <c r="O8" s="674"/>
      <c r="P8" s="674"/>
      <c r="Q8" s="674"/>
      <c r="S8" s="693" t="s">
        <v>833</v>
      </c>
      <c r="T8" s="694">
        <f>'Seminole Avoided Cost'!$C$8</f>
        <v>0.06</v>
      </c>
      <c r="U8" s="695" t="s">
        <v>1120</v>
      </c>
      <c r="AB8" s="674"/>
      <c r="AC8" s="674"/>
      <c r="AD8" s="674"/>
      <c r="AE8" s="674"/>
      <c r="AJ8" s="674"/>
      <c r="AK8" s="674"/>
      <c r="AL8" s="674"/>
      <c r="AM8" s="674"/>
      <c r="AS8" s="676"/>
      <c r="AT8" s="676"/>
    </row>
    <row r="9" spans="1:46" s="674" customFormat="1" ht="28.8">
      <c r="A9" s="1360" t="s">
        <v>132</v>
      </c>
      <c r="B9" s="696">
        <f>C33</f>
        <v>0</v>
      </c>
      <c r="C9" s="688">
        <f>D33</f>
        <v>0</v>
      </c>
      <c r="D9" s="689">
        <f>SUM(B9:C9)</f>
        <v>0</v>
      </c>
      <c r="F9" s="1746" t="s">
        <v>132</v>
      </c>
      <c r="G9" s="1747"/>
      <c r="H9" s="1748"/>
      <c r="I9" s="690">
        <f>K33</f>
        <v>0</v>
      </c>
      <c r="J9" s="690">
        <f>L33</f>
        <v>0</v>
      </c>
      <c r="K9" s="697">
        <f>M33</f>
        <v>0</v>
      </c>
      <c r="N9" s="675"/>
      <c r="O9" s="674"/>
      <c r="P9" s="674"/>
      <c r="Q9" s="674"/>
      <c r="S9" s="693" t="s">
        <v>832</v>
      </c>
      <c r="T9" s="698">
        <v>0</v>
      </c>
      <c r="U9" s="695" t="s">
        <v>857</v>
      </c>
      <c r="AB9" s="674"/>
      <c r="AC9" s="674"/>
      <c r="AD9" s="674"/>
      <c r="AE9" s="674"/>
      <c r="AJ9" s="674"/>
      <c r="AK9" s="674"/>
      <c r="AL9" s="674"/>
      <c r="AM9" s="674"/>
      <c r="AS9" s="676"/>
      <c r="AT9" s="676"/>
    </row>
    <row r="10" spans="1:47" s="674" customFormat="1" ht="16.2" thickBot="1">
      <c r="A10" s="1361" t="s">
        <v>130</v>
      </c>
      <c r="B10" s="696">
        <f>C42</f>
        <v>0</v>
      </c>
      <c r="C10" s="688">
        <f>D41</f>
        <v>0</v>
      </c>
      <c r="D10" s="700">
        <f>SUM(B10:C10)</f>
        <v>0</v>
      </c>
      <c r="F10" s="1729" t="s">
        <v>130</v>
      </c>
      <c r="G10" s="1730"/>
      <c r="H10" s="1731"/>
      <c r="I10" s="701">
        <f>K42</f>
        <v>232.19482949771691</v>
      </c>
      <c r="J10" s="702">
        <f>L42</f>
        <v>232.19482949771691</v>
      </c>
      <c r="K10" s="703">
        <f>M42</f>
        <v>4459.152</v>
      </c>
      <c r="N10" s="675"/>
      <c r="O10" s="674"/>
      <c r="P10" s="674"/>
      <c r="Q10" s="674"/>
      <c r="S10" s="693" t="s">
        <v>831</v>
      </c>
      <c r="T10" s="698">
        <v>0</v>
      </c>
      <c r="U10" s="695" t="s">
        <v>857</v>
      </c>
      <c r="AB10" s="674"/>
      <c r="AC10" s="674"/>
      <c r="AD10" s="674"/>
      <c r="AE10" s="674"/>
      <c r="AJ10" s="674"/>
      <c r="AK10" s="674"/>
      <c r="AL10" s="674"/>
      <c r="AM10" s="674"/>
      <c r="AS10" s="676"/>
      <c r="AT10" s="704"/>
      <c r="AU10" s="705"/>
    </row>
    <row r="11" spans="1:46" s="674" customFormat="1" ht="30" thickTop="1" thickBot="1">
      <c r="A11" s="1362" t="s">
        <v>129</v>
      </c>
      <c r="B11" s="707">
        <v>18000</v>
      </c>
      <c r="C11" s="708"/>
      <c r="D11" s="700">
        <f>SUM(B11:C11)</f>
        <v>18000</v>
      </c>
      <c r="F11" s="1750" t="s">
        <v>128</v>
      </c>
      <c r="G11" s="1751"/>
      <c r="H11" s="1752"/>
      <c r="I11" s="709">
        <f>SUM(I8:I10)</f>
        <v>465.16517473752543</v>
      </c>
      <c r="J11" s="709">
        <f>SUM(J8:J10)</f>
        <v>571.42430113752539</v>
      </c>
      <c r="K11" s="710">
        <f>SUM(K8:K10)</f>
        <v>4459.8013167315175</v>
      </c>
      <c r="N11" s="675"/>
      <c r="O11" s="674"/>
      <c r="P11" s="674"/>
      <c r="Q11" s="674"/>
      <c r="S11" s="693" t="s">
        <v>830</v>
      </c>
      <c r="T11" s="698">
        <v>0</v>
      </c>
      <c r="U11" s="695" t="s">
        <v>857</v>
      </c>
      <c r="AB11" s="674"/>
      <c r="AC11" s="674"/>
      <c r="AD11" s="674"/>
      <c r="AE11" s="674"/>
      <c r="AJ11" s="674"/>
      <c r="AK11" s="674"/>
      <c r="AL11" s="674"/>
      <c r="AM11" s="674"/>
      <c r="AS11" s="676"/>
      <c r="AT11" s="676"/>
    </row>
    <row r="12" spans="1:46" s="715" customFormat="1" ht="16.2" thickTop="1">
      <c r="A12" s="1363" t="s">
        <v>128</v>
      </c>
      <c r="B12" s="712">
        <f>SUM(B8:B11)</f>
        <v>251160.21</v>
      </c>
      <c r="C12" s="713">
        <f>SUM(C8:C11)</f>
        <v>1847</v>
      </c>
      <c r="D12" s="714">
        <f>SUM(D8:D11)</f>
        <v>253007.21</v>
      </c>
      <c r="F12" s="1753" t="s">
        <v>127</v>
      </c>
      <c r="G12" s="1754"/>
      <c r="H12" s="1755"/>
      <c r="I12" s="716"/>
      <c r="J12" s="716"/>
      <c r="K12" s="717"/>
      <c r="N12" s="718"/>
      <c r="O12" s="715"/>
      <c r="P12" s="715"/>
      <c r="Q12" s="715"/>
      <c r="S12" s="693" t="s">
        <v>829</v>
      </c>
      <c r="T12" s="719">
        <f>VLOOKUP($U12,'2015 Annual Sales and Revenue '!$B$3:$H$29,7,FALSE)</f>
        <v>0.13074940895080112</v>
      </c>
      <c r="U12" s="695" t="s">
        <v>1142</v>
      </c>
      <c r="AB12" s="715"/>
      <c r="AC12" s="715"/>
      <c r="AD12" s="715"/>
      <c r="AE12" s="715"/>
      <c r="AJ12" s="715"/>
      <c r="AK12" s="715"/>
      <c r="AL12" s="715"/>
      <c r="AM12" s="715"/>
      <c r="AR12" s="674"/>
      <c r="AS12" s="676"/>
      <c r="AT12" s="720"/>
    </row>
    <row r="13" spans="1:46" s="674" customFormat="1" ht="15.6">
      <c r="A13" s="1364" t="s">
        <v>127</v>
      </c>
      <c r="B13" s="722"/>
      <c r="C13" s="722"/>
      <c r="D13" s="723"/>
      <c r="F13" s="1746" t="s">
        <v>126</v>
      </c>
      <c r="G13" s="1747"/>
      <c r="H13" s="1748"/>
      <c r="I13" s="724">
        <f>K28</f>
        <v>0</v>
      </c>
      <c r="J13" s="724">
        <f>L28</f>
        <v>0</v>
      </c>
      <c r="K13" s="725">
        <f>M28</f>
        <v>0</v>
      </c>
      <c r="N13" s="675"/>
      <c r="O13" s="674"/>
      <c r="P13" s="674"/>
      <c r="Q13" s="674"/>
      <c r="S13" s="693" t="s">
        <v>856</v>
      </c>
      <c r="T13" s="719">
        <f>VLOOKUP($U13,'2015 Annual Sales and Revenue '!$B$3:$H$29,7,FALSE)</f>
        <v>0.10619885567580714</v>
      </c>
      <c r="U13" s="695" t="s">
        <v>1143</v>
      </c>
      <c r="AB13" s="674"/>
      <c r="AC13" s="674"/>
      <c r="AD13" s="674"/>
      <c r="AE13" s="674"/>
      <c r="AJ13" s="674"/>
      <c r="AK13" s="674"/>
      <c r="AL13" s="674"/>
      <c r="AM13" s="674"/>
      <c r="AS13" s="676"/>
      <c r="AT13" s="676"/>
    </row>
    <row r="14" spans="1:46" s="674" customFormat="1" ht="29.4" thickBot="1">
      <c r="A14" s="1365" t="s">
        <v>126</v>
      </c>
      <c r="B14" s="727">
        <f>C28</f>
        <v>0</v>
      </c>
      <c r="C14" s="728">
        <f>D28</f>
        <v>0</v>
      </c>
      <c r="D14" s="729">
        <f>SUM(B14:C14)</f>
        <v>0</v>
      </c>
      <c r="F14" s="1729" t="s">
        <v>125</v>
      </c>
      <c r="G14" s="1730"/>
      <c r="H14" s="1731"/>
      <c r="I14" s="691">
        <f>K37</f>
        <v>0</v>
      </c>
      <c r="J14" s="691">
        <f>L37</f>
        <v>0</v>
      </c>
      <c r="K14" s="692">
        <f>M37</f>
        <v>0</v>
      </c>
      <c r="N14" s="675"/>
      <c r="O14" s="674"/>
      <c r="P14" s="674"/>
      <c r="Q14" s="674"/>
      <c r="S14" s="730"/>
      <c r="T14" s="731"/>
      <c r="U14" s="732"/>
      <c r="AB14" s="674"/>
      <c r="AC14" s="674"/>
      <c r="AD14" s="674"/>
      <c r="AE14" s="674"/>
      <c r="AJ14" s="674"/>
      <c r="AK14" s="674"/>
      <c r="AL14" s="674"/>
      <c r="AM14" s="674"/>
      <c r="AS14" s="676"/>
      <c r="AT14" s="676"/>
    </row>
    <row r="15" spans="1:46" s="674" customFormat="1" ht="16.2" thickBot="1">
      <c r="A15" s="1360" t="s">
        <v>124</v>
      </c>
      <c r="B15" s="688">
        <f>C37</f>
        <v>0</v>
      </c>
      <c r="C15" s="696">
        <f>D37</f>
        <v>0</v>
      </c>
      <c r="D15" s="689">
        <f>SUM(B15:C15)</f>
        <v>0</v>
      </c>
      <c r="F15" s="1732" t="s">
        <v>123</v>
      </c>
      <c r="G15" s="1733"/>
      <c r="H15" s="1734"/>
      <c r="I15" s="733">
        <f>SUM(I13:I14)</f>
        <v>0</v>
      </c>
      <c r="J15" s="733">
        <f>SUM(J13:J14)</f>
        <v>0</v>
      </c>
      <c r="K15" s="734">
        <f>SUM(K13:K14)</f>
        <v>0</v>
      </c>
      <c r="N15" s="675"/>
      <c r="O15" s="674"/>
      <c r="P15" s="674"/>
      <c r="Q15" s="674"/>
      <c r="S15" s="730"/>
      <c r="T15" s="731"/>
      <c r="U15" s="732"/>
      <c r="AB15" s="674"/>
      <c r="AC15" s="674"/>
      <c r="AD15" s="674"/>
      <c r="AE15" s="674"/>
      <c r="AJ15" s="674"/>
      <c r="AK15" s="674"/>
      <c r="AL15" s="674"/>
      <c r="AM15" s="674"/>
      <c r="AS15" s="676"/>
      <c r="AT15" s="676"/>
    </row>
    <row r="16" spans="1:46" s="674" customFormat="1" ht="16.2" thickBot="1">
      <c r="A16" s="1366" t="s">
        <v>123</v>
      </c>
      <c r="B16" s="736">
        <f>SUM(B14:B15)</f>
        <v>0</v>
      </c>
      <c r="C16" s="736">
        <f>SUM(C14:C15)</f>
        <v>0</v>
      </c>
      <c r="D16" s="737">
        <f>SUM(D14:D15)</f>
        <v>0</v>
      </c>
      <c r="F16" s="1738" t="s">
        <v>818</v>
      </c>
      <c r="G16" s="1739"/>
      <c r="H16" s="1740"/>
      <c r="I16" s="738">
        <f>SUM(I11,I15)</f>
        <v>465.16517473752543</v>
      </c>
      <c r="J16" s="738">
        <f>SUM(J11,J15)</f>
        <v>571.42430113752539</v>
      </c>
      <c r="K16" s="739">
        <f>SUM(K11,K15)</f>
        <v>4459.8013167315175</v>
      </c>
      <c r="N16" s="675"/>
      <c r="O16" s="674"/>
      <c r="P16" s="674"/>
      <c r="Q16" s="674"/>
      <c r="S16" s="730"/>
      <c r="T16" s="731"/>
      <c r="U16" s="732"/>
      <c r="AB16" s="674"/>
      <c r="AC16" s="674"/>
      <c r="AD16" s="674"/>
      <c r="AE16" s="674"/>
      <c r="AJ16" s="674"/>
      <c r="AK16" s="674"/>
      <c r="AL16" s="674"/>
      <c r="AM16" s="674"/>
      <c r="AS16" s="676"/>
      <c r="AT16" s="676"/>
    </row>
    <row r="17" spans="1:46" s="674" customFormat="1" ht="16.2" thickBot="1">
      <c r="A17" s="1367" t="s">
        <v>818</v>
      </c>
      <c r="B17" s="741">
        <f>SUM(B12,B16)</f>
        <v>251160.21</v>
      </c>
      <c r="C17" s="741">
        <f>SUM(C12,C16)</f>
        <v>1847</v>
      </c>
      <c r="D17" s="742">
        <f>SUM(D12,D16)</f>
        <v>253007.21</v>
      </c>
      <c r="N17" s="675"/>
      <c r="O17" s="674"/>
      <c r="P17" s="674"/>
      <c r="Q17" s="674"/>
      <c r="S17" s="730"/>
      <c r="T17" s="731"/>
      <c r="U17" s="732"/>
      <c r="AB17" s="674"/>
      <c r="AC17" s="674"/>
      <c r="AD17" s="674"/>
      <c r="AE17" s="674"/>
      <c r="AJ17" s="674"/>
      <c r="AK17" s="674"/>
      <c r="AL17" s="674"/>
      <c r="AM17" s="674"/>
      <c r="AS17" s="676"/>
      <c r="AT17" s="676"/>
    </row>
    <row r="18" spans="1:46" s="674" customFormat="1" ht="15" thickBot="1">
      <c r="A18" s="1368"/>
      <c r="B18" s="743"/>
      <c r="C18" s="673"/>
      <c r="D18" s="673"/>
      <c r="E18" s="673"/>
      <c r="F18" s="673"/>
      <c r="G18" s="673"/>
      <c r="H18" s="673"/>
      <c r="I18" s="673"/>
      <c r="J18" s="673"/>
      <c r="K18" s="673"/>
      <c r="N18" s="675"/>
      <c r="O18" s="674"/>
      <c r="P18" s="674"/>
      <c r="Q18" s="674"/>
      <c r="AB18" s="1725" t="s">
        <v>1161</v>
      </c>
      <c r="AC18" s="1725"/>
      <c r="AD18" s="1725"/>
      <c r="AE18" s="1725"/>
      <c r="AJ18" s="1725" t="s">
        <v>1161</v>
      </c>
      <c r="AK18" s="1725"/>
      <c r="AL18" s="1725"/>
      <c r="AM18" s="1725"/>
      <c r="AS18" s="676"/>
      <c r="AT18" s="676"/>
    </row>
    <row r="19" spans="1:45" ht="21.6" thickBot="1">
      <c r="A19" s="1742" t="s">
        <v>122</v>
      </c>
      <c r="B19" s="1742"/>
      <c r="C19" s="1742"/>
      <c r="D19" s="1742"/>
      <c r="E19" s="1742"/>
      <c r="F19" s="1742"/>
      <c r="G19" s="1742"/>
      <c r="H19" s="1742"/>
      <c r="I19" s="1742"/>
      <c r="J19" s="1742"/>
      <c r="K19" s="1742"/>
      <c r="L19" s="1742"/>
      <c r="M19" s="1742"/>
      <c r="N19" s="1742"/>
      <c r="O19" s="613"/>
      <c r="P19" s="613"/>
      <c r="Q19" s="613"/>
      <c r="S19" s="1718" t="s">
        <v>855</v>
      </c>
      <c r="T19" s="1719"/>
      <c r="U19" s="1719"/>
      <c r="V19" s="1719"/>
      <c r="W19" s="1719"/>
      <c r="X19" s="1719"/>
      <c r="Y19" s="1719"/>
      <c r="Z19" s="1719"/>
      <c r="AA19" s="1719"/>
      <c r="AB19" s="1719" t="s">
        <v>854</v>
      </c>
      <c r="AC19" s="1719"/>
      <c r="AD19" s="1719"/>
      <c r="AE19" s="1719"/>
      <c r="AF19" s="1719"/>
      <c r="AG19" s="1719"/>
      <c r="AH19" s="1719"/>
      <c r="AI19" s="1719"/>
      <c r="AJ19" s="1719"/>
      <c r="AK19" s="1719"/>
      <c r="AL19" s="1719"/>
      <c r="AM19" s="1719"/>
      <c r="AN19" s="1719"/>
      <c r="AO19" s="1719"/>
      <c r="AP19" s="1719"/>
      <c r="AQ19" s="1722"/>
      <c r="AR19" s="744"/>
      <c r="AS19" s="715"/>
    </row>
    <row r="20" spans="1:47" s="1400" customFormat="1" ht="15.6">
      <c r="A20" s="1388"/>
      <c r="B20" s="1389"/>
      <c r="C20" s="1741" t="s">
        <v>121</v>
      </c>
      <c r="D20" s="1741"/>
      <c r="E20" s="1741"/>
      <c r="F20" s="1741" t="s">
        <v>120</v>
      </c>
      <c r="G20" s="1741"/>
      <c r="H20" s="1741"/>
      <c r="I20" s="1741"/>
      <c r="J20" s="1741"/>
      <c r="K20" s="1741"/>
      <c r="L20" s="1741"/>
      <c r="M20" s="1390"/>
      <c r="N20" s="1391"/>
      <c r="O20" s="1400"/>
      <c r="P20" s="1400"/>
      <c r="Q20" s="1400"/>
      <c r="S20" s="1720"/>
      <c r="T20" s="1721"/>
      <c r="U20" s="1721"/>
      <c r="V20" s="1721"/>
      <c r="W20" s="1721"/>
      <c r="X20" s="1721"/>
      <c r="Y20" s="1721"/>
      <c r="Z20" s="1721"/>
      <c r="AA20" s="1721"/>
      <c r="AB20" s="1723" t="s">
        <v>853</v>
      </c>
      <c r="AC20" s="1723"/>
      <c r="AD20" s="1723"/>
      <c r="AE20" s="1723"/>
      <c r="AF20" s="1723" t="s">
        <v>852</v>
      </c>
      <c r="AG20" s="1723"/>
      <c r="AH20" s="1723"/>
      <c r="AI20" s="1723"/>
      <c r="AJ20" s="1723" t="s">
        <v>851</v>
      </c>
      <c r="AK20" s="1723"/>
      <c r="AL20" s="1723"/>
      <c r="AM20" s="1723"/>
      <c r="AN20" s="1723" t="s">
        <v>850</v>
      </c>
      <c r="AO20" s="1723"/>
      <c r="AP20" s="1723"/>
      <c r="AQ20" s="1724"/>
      <c r="AR20" s="1401"/>
      <c r="AS20" s="1713" t="s">
        <v>849</v>
      </c>
      <c r="AT20" s="1714"/>
      <c r="AU20" s="745" t="s">
        <v>858</v>
      </c>
    </row>
    <row r="21" spans="1:47" s="1402" customFormat="1" ht="62.4">
      <c r="A21" s="1381" t="s">
        <v>119</v>
      </c>
      <c r="B21" s="1381" t="s">
        <v>89</v>
      </c>
      <c r="C21" s="1381" t="s">
        <v>88</v>
      </c>
      <c r="D21" s="1381" t="s">
        <v>87</v>
      </c>
      <c r="E21" s="1381" t="s">
        <v>86</v>
      </c>
      <c r="F21" s="1381" t="s">
        <v>85</v>
      </c>
      <c r="G21" s="1381" t="s">
        <v>84</v>
      </c>
      <c r="H21" s="1381" t="s">
        <v>97</v>
      </c>
      <c r="I21" s="1381" t="s">
        <v>82</v>
      </c>
      <c r="J21" s="1381" t="s">
        <v>96</v>
      </c>
      <c r="K21" s="1381" t="s">
        <v>80</v>
      </c>
      <c r="L21" s="1381" t="s">
        <v>79</v>
      </c>
      <c r="M21" s="1381" t="s">
        <v>95</v>
      </c>
      <c r="N21" s="1381" t="s">
        <v>78</v>
      </c>
      <c r="O21" s="1402"/>
      <c r="P21" s="1403" t="str">
        <f>K21&amp;" Weighting"</f>
        <v>Total Annual MWh Weighting</v>
      </c>
      <c r="Q21" s="1402"/>
      <c r="S21" s="753" t="s">
        <v>848</v>
      </c>
      <c r="T21" s="686" t="s">
        <v>847</v>
      </c>
      <c r="U21" s="686" t="s">
        <v>846</v>
      </c>
      <c r="V21" s="686" t="s">
        <v>845</v>
      </c>
      <c r="W21" s="686" t="s">
        <v>844</v>
      </c>
      <c r="X21" s="686" t="s">
        <v>843</v>
      </c>
      <c r="Y21" s="686" t="s">
        <v>842</v>
      </c>
      <c r="Z21" s="686" t="s">
        <v>841</v>
      </c>
      <c r="AA21" s="686" t="s">
        <v>78</v>
      </c>
      <c r="AB21" s="686" t="s">
        <v>840</v>
      </c>
      <c r="AC21" s="686" t="s">
        <v>839</v>
      </c>
      <c r="AD21" s="686" t="s">
        <v>838</v>
      </c>
      <c r="AE21" s="686" t="s">
        <v>837</v>
      </c>
      <c r="AF21" s="686" t="s">
        <v>840</v>
      </c>
      <c r="AG21" s="686" t="s">
        <v>839</v>
      </c>
      <c r="AH21" s="686" t="s">
        <v>838</v>
      </c>
      <c r="AI21" s="686" t="s">
        <v>837</v>
      </c>
      <c r="AJ21" s="686" t="s">
        <v>840</v>
      </c>
      <c r="AK21" s="686" t="s">
        <v>839</v>
      </c>
      <c r="AL21" s="686" t="s">
        <v>838</v>
      </c>
      <c r="AM21" s="686" t="s">
        <v>837</v>
      </c>
      <c r="AN21" s="686" t="s">
        <v>840</v>
      </c>
      <c r="AO21" s="686" t="s">
        <v>839</v>
      </c>
      <c r="AP21" s="686" t="s">
        <v>838</v>
      </c>
      <c r="AQ21" s="754" t="s">
        <v>837</v>
      </c>
      <c r="AR21" s="1404"/>
      <c r="AS21" s="753" t="s">
        <v>791</v>
      </c>
      <c r="AT21" s="686" t="s">
        <v>1164</v>
      </c>
      <c r="AU21" s="754" t="s">
        <v>752</v>
      </c>
    </row>
    <row r="22" spans="1:47" s="1400" customFormat="1" ht="31.2">
      <c r="A22" s="1405" t="s">
        <v>817</v>
      </c>
      <c r="B22" s="825" t="s">
        <v>816</v>
      </c>
      <c r="C22" s="1392">
        <v>233160.21</v>
      </c>
      <c r="D22" s="1392">
        <v>0</v>
      </c>
      <c r="E22" s="1392">
        <f>SUM(C22:D22)</f>
        <v>233160.21</v>
      </c>
      <c r="F22" s="1406" t="s">
        <v>815</v>
      </c>
      <c r="G22" s="1393">
        <v>414</v>
      </c>
      <c r="H22" s="1395">
        <f>'Residential Energy Audits'!I11</f>
        <v>549.22164164204958</v>
      </c>
      <c r="I22" s="1397">
        <f>'Residential Energy Audits'!$J$11</f>
        <v>0</v>
      </c>
      <c r="J22" s="1396">
        <f>'Residential Energy Audits'!$C$23</f>
        <v>1</v>
      </c>
      <c r="K22" s="1398">
        <f>(G22*H22)/1000</f>
        <v>227.37775963980852</v>
      </c>
      <c r="L22" s="1398">
        <f>J22*K22</f>
        <v>227.37775963980852</v>
      </c>
      <c r="M22" s="1399">
        <f>G22*I22</f>
        <v>0</v>
      </c>
      <c r="N22" s="1407"/>
      <c r="O22" s="1400"/>
      <c r="P22" s="1408">
        <f>K22/$K$24</f>
        <v>0.97599443141897191</v>
      </c>
      <c r="Q22" s="1400"/>
      <c r="S22" s="1409">
        <f>IFERROR(IF(G22/$G$24=0,0,G22/$G$24),"")</f>
        <v>0.67426710097719866</v>
      </c>
      <c r="T22" s="1410" t="s">
        <v>836</v>
      </c>
      <c r="U22" s="1410" t="s">
        <v>835</v>
      </c>
      <c r="V22" s="1411">
        <v>0.90</v>
      </c>
      <c r="W22" s="1412">
        <f>IF($H22*$T$12=0,"",$H22*$T$12)</f>
        <v>71.810405027686684</v>
      </c>
      <c r="X22" s="1412">
        <f>IFERROR($W22*((1+$T$9)/(1+$T$8)*(1-((1+$T$9)/(1+$T$8))^$J22)/(1-((1+$T$9)/(1+$T$8)))),"")</f>
        <v>67.745665120459122</v>
      </c>
      <c r="Y22" s="1413">
        <f>IFERROR(D22/G22,"")</f>
        <v>0</v>
      </c>
      <c r="Z22" s="1414">
        <v>5</v>
      </c>
      <c r="AA22" s="1415"/>
      <c r="AB22" s="1414" t="str">
        <f>IFERROR(($AS22*$H22*$V22*((1+$T$11)/(1+$T$8)*(1-((1+$T$11)/(1+$T$8))^$J22)/(1-((1+$T$11)/(1+$T$8)))))+(#REF!*$I22),"")</f>
        <v/>
      </c>
      <c r="AC22" s="1414">
        <f>IFERROR((SUM($C22)/$G22)+($Z22*$V22),"")</f>
        <v>567.68891304347824</v>
      </c>
      <c r="AD22" s="1416" t="str">
        <f>IFERROR(IF(AB22="","",AB22-AC22),"")</f>
        <v/>
      </c>
      <c r="AE22" s="1417" t="str">
        <f>IFERROR(AB22/AC22,"")</f>
        <v/>
      </c>
      <c r="AF22" s="1414">
        <f>IFERROR(($AS22*$H22*$V22*((1+$T$11)/(1+$T$8)*(1-((1+$T$11)/(1+$T$8))^$J22)/(1-((1+$T$11)/(1+$T$8)))))+($AT22*$I22),"")</f>
        <v>13.616551643729306</v>
      </c>
      <c r="AG22" s="1416">
        <f>IFERROR(-PV($T$8,1,($E22/$G22)),"")</f>
        <v>531.31029532403647</v>
      </c>
      <c r="AH22" s="1416">
        <f>IFERROR(IF(AF22="","",AF22-AG22),"")</f>
        <v>-517.69374368030719</v>
      </c>
      <c r="AI22" s="1417">
        <f>IFERROR(AF22/AG22,"")</f>
        <v>0.02562824730400682</v>
      </c>
      <c r="AJ22" s="1416">
        <f>IFERROR(-PV($T$8,$J22,$W22)+($Y22),"")</f>
        <v>67.745665120459179</v>
      </c>
      <c r="AK22" s="1416">
        <f>IF(Z22="","",Z22)</f>
        <v>5</v>
      </c>
      <c r="AL22" s="1416">
        <f>IFERROR(IF(AJ22="","",AJ22-AK22),"")</f>
        <v>62.745665120459179</v>
      </c>
      <c r="AM22" s="1417">
        <f>IFERROR(AJ22/AK22,"")</f>
        <v>13.549133024091836</v>
      </c>
      <c r="AN22" s="1416">
        <f>IFERROR(($AS22*$H22*$V22*((1+$T$11)/(1+$T$8)*(1-((1+$T$11)/(1+$T$8))^$J22)/(1-((1+$T$11)/(1+$T$8)))))+($AT22*$I22),"")</f>
        <v>13.616551643729306</v>
      </c>
      <c r="AO22" s="1418">
        <f>IFERROR((SUM($C22)/$G22)+X22+Y22,"")</f>
        <v>630.93457816393732</v>
      </c>
      <c r="AP22" s="1416">
        <f>IFERROR(IF(AN22="","",AN22-AO22),"")</f>
        <v>-617.31802652020804</v>
      </c>
      <c r="AQ22" s="1419">
        <f>IFERROR(AN22/AO22,"")</f>
        <v>0.021581558714620461</v>
      </c>
      <c r="AR22" s="1401"/>
      <c r="AS22" s="1420">
        <f>IFERROR(VLOOKUP(ROUND($J22,0),'Seminole Avoided Cost'!$B$15:$Y$41,8,FALSE),"")</f>
        <v>0.0292</v>
      </c>
      <c r="AT22" s="825">
        <f>IFERROR(VLOOKUP(ROUND($J22,0),'Seminole Avoided Cost'!$B$15:$Y$41,24,FALSE),"")</f>
        <v>76.44</v>
      </c>
      <c r="AU22" s="1421">
        <f>IFERROR(SUM(C22)/G22,"")</f>
        <v>563.18891304347824</v>
      </c>
    </row>
    <row r="23" spans="1:47" s="1400" customFormat="1" ht="15.6">
      <c r="A23" s="1405" t="s">
        <v>807</v>
      </c>
      <c r="B23" s="825" t="s">
        <v>117</v>
      </c>
      <c r="C23" s="1392">
        <v>0</v>
      </c>
      <c r="D23" s="1392">
        <v>1847</v>
      </c>
      <c r="E23" s="1392">
        <f>SUM(C23:D23)</f>
        <v>1847</v>
      </c>
      <c r="F23" s="1406" t="s">
        <v>116</v>
      </c>
      <c r="G23" s="1393">
        <v>200</v>
      </c>
      <c r="H23" s="1396">
        <f>'10W LED Giveaway Savings'!$D$14</f>
        <v>27.962927999999998</v>
      </c>
      <c r="I23" s="1397">
        <f>'10W LED Giveaway Savings'!$D$16</f>
        <v>0.0032465836575875486</v>
      </c>
      <c r="J23" s="1396">
        <f>'10W LED Giveaway Savings'!$D$13</f>
        <v>20</v>
      </c>
      <c r="K23" s="1398">
        <f>(G23*H23)/1000</f>
        <v>5.5925855999999996</v>
      </c>
      <c r="L23" s="1398">
        <f>J23*K23</f>
        <v>111.85171199999999</v>
      </c>
      <c r="M23" s="1399">
        <f>G23*I23</f>
        <v>0.64931673151750968</v>
      </c>
      <c r="N23" s="1407"/>
      <c r="O23" s="1400"/>
      <c r="P23" s="1408">
        <f>K23/$K$24</f>
        <v>0.024005568581028026</v>
      </c>
      <c r="Q23" s="1400"/>
      <c r="S23" s="1409">
        <f>IFERROR(IF(G23/$G$24=0,0,G23/$G$24),"")</f>
        <v>0.32573289902280128</v>
      </c>
      <c r="T23" s="1410" t="s">
        <v>836</v>
      </c>
      <c r="U23" s="1410" t="s">
        <v>835</v>
      </c>
      <c r="V23" s="1411">
        <v>0.90</v>
      </c>
      <c r="W23" s="1412">
        <f>IF($H23*$T$12=0,"",$H23*$T$12)</f>
        <v>3.656136308533807</v>
      </c>
      <c r="X23" s="1412">
        <f>IFERROR($W23*((1+$T$9)/(1+$T$8)*(1-((1+$T$9)/(1+$T$8))^$J23)/(1-((1+$T$9)/(1+$T$8)))),"")</f>
        <v>41.935595423218743</v>
      </c>
      <c r="Y23" s="1413">
        <f>IFERROR(D23/G23,"")</f>
        <v>9.2349999999999994</v>
      </c>
      <c r="Z23" s="1414">
        <v>5</v>
      </c>
      <c r="AA23" s="1415"/>
      <c r="AB23" s="1414" t="str">
        <f>IFERROR(($AS23*$H23*$V23*((1+$T$11)/(1+$T$8)*(1-((1+$T$11)/(1+$T$8))^$J23)/(1-((1+$T$11)/(1+$T$8)))))+(#REF!*$I23),"")</f>
        <v/>
      </c>
      <c r="AC23" s="1414">
        <f>IFERROR((SUM($C23)/$G23)+($Z23*$V23),"")</f>
        <v>4.50</v>
      </c>
      <c r="AD23" s="1416" t="str">
        <f>IFERROR(IF(AB23="","",AB23-AC23),"")</f>
        <v/>
      </c>
      <c r="AE23" s="1417" t="str">
        <f>IFERROR(AB23/AC23,"")</f>
        <v/>
      </c>
      <c r="AF23" s="1414">
        <f>IFERROR(($AS23*$H23*$V23*((1+$T$11)/(1+$T$8)*(1-((1+$T$11)/(1+$T$8))^$J23)/(1-((1+$T$11)/(1+$T$8)))))+($AT23*$I23),"")</f>
        <v>16.486134392744322</v>
      </c>
      <c r="AG23" s="1416">
        <f>IFERROR(-PV($T$8,1,($E23/$G23)),"")</f>
        <v>8.7122641509434029</v>
      </c>
      <c r="AH23" s="1416">
        <f>IFERROR(IF(AF23="","",AF23-AG23),"")</f>
        <v>7.7738702418009193</v>
      </c>
      <c r="AI23" s="1417">
        <f>IFERROR(AF23/AG23,"")</f>
        <v>1.8922904663030826</v>
      </c>
      <c r="AJ23" s="1416">
        <f>IFERROR(-PV($T$8,$J23,$W23)+($Y23),"")</f>
        <v>51.170595423218785</v>
      </c>
      <c r="AK23" s="1416">
        <f>IF(Z23="","",Z23)</f>
        <v>5</v>
      </c>
      <c r="AL23" s="1416">
        <f>IFERROR(IF(AJ23="","",AJ23-AK23),"")</f>
        <v>46.170595423218785</v>
      </c>
      <c r="AM23" s="1417">
        <f>IFERROR(AJ23/AK23,"")</f>
        <v>10.234119084643757</v>
      </c>
      <c r="AN23" s="1416">
        <f>IFERROR(($AS23*$H23*$V23*((1+$T$11)/(1+$T$8)*(1-((1+$T$11)/(1+$T$8))^$J23)/(1-((1+$T$11)/(1+$T$8)))))+($AT23*$I23),"")</f>
        <v>16.486134392744322</v>
      </c>
      <c r="AO23" s="1418">
        <f>IFERROR((SUM($C23)/$G23)+X23+Y23,"")</f>
        <v>51.170595423218742</v>
      </c>
      <c r="AP23" s="1416">
        <f>IFERROR(IF(AN23="","",AN23-AO23),"")</f>
        <v>-34.684461030474424</v>
      </c>
      <c r="AQ23" s="1419">
        <f>IFERROR(AN23/AO23,"")</f>
        <v>0.32217984286467205</v>
      </c>
      <c r="AR23" s="1401"/>
      <c r="AS23" s="1420">
        <f>IFERROR(VLOOKUP(ROUND($J23,0),'Seminole Avoided Cost'!$B$15:$Y$41,8,FALSE),"")</f>
        <v>0.055449999999999999</v>
      </c>
      <c r="AT23" s="825">
        <f>IFERROR(VLOOKUP(ROUND($J23,0),'Seminole Avoided Cost'!$B$15:$Y$41,24,FALSE),"")</f>
        <v>147.83999999999998</v>
      </c>
      <c r="AU23" s="1421">
        <f>IFERROR(SUM(C23)/G23,"")</f>
        <v>0</v>
      </c>
    </row>
    <row r="24" spans="1:47" s="1400" customFormat="1" ht="16.2" thickBot="1">
      <c r="A24" s="1394" t="s">
        <v>103</v>
      </c>
      <c r="B24" s="1394"/>
      <c r="C24" s="1422">
        <f>SUM(C22:C23)</f>
        <v>233160.21</v>
      </c>
      <c r="D24" s="1422">
        <f>SUM(D22:D23)</f>
        <v>1847</v>
      </c>
      <c r="E24" s="1422">
        <f>SUM(E22:E23)</f>
        <v>235007.21</v>
      </c>
      <c r="F24" s="1423" t="s">
        <v>76</v>
      </c>
      <c r="G24" s="1423">
        <f>SUM(G22:G23)</f>
        <v>614</v>
      </c>
      <c r="H24" s="1423"/>
      <c r="I24" s="1423"/>
      <c r="J24" s="1424">
        <f>SUMPRODUCT(J22:J23,P22:P23)</f>
        <v>1.4561058030395324</v>
      </c>
      <c r="K24" s="1425">
        <f>SUM(K22:K23)</f>
        <v>232.97034523980852</v>
      </c>
      <c r="L24" s="1425">
        <f>SUM(L22:L23)</f>
        <v>339.22947163980848</v>
      </c>
      <c r="M24" s="1424">
        <f>SUM(M22:M23)</f>
        <v>0.64931673151750968</v>
      </c>
      <c r="N24" s="1426"/>
      <c r="O24" s="1400"/>
      <c r="P24" s="1427">
        <f>SUM(P22:P23)</f>
        <v>0.99999999999999989</v>
      </c>
      <c r="Q24" s="1400"/>
      <c r="S24" s="1428">
        <f>SUM(S11:S23)</f>
        <v>1</v>
      </c>
      <c r="T24" s="1429"/>
      <c r="U24" s="1429"/>
      <c r="V24" s="1429"/>
      <c r="W24" s="1430"/>
      <c r="X24" s="1430"/>
      <c r="Y24" s="1430"/>
      <c r="Z24" s="1431"/>
      <c r="AA24" s="1432"/>
      <c r="AB24" s="1431">
        <f>SUMPRODUCT(AB$22:AB$23,$S$22:$S$23)</f>
        <v>0</v>
      </c>
      <c r="AC24" s="1431">
        <f>SUMPRODUCT(AC$22:AC$23,$S$22:$S$23)</f>
        <v>384.2397557003257</v>
      </c>
      <c r="AD24" s="1431">
        <f>SUMPRODUCT(AD$22:AD$23,$S$22:$S$23)</f>
        <v>0</v>
      </c>
      <c r="AE24" s="1433">
        <f>IFERROR(AB24/AC24,"")</f>
        <v>0</v>
      </c>
      <c r="AF24" s="1431">
        <f>SUMPRODUCT(AF$22:AF$23,$S$22:$S$23)</f>
        <v>14.551269151551786</v>
      </c>
      <c r="AG24" s="1431">
        <f>SUMPRODUCT(AG$22:AG$23,$S$22:$S$23)</f>
        <v>361.08292360641661</v>
      </c>
      <c r="AH24" s="1431">
        <f>SUMPRODUCT(AH$22:AH$23,$S$22:$S$23)</f>
        <v>-346.53165445486479</v>
      </c>
      <c r="AI24" s="1433">
        <f>IFERROR(AF24/AG24,"")</f>
        <v>0.040298967910797102</v>
      </c>
      <c r="AJ24" s="1431">
        <f>SUMPRODUCT(AJ$22:AJ$23,$S$22:$S$23)</f>
        <v>62.346619616472076</v>
      </c>
      <c r="AK24" s="1431">
        <f>SUMPRODUCT(AK$22:AK$23,$S$22:$S$23)</f>
        <v>5</v>
      </c>
      <c r="AL24" s="1431">
        <f>SUMPRODUCT(AL$22:AL$23,$S$22:$S$23)</f>
        <v>57.346619616472083</v>
      </c>
      <c r="AM24" s="1433">
        <f>IFERROR(AJ24/AK24,"")</f>
        <v>12.469323923294414</v>
      </c>
      <c r="AN24" s="1431">
        <f>SUMPRODUCT(AN$22:AN$23,$S$22:$S$23)</f>
        <v>14.551269151551786</v>
      </c>
      <c r="AO24" s="1431">
        <f>SUMPRODUCT(AO$22:AO$23,$S$22:$S$23)</f>
        <v>442.08637531679767</v>
      </c>
      <c r="AP24" s="1431">
        <f>SUMPRODUCT(AP$22:AP$23,$S$22:$S$23)</f>
        <v>-427.53510616524596</v>
      </c>
      <c r="AQ24" s="1434">
        <f>IFERROR(AN24/AO24,"")</f>
        <v>0.03291499119628917</v>
      </c>
      <c r="AR24" s="1401"/>
      <c r="AS24" s="1435">
        <f>IFERROR(VLOOKUP(ROUND($J24,0),'Seminole Avoided Cost'!$B$15:$Y$41,8,FALSE),"")</f>
        <v>0.0292</v>
      </c>
      <c r="AT24" s="1436">
        <f>IFERROR(VLOOKUP(ROUND($J24,0),'Seminole Avoided Cost'!$B$15:$Y$41,24,FALSE),"")</f>
        <v>76.44</v>
      </c>
      <c r="AU24" s="1437">
        <f>IFERROR(SUM(C24)/G24,"")</f>
        <v>379.7397557003257</v>
      </c>
    </row>
    <row r="25" spans="1:17" ht="15" thickBot="1">
      <c r="A25" s="1382"/>
      <c r="B25" s="1383"/>
      <c r="C25" s="1384"/>
      <c r="D25" s="1384"/>
      <c r="E25" s="1384"/>
      <c r="F25" s="1385"/>
      <c r="G25" s="1383"/>
      <c r="H25" s="1383"/>
      <c r="I25" s="1383"/>
      <c r="J25" s="1383"/>
      <c r="K25" s="1386"/>
      <c r="L25" s="1386"/>
      <c r="M25" s="1386"/>
      <c r="N25" s="1387"/>
      <c r="O25" s="613"/>
      <c r="Q25" s="613"/>
    </row>
    <row r="26" spans="1:17" ht="63" thickBot="1">
      <c r="A26" s="1372" t="s">
        <v>99</v>
      </c>
      <c r="B26" s="804" t="s">
        <v>89</v>
      </c>
      <c r="C26" s="805" t="s">
        <v>88</v>
      </c>
      <c r="D26" s="806" t="s">
        <v>87</v>
      </c>
      <c r="E26" s="807" t="s">
        <v>86</v>
      </c>
      <c r="F26" s="808" t="s">
        <v>85</v>
      </c>
      <c r="G26" s="808" t="s">
        <v>98</v>
      </c>
      <c r="H26" s="808" t="s">
        <v>97</v>
      </c>
      <c r="I26" s="808" t="s">
        <v>82</v>
      </c>
      <c r="J26" s="808" t="s">
        <v>96</v>
      </c>
      <c r="K26" s="809" t="s">
        <v>80</v>
      </c>
      <c r="L26" s="809" t="s">
        <v>79</v>
      </c>
      <c r="M26" s="809" t="s">
        <v>95</v>
      </c>
      <c r="N26" s="810" t="s">
        <v>78</v>
      </c>
      <c r="O26" s="613"/>
      <c r="Q26" s="613"/>
    </row>
    <row r="27" spans="1:17" ht="16.8" thickTop="1" thickBot="1">
      <c r="A27" s="1369"/>
      <c r="B27" s="756"/>
      <c r="C27" s="757">
        <v>0</v>
      </c>
      <c r="D27" s="758">
        <v>0</v>
      </c>
      <c r="E27" s="759">
        <f>SUM(C27:C27)</f>
        <v>0</v>
      </c>
      <c r="F27" s="760"/>
      <c r="G27" s="761">
        <v>0</v>
      </c>
      <c r="H27" s="762"/>
      <c r="I27" s="763"/>
      <c r="J27" s="762"/>
      <c r="K27" s="764">
        <f>(G27*H27)/1000</f>
        <v>0</v>
      </c>
      <c r="L27" s="764">
        <f>J27*K27</f>
        <v>0</v>
      </c>
      <c r="M27" s="764">
        <f>G27*I27</f>
        <v>0</v>
      </c>
      <c r="N27" s="765"/>
      <c r="O27" s="613"/>
      <c r="Q27" s="613"/>
    </row>
    <row r="28" spans="1:46" s="674" customFormat="1" ht="48" thickTop="1" thickBot="1">
      <c r="A28" s="1370" t="s">
        <v>102</v>
      </c>
      <c r="B28" s="782"/>
      <c r="C28" s="783">
        <f>SUM(C27)</f>
        <v>0</v>
      </c>
      <c r="D28" s="783">
        <f>SUM(D27)</f>
        <v>0</v>
      </c>
      <c r="E28" s="783">
        <f>SUM(E27)</f>
        <v>0</v>
      </c>
      <c r="F28" s="784" t="s">
        <v>76</v>
      </c>
      <c r="G28" s="785">
        <f>SUM(G27)</f>
        <v>0</v>
      </c>
      <c r="H28" s="785"/>
      <c r="I28" s="785"/>
      <c r="J28" s="786"/>
      <c r="K28" s="786">
        <f>SUM(K27)</f>
        <v>0</v>
      </c>
      <c r="L28" s="786">
        <f>SUM(L27)</f>
        <v>0</v>
      </c>
      <c r="M28" s="787">
        <f>SUM(M27)</f>
        <v>0</v>
      </c>
      <c r="N28" s="811"/>
      <c r="O28" s="674"/>
      <c r="Q28" s="674"/>
      <c r="AS28" s="676"/>
      <c r="AT28" s="676"/>
    </row>
    <row r="29" spans="1:46" s="674" customFormat="1" ht="15" thickBot="1">
      <c r="A29" s="813"/>
      <c r="B29" s="812"/>
      <c r="C29" s="812"/>
      <c r="D29" s="812"/>
      <c r="E29" s="812"/>
      <c r="F29" s="812"/>
      <c r="G29" s="812"/>
      <c r="H29" s="812"/>
      <c r="I29" s="812"/>
      <c r="J29" s="812"/>
      <c r="K29" s="812"/>
      <c r="L29" s="812"/>
      <c r="M29" s="812"/>
      <c r="N29" s="813"/>
      <c r="O29" s="674"/>
      <c r="Q29" s="674"/>
      <c r="AS29" s="676"/>
      <c r="AT29" s="676"/>
    </row>
    <row r="30" spans="1:17" ht="21.6" thickBot="1">
      <c r="A30" s="1735" t="s">
        <v>101</v>
      </c>
      <c r="B30" s="1736"/>
      <c r="C30" s="1736"/>
      <c r="D30" s="1736"/>
      <c r="E30" s="1736"/>
      <c r="F30" s="1736"/>
      <c r="G30" s="1736"/>
      <c r="H30" s="1736"/>
      <c r="I30" s="1736"/>
      <c r="J30" s="1736"/>
      <c r="K30" s="1736"/>
      <c r="L30" s="1736"/>
      <c r="M30" s="1736"/>
      <c r="N30" s="1737"/>
      <c r="O30" s="613"/>
      <c r="Q30" s="613"/>
    </row>
    <row r="31" spans="1:17" ht="63" thickBot="1">
      <c r="A31" s="1373" t="s">
        <v>90</v>
      </c>
      <c r="B31" s="746" t="s">
        <v>89</v>
      </c>
      <c r="C31" s="747" t="s">
        <v>88</v>
      </c>
      <c r="D31" s="748" t="s">
        <v>87</v>
      </c>
      <c r="E31" s="749" t="s">
        <v>86</v>
      </c>
      <c r="F31" s="750" t="s">
        <v>85</v>
      </c>
      <c r="G31" s="809" t="s">
        <v>84</v>
      </c>
      <c r="H31" s="808" t="s">
        <v>97</v>
      </c>
      <c r="I31" s="808" t="s">
        <v>82</v>
      </c>
      <c r="J31" s="808" t="s">
        <v>96</v>
      </c>
      <c r="K31" s="808" t="s">
        <v>80</v>
      </c>
      <c r="L31" s="808" t="s">
        <v>79</v>
      </c>
      <c r="M31" s="808" t="s">
        <v>95</v>
      </c>
      <c r="N31" s="815" t="s">
        <v>78</v>
      </c>
      <c r="O31" s="613"/>
      <c r="Q31" s="613"/>
    </row>
    <row r="32" spans="1:17" ht="16.8" thickTop="1" thickBot="1">
      <c r="A32" s="1374"/>
      <c r="B32" s="817"/>
      <c r="C32" s="757">
        <v>0</v>
      </c>
      <c r="D32" s="758">
        <v>0</v>
      </c>
      <c r="E32" s="759">
        <f>SUM(C32:C32)</f>
        <v>0</v>
      </c>
      <c r="F32" s="818"/>
      <c r="G32" s="761">
        <v>0</v>
      </c>
      <c r="H32" s="819"/>
      <c r="I32" s="820"/>
      <c r="J32" s="819"/>
      <c r="K32" s="764">
        <f>(G32*H32)/1000</f>
        <v>0</v>
      </c>
      <c r="L32" s="764">
        <f>J32*K32</f>
        <v>0</v>
      </c>
      <c r="M32" s="764">
        <f>G32*I32</f>
        <v>0</v>
      </c>
      <c r="N32" s="765"/>
      <c r="O32" s="613"/>
      <c r="Q32" s="613"/>
    </row>
    <row r="33" spans="1:17" ht="32.4" thickTop="1" thickBot="1">
      <c r="A33" s="1375" t="s">
        <v>100</v>
      </c>
      <c r="B33" s="821"/>
      <c r="C33" s="783">
        <f>SUM(C32)</f>
        <v>0</v>
      </c>
      <c r="D33" s="783">
        <f>SUM(D32)</f>
        <v>0</v>
      </c>
      <c r="E33" s="783">
        <f>SUM(E32)</f>
        <v>0</v>
      </c>
      <c r="F33" s="822" t="s">
        <v>76</v>
      </c>
      <c r="G33" s="785">
        <f>SUM(G32)</f>
        <v>0</v>
      </c>
      <c r="H33" s="823"/>
      <c r="I33" s="823"/>
      <c r="J33" s="824"/>
      <c r="K33" s="786">
        <f>SUM(K32)</f>
        <v>0</v>
      </c>
      <c r="L33" s="786">
        <f>SUM(L32)</f>
        <v>0</v>
      </c>
      <c r="M33" s="787">
        <f>SUM(M32)</f>
        <v>0</v>
      </c>
      <c r="N33" s="811"/>
      <c r="O33" s="613"/>
      <c r="Q33" s="613"/>
    </row>
    <row r="34" spans="1:46" s="674" customFormat="1" ht="15" thickBot="1">
      <c r="A34" s="1371"/>
      <c r="B34" s="798"/>
      <c r="C34" s="799"/>
      <c r="D34" s="799"/>
      <c r="E34" s="799"/>
      <c r="F34" s="800"/>
      <c r="G34" s="798"/>
      <c r="H34" s="798"/>
      <c r="I34" s="798"/>
      <c r="J34" s="798"/>
      <c r="K34" s="801"/>
      <c r="L34" s="801"/>
      <c r="M34" s="801"/>
      <c r="N34" s="802"/>
      <c r="O34" s="674"/>
      <c r="Q34" s="674"/>
      <c r="AS34" s="676"/>
      <c r="AT34" s="676"/>
    </row>
    <row r="35" spans="1:17" ht="63" thickBot="1">
      <c r="A35" s="1372" t="s">
        <v>99</v>
      </c>
      <c r="B35" s="804" t="s">
        <v>89</v>
      </c>
      <c r="C35" s="805" t="s">
        <v>88</v>
      </c>
      <c r="D35" s="806" t="s">
        <v>87</v>
      </c>
      <c r="E35" s="807" t="s">
        <v>86</v>
      </c>
      <c r="F35" s="808" t="s">
        <v>85</v>
      </c>
      <c r="G35" s="808" t="s">
        <v>98</v>
      </c>
      <c r="H35" s="808" t="s">
        <v>97</v>
      </c>
      <c r="I35" s="808" t="s">
        <v>82</v>
      </c>
      <c r="J35" s="808" t="s">
        <v>96</v>
      </c>
      <c r="K35" s="808" t="s">
        <v>80</v>
      </c>
      <c r="L35" s="808" t="s">
        <v>79</v>
      </c>
      <c r="M35" s="808" t="s">
        <v>95</v>
      </c>
      <c r="N35" s="810" t="s">
        <v>78</v>
      </c>
      <c r="O35" s="613"/>
      <c r="Q35" s="613"/>
    </row>
    <row r="36" spans="1:17" ht="16.8" thickTop="1" thickBot="1">
      <c r="A36" s="1376"/>
      <c r="B36" s="779"/>
      <c r="C36" s="757">
        <v>0</v>
      </c>
      <c r="D36" s="758">
        <v>0</v>
      </c>
      <c r="E36" s="759">
        <f>SUM(C36:C36)</f>
        <v>0</v>
      </c>
      <c r="F36" s="825"/>
      <c r="G36" s="761">
        <v>0</v>
      </c>
      <c r="H36" s="826"/>
      <c r="I36" s="825"/>
      <c r="J36" s="827"/>
      <c r="K36" s="764">
        <f>(G36*H36)/1000</f>
        <v>0</v>
      </c>
      <c r="L36" s="764">
        <f>J36*K36</f>
        <v>0</v>
      </c>
      <c r="M36" s="764">
        <f>G36*I36</f>
        <v>0</v>
      </c>
      <c r="N36" s="765"/>
      <c r="O36" s="613"/>
      <c r="Q36" s="613"/>
    </row>
    <row r="37" spans="1:46" s="674" customFormat="1" ht="32.4" thickTop="1" thickBot="1">
      <c r="A37" s="1370" t="s">
        <v>93</v>
      </c>
      <c r="B37" s="782"/>
      <c r="C37" s="783">
        <f>SUM(C36)</f>
        <v>0</v>
      </c>
      <c r="D37" s="783">
        <f>SUM(D36)</f>
        <v>0</v>
      </c>
      <c r="E37" s="783">
        <f>SUM(E36)</f>
        <v>0</v>
      </c>
      <c r="F37" s="822" t="s">
        <v>76</v>
      </c>
      <c r="G37" s="785">
        <f>SUM(G36)</f>
        <v>0</v>
      </c>
      <c r="H37" s="785"/>
      <c r="I37" s="785"/>
      <c r="J37" s="786"/>
      <c r="K37" s="786">
        <f>SUM(K36)</f>
        <v>0</v>
      </c>
      <c r="L37" s="786">
        <f>SUM(L36)</f>
        <v>0</v>
      </c>
      <c r="M37" s="787">
        <f>SUM(M36)</f>
        <v>0</v>
      </c>
      <c r="N37" s="811"/>
      <c r="O37" s="674"/>
      <c r="Q37" s="674"/>
      <c r="AS37" s="676"/>
      <c r="AT37" s="676"/>
    </row>
    <row r="38" spans="1:17" ht="15" thickBot="1">
      <c r="A38" s="1377"/>
      <c r="B38" s="828"/>
      <c r="C38" s="828"/>
      <c r="D38" s="828"/>
      <c r="E38" s="828"/>
      <c r="F38" s="828"/>
      <c r="G38" s="828"/>
      <c r="H38" s="828"/>
      <c r="I38" s="828"/>
      <c r="J38" s="828"/>
      <c r="K38" s="828"/>
      <c r="L38" s="828"/>
      <c r="M38" s="829"/>
      <c r="O38" s="613"/>
      <c r="Q38" s="613"/>
    </row>
    <row r="39" spans="1:17" ht="21.6" thickBot="1">
      <c r="A39" s="1735" t="s">
        <v>91</v>
      </c>
      <c r="B39" s="1736"/>
      <c r="C39" s="1736"/>
      <c r="D39" s="1736"/>
      <c r="E39" s="1736"/>
      <c r="F39" s="1736"/>
      <c r="G39" s="1736"/>
      <c r="H39" s="1736"/>
      <c r="I39" s="1736"/>
      <c r="J39" s="1736"/>
      <c r="K39" s="1736"/>
      <c r="L39" s="1736"/>
      <c r="M39" s="1736"/>
      <c r="N39" s="1737"/>
      <c r="O39" s="613"/>
      <c r="Q39" s="613"/>
    </row>
    <row r="40" spans="1:17" ht="63" thickBot="1">
      <c r="A40" s="1373" t="s">
        <v>90</v>
      </c>
      <c r="B40" s="746" t="s">
        <v>89</v>
      </c>
      <c r="C40" s="747" t="s">
        <v>88</v>
      </c>
      <c r="D40" s="748" t="s">
        <v>87</v>
      </c>
      <c r="E40" s="749" t="s">
        <v>86</v>
      </c>
      <c r="F40" s="750" t="s">
        <v>85</v>
      </c>
      <c r="G40" s="809" t="s">
        <v>84</v>
      </c>
      <c r="H40" s="808" t="s">
        <v>83</v>
      </c>
      <c r="I40" s="808" t="s">
        <v>82</v>
      </c>
      <c r="J40" s="808" t="s">
        <v>81</v>
      </c>
      <c r="K40" s="808" t="s">
        <v>80</v>
      </c>
      <c r="L40" s="808" t="s">
        <v>79</v>
      </c>
      <c r="M40" s="808" t="s">
        <v>95</v>
      </c>
      <c r="N40" s="815" t="s">
        <v>78</v>
      </c>
      <c r="O40" s="613"/>
      <c r="Q40" s="613"/>
    </row>
    <row r="41" spans="1:17" ht="130.8" thickTop="1" thickBot="1">
      <c r="A41" s="1374" t="s">
        <v>1449</v>
      </c>
      <c r="B41" s="817" t="s">
        <v>1451</v>
      </c>
      <c r="C41" s="757">
        <v>0</v>
      </c>
      <c r="D41" s="758">
        <v>0</v>
      </c>
      <c r="E41" s="759">
        <f>SUM(C41:C41)</f>
        <v>0</v>
      </c>
      <c r="F41" s="818" t="s">
        <v>1450</v>
      </c>
      <c r="G41" s="1298">
        <f>'System Savings Questionnaire'!$C$76</f>
        <v>977897455</v>
      </c>
      <c r="H41" s="819">
        <f>G41*2*0.8%*(130/8760)</f>
        <v>232194.82949771691</v>
      </c>
      <c r="I41" s="830">
        <f>'System Savings Questionnaire'!$F$87*2*0.8%</f>
        <v>4459.152</v>
      </c>
      <c r="J41" s="819">
        <v>1</v>
      </c>
      <c r="K41" s="764">
        <f>(H41)/1000</f>
        <v>232.19482949771691</v>
      </c>
      <c r="L41" s="764">
        <f>J41*K41</f>
        <v>232.19482949771691</v>
      </c>
      <c r="M41" s="764">
        <f>I41</f>
        <v>4459.152</v>
      </c>
      <c r="N41" s="765" t="s">
        <v>1734</v>
      </c>
      <c r="O41" s="613"/>
      <c r="Q41" s="613"/>
    </row>
    <row r="42" spans="1:17" ht="48" thickTop="1" thickBot="1">
      <c r="A42" s="1370" t="s">
        <v>77</v>
      </c>
      <c r="B42" s="782"/>
      <c r="C42" s="783">
        <f>SUM(C41)</f>
        <v>0</v>
      </c>
      <c r="D42" s="783">
        <f>SUM(D41)</f>
        <v>0</v>
      </c>
      <c r="E42" s="783">
        <f>SUM(E41)</f>
        <v>0</v>
      </c>
      <c r="F42" s="784" t="s">
        <v>76</v>
      </c>
      <c r="G42" s="785">
        <f>SUM(G41)</f>
        <v>977897455</v>
      </c>
      <c r="H42" s="785"/>
      <c r="I42" s="785"/>
      <c r="J42" s="786"/>
      <c r="K42" s="786">
        <f>SUM(K41)</f>
        <v>232.19482949771691</v>
      </c>
      <c r="L42" s="786">
        <f>SUM(L41)</f>
        <v>232.19482949771691</v>
      </c>
      <c r="M42" s="787">
        <f>SUM(M41)</f>
        <v>4459.152</v>
      </c>
      <c r="N42" s="811"/>
      <c r="O42" s="613"/>
      <c r="Q42" s="613"/>
    </row>
    <row r="43" spans="1:17" ht="16.2" thickBot="1">
      <c r="A43" s="1378"/>
      <c r="B43" s="832"/>
      <c r="C43" s="832"/>
      <c r="D43" s="832"/>
      <c r="E43" s="832"/>
      <c r="F43" s="832"/>
      <c r="G43" s="832"/>
      <c r="H43" s="832"/>
      <c r="I43" s="833">
        <f>'System Savings Questionnaire'!$F$87</f>
        <v>278697</v>
      </c>
      <c r="J43" s="832"/>
      <c r="K43" s="832"/>
      <c r="L43" s="832"/>
      <c r="O43" s="613"/>
      <c r="Q43" s="613"/>
    </row>
    <row r="44" spans="1:17" ht="21.6" thickBot="1">
      <c r="A44" s="1726" t="s">
        <v>75</v>
      </c>
      <c r="B44" s="1727"/>
      <c r="C44" s="1728"/>
      <c r="H44" s="1299">
        <f>I44*130</f>
        <v>579689.76000000013</v>
      </c>
      <c r="I44" s="834">
        <f>'System Savings Questionnaire'!F87*0.02*0.8</f>
        <v>4459.152000000001</v>
      </c>
      <c r="M44" s="835"/>
      <c r="O44" s="613"/>
      <c r="Q44" s="613"/>
    </row>
    <row r="45" spans="1:17" ht="15.6">
      <c r="A45" s="1373" t="s">
        <v>74</v>
      </c>
      <c r="B45" s="808" t="s">
        <v>73</v>
      </c>
      <c r="C45" s="751" t="s">
        <v>72</v>
      </c>
      <c r="O45" s="613"/>
      <c r="Q45" s="613"/>
    </row>
    <row r="46" spans="1:17" ht="14.4">
      <c r="A46" s="1379" t="s">
        <v>61</v>
      </c>
      <c r="B46" s="779">
        <v>51162</v>
      </c>
      <c r="C46" s="837">
        <v>0</v>
      </c>
      <c r="I46" s="835"/>
      <c r="O46" s="613"/>
      <c r="Q46" s="613"/>
    </row>
    <row r="47" spans="1:17" ht="14.4">
      <c r="A47" s="1379" t="s">
        <v>60</v>
      </c>
      <c r="B47" s="779">
        <v>1500</v>
      </c>
      <c r="C47" s="837">
        <v>0</v>
      </c>
      <c r="O47" s="613"/>
      <c r="Q47" s="613"/>
    </row>
    <row r="48" spans="1:17" ht="14.4">
      <c r="A48" s="1379" t="s">
        <v>59</v>
      </c>
      <c r="B48" s="779">
        <v>0</v>
      </c>
      <c r="C48" s="837">
        <v>0</v>
      </c>
      <c r="O48" s="613"/>
      <c r="Q48" s="613"/>
    </row>
    <row r="49" spans="1:17" ht="31.8" thickBot="1">
      <c r="A49" s="1380" t="str">
        <f>"Total for "&amp;A44</f>
        <v>Total for Advanced Metering</v>
      </c>
      <c r="B49" s="839">
        <f>SUM(B46:B48)</f>
        <v>52662</v>
      </c>
      <c r="C49" s="840">
        <f>SUM(C46:C48)</f>
        <v>0</v>
      </c>
      <c r="O49" s="613"/>
      <c r="Q49" s="613"/>
    </row>
  </sheetData>
  <mergeCells count="30">
    <mergeCell ref="F7:H7"/>
    <mergeCell ref="F8:H8"/>
    <mergeCell ref="F9:H9"/>
    <mergeCell ref="A1:N1"/>
    <mergeCell ref="F13:H13"/>
    <mergeCell ref="F11:H11"/>
    <mergeCell ref="F12:H12"/>
    <mergeCell ref="F10:H10"/>
    <mergeCell ref="A4:N4"/>
    <mergeCell ref="F6:H6"/>
    <mergeCell ref="A44:C44"/>
    <mergeCell ref="F14:H14"/>
    <mergeCell ref="F15:H15"/>
    <mergeCell ref="A39:N39"/>
    <mergeCell ref="F16:H16"/>
    <mergeCell ref="F20:L20"/>
    <mergeCell ref="A19:N19"/>
    <mergeCell ref="A30:N30"/>
    <mergeCell ref="C20:E20"/>
    <mergeCell ref="AS20:AT20"/>
    <mergeCell ref="S6:U6"/>
    <mergeCell ref="S19:AA19"/>
    <mergeCell ref="S20:AA20"/>
    <mergeCell ref="AB19:AQ19"/>
    <mergeCell ref="AB20:AE20"/>
    <mergeCell ref="AF20:AI20"/>
    <mergeCell ref="AJ20:AM20"/>
    <mergeCell ref="AN20:AQ20"/>
    <mergeCell ref="AB18:AE18"/>
    <mergeCell ref="AJ18:AM18"/>
  </mergeCells>
  <conditionalFormatting sqref="G22:G23">
    <cfRule type="expression" priority="65" dxfId="9">
      <formula>ISBLANK(G22)</formula>
    </cfRule>
    <cfRule type="expression" priority="66">
      <formula>NOT(ISBLANK(G22))</formula>
    </cfRule>
  </conditionalFormatting>
  <conditionalFormatting sqref="B11">
    <cfRule type="expression" priority="51" dxfId="9">
      <formula>ISBLANK(B11)</formula>
    </cfRule>
    <cfRule type="expression" priority="52">
      <formula>NOT(ISBLANK(B11))</formula>
    </cfRule>
  </conditionalFormatting>
  <conditionalFormatting sqref="G27">
    <cfRule type="expression" priority="49" dxfId="9">
      <formula>ISBLANK(G27)</formula>
    </cfRule>
    <cfRule type="expression" priority="50">
      <formula>NOT(ISBLANK(G27))</formula>
    </cfRule>
  </conditionalFormatting>
  <conditionalFormatting sqref="G32">
    <cfRule type="expression" priority="39" dxfId="9">
      <formula>ISBLANK(G32)</formula>
    </cfRule>
    <cfRule type="expression" priority="40">
      <formula>NOT(ISBLANK(G32))</formula>
    </cfRule>
  </conditionalFormatting>
  <conditionalFormatting sqref="C23:D23 D22">
    <cfRule type="expression" priority="57" dxfId="9">
      <formula>ISBLANK(C22)</formula>
    </cfRule>
    <cfRule type="expression" priority="58">
      <formula>NOT(ISBLANK(C22))</formula>
    </cfRule>
  </conditionalFormatting>
  <conditionalFormatting sqref="C23">
    <cfRule type="expression" priority="55" dxfId="8">
      <formula>ISBLANK(C23)</formula>
    </cfRule>
    <cfRule type="expression" priority="56">
      <formula>NOT(ISBLANK(C23))</formula>
    </cfRule>
  </conditionalFormatting>
  <conditionalFormatting sqref="C27:D27">
    <cfRule type="expression" priority="47" dxfId="9">
      <formula>ISBLANK(C27)</formula>
    </cfRule>
    <cfRule type="expression" priority="48">
      <formula>NOT(ISBLANK(C27))</formula>
    </cfRule>
  </conditionalFormatting>
  <conditionalFormatting sqref="C27">
    <cfRule type="expression" priority="45" dxfId="8">
      <formula>ISBLANK(C27)</formula>
    </cfRule>
    <cfRule type="expression" priority="46">
      <formula>NOT(ISBLANK(C27))</formula>
    </cfRule>
  </conditionalFormatting>
  <conditionalFormatting sqref="C36:D36">
    <cfRule type="expression" priority="37" dxfId="9">
      <formula>ISBLANK(C36)</formula>
    </cfRule>
    <cfRule type="expression" priority="38">
      <formula>NOT(ISBLANK(C36))</formula>
    </cfRule>
  </conditionalFormatting>
  <conditionalFormatting sqref="C32:D32">
    <cfRule type="expression" priority="43" dxfId="9">
      <formula>ISBLANK(C32)</formula>
    </cfRule>
    <cfRule type="expression" priority="44">
      <formula>NOT(ISBLANK(C32))</formula>
    </cfRule>
  </conditionalFormatting>
  <conditionalFormatting sqref="C32">
    <cfRule type="expression" priority="41" dxfId="8">
      <formula>ISBLANK(C32)</formula>
    </cfRule>
    <cfRule type="expression" priority="42">
      <formula>NOT(ISBLANK(C32))</formula>
    </cfRule>
  </conditionalFormatting>
  <conditionalFormatting sqref="C36">
    <cfRule type="expression" priority="35" dxfId="8">
      <formula>ISBLANK(C36)</formula>
    </cfRule>
    <cfRule type="expression" priority="36">
      <formula>NOT(ISBLANK(C36))</formula>
    </cfRule>
  </conditionalFormatting>
  <conditionalFormatting sqref="C41:D41">
    <cfRule type="expression" priority="33" dxfId="9">
      <formula>ISBLANK(C41)</formula>
    </cfRule>
    <cfRule type="expression" priority="34">
      <formula>NOT(ISBLANK(C41))</formula>
    </cfRule>
  </conditionalFormatting>
  <conditionalFormatting sqref="C41">
    <cfRule type="expression" priority="31" dxfId="8">
      <formula>ISBLANK(C41)</formula>
    </cfRule>
    <cfRule type="expression" priority="32">
      <formula>NOT(ISBLANK(C41))</formula>
    </cfRule>
  </conditionalFormatting>
  <conditionalFormatting sqref="G36">
    <cfRule type="expression" priority="29" dxfId="9">
      <formula>ISBLANK(G36)</formula>
    </cfRule>
    <cfRule type="expression" priority="30">
      <formula>NOT(ISBLANK(G36))</formula>
    </cfRule>
  </conditionalFormatting>
  <conditionalFormatting sqref="C22">
    <cfRule type="expression" priority="25" dxfId="8">
      <formula>ISBLANK(C22)</formula>
    </cfRule>
    <cfRule type="expression" priority="26">
      <formula>NOT(ISBLANK(C22))</formula>
    </cfRule>
  </conditionalFormatting>
  <conditionalFormatting sqref="C22">
    <cfRule type="expression" priority="23" dxfId="9">
      <formula>ISBLANK(C22)</formula>
    </cfRule>
    <cfRule type="expression" priority="24">
      <formula>NOT(ISBLANK(C22))</formula>
    </cfRule>
  </conditionalFormatting>
  <conditionalFormatting sqref="C22">
    <cfRule type="expression" priority="21" dxfId="9">
      <formula>ISBLANK(C22)</formula>
    </cfRule>
    <cfRule type="expression" priority="22">
      <formula>NOT(ISBLANK(C22))</formula>
    </cfRule>
  </conditionalFormatting>
  <conditionalFormatting sqref="C22">
    <cfRule type="expression" priority="19" dxfId="8">
      <formula>ISBLANK(C22)</formula>
    </cfRule>
    <cfRule type="expression" priority="20">
      <formula>NOT(ISBLANK(C22))</formula>
    </cfRule>
  </conditionalFormatting>
  <conditionalFormatting sqref="AE24">
    <cfRule type="cellIs" priority="6" dxfId="0" operator="lessThan">
      <formula>1</formula>
    </cfRule>
  </conditionalFormatting>
  <conditionalFormatting sqref="AI24">
    <cfRule type="cellIs" priority="5" dxfId="0" operator="lessThan">
      <formula>1</formula>
    </cfRule>
  </conditionalFormatting>
  <conditionalFormatting sqref="AM24">
    <cfRule type="cellIs" priority="4" dxfId="0" operator="lessThan">
      <formula>1</formula>
    </cfRule>
  </conditionalFormatting>
  <conditionalFormatting sqref="AQ24">
    <cfRule type="cellIs" priority="3" dxfId="0" operator="lessThan">
      <formula>1</formula>
    </cfRule>
  </conditionalFormatting>
  <conditionalFormatting sqref="G41">
    <cfRule type="expression" priority="1" dxfId="9">
      <formula>ISBLANK(G41)</formula>
    </cfRule>
    <cfRule type="expression" priority="2">
      <formula>NOT(ISBLANK(G41))</formula>
    </cfRule>
  </conditionalFormatting>
  <conditionalFormatting sqref="AE22:AE23">
    <cfRule type="colorScale" priority="279">
      <colorScale>
        <cfvo type="min" val="0"/>
        <cfvo type="percentile" val="50"/>
        <cfvo type="max" val="0"/>
        <color rgb="FFF8696B"/>
        <color rgb="FFFFEB84"/>
        <color rgb="FF63BE7B"/>
      </colorScale>
    </cfRule>
    <cfRule type="cellIs" priority="280" dxfId="0" operator="lessThan">
      <formula>1</formula>
    </cfRule>
  </conditionalFormatting>
  <conditionalFormatting sqref="AI22:AI23">
    <cfRule type="colorScale" priority="281">
      <colorScale>
        <cfvo type="min" val="0"/>
        <cfvo type="percentile" val="50"/>
        <cfvo type="max" val="0"/>
        <color rgb="FFF8696B"/>
        <color rgb="FFFFEB84"/>
        <color rgb="FF63BE7B"/>
      </colorScale>
    </cfRule>
    <cfRule type="cellIs" priority="282" dxfId="0" operator="lessThan">
      <formula>1</formula>
    </cfRule>
  </conditionalFormatting>
  <conditionalFormatting sqref="AM22:AM23">
    <cfRule type="colorScale" priority="283">
      <colorScale>
        <cfvo type="min" val="0"/>
        <cfvo type="percentile" val="50"/>
        <cfvo type="max" val="0"/>
        <color rgb="FFF8696B"/>
        <color rgb="FFFFEB84"/>
        <color rgb="FF63BE7B"/>
      </colorScale>
    </cfRule>
    <cfRule type="cellIs" priority="284" dxfId="0" operator="lessThan">
      <formula>1</formula>
    </cfRule>
  </conditionalFormatting>
  <conditionalFormatting sqref="AQ22:AQ23">
    <cfRule type="colorScale" priority="285">
      <colorScale>
        <cfvo type="min" val="0"/>
        <cfvo type="percentile" val="50"/>
        <cfvo type="max" val="0"/>
        <color rgb="FFF8696B"/>
        <color rgb="FFFFEB84"/>
        <color rgb="FF63BE7B"/>
      </colorScale>
    </cfRule>
    <cfRule type="cellIs" priority="286" dxfId="0" operator="lessThan">
      <formula>1</formula>
    </cfRule>
  </conditionalFormatting>
  <pageMargins left="0.7" right="0.7" top="0.75" bottom="0.75" header="0.3" footer="0.3"/>
  <pageSetup orientation="portrait" r:id="rId2"/>
  <ignoredErrors>
    <ignoredError sqref="S23:S24 Y24:AA24 Z22:AA22 Z23:AA23 X22:X23 W22:W23 Y22 Y23 T8 T12:T13 AP22 AS22:AU23 AN22:AN23 AG23 AE22 AJ22 AO22 AE23 AC22 AK23:AM23 AH23:AI23 AC23:AD23 AK22:AM22 AH22 AD22 AO23 AP23:AQ23 AJ23 AD24 AR23 AB24 AO24:AQ24 AR24 AR22 AB23 AB22 AC24 AU24 AE24 AI22 AQ22 AJ24:AM24" unlockedFormula="1"/>
  </ignoredError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tint="-0.24997"/>
  </sheetPr>
  <dimension ref="A1:AU49"/>
  <sheetViews>
    <sheetView zoomScale="70" zoomScaleNormal="70" workbookViewId="0" topLeftCell="A7">
      <selection pane="topLeft" activeCell="A1" sqref="A1"/>
    </sheetView>
  </sheetViews>
  <sheetFormatPr defaultColWidth="8.88888888888889" defaultRowHeight="14.4" outlineLevelCol="1"/>
  <cols>
    <col min="1" max="2" width="22.6666666666667" customWidth="1"/>
    <col min="3" max="5" width="16.6666666666667" customWidth="1"/>
    <col min="6" max="13" width="12.6666666666667" customWidth="1"/>
    <col min="14" max="14" width="36.6666666666667" customWidth="1"/>
    <col min="15" max="15" width="10.5555555555556" hidden="1" customWidth="1"/>
    <col min="16" max="16" width="35.7777777777778" customWidth="1"/>
    <col min="17" max="17" width="44.7777777777778" hidden="1" customWidth="1"/>
    <col min="18" max="18" width="2.55555555555556" customWidth="1"/>
    <col min="19" max="19" width="33.7777777777778" bestFit="1" customWidth="1"/>
    <col min="20" max="20" width="13.2222222222222" bestFit="1" customWidth="1"/>
    <col min="21" max="21" width="40.2222222222222" bestFit="1" customWidth="1"/>
    <col min="22" max="27" width="10.7777777777778" customWidth="1"/>
    <col min="28" max="31" width="10.7777777777778" customWidth="1" outlineLevel="1"/>
    <col min="32" max="32" width="10.7777777777778" customWidth="1" collapsed="1"/>
    <col min="33" max="35" width="10.7777777777778" customWidth="1"/>
    <col min="36" max="39" width="10.7777777777778" customWidth="1" outlineLevel="1"/>
    <col min="40" max="40" width="10.7777777777778" customWidth="1" collapsed="1"/>
    <col min="41" max="41" width="10.7777777777778" customWidth="1"/>
    <col min="42" max="42" width="12" customWidth="1"/>
    <col min="43" max="43" width="10.7777777777778" customWidth="1"/>
    <col min="44" max="44" width="8.88888888888889" customWidth="1"/>
    <col min="45" max="46" width="11.2222222222222" style="241" customWidth="1"/>
    <col min="47" max="47" width="8.88888888888889" customWidth="1"/>
  </cols>
  <sheetData>
    <row r="1" spans="1:39" ht="14.4">
      <c r="A1" s="1691" t="s">
        <v>1625</v>
      </c>
      <c r="B1" s="1760"/>
      <c r="C1" s="1760"/>
      <c r="D1" s="1760"/>
      <c r="E1" s="1760"/>
      <c r="F1" s="1760"/>
      <c r="G1" s="1760"/>
      <c r="H1" s="1761"/>
      <c r="I1" s="1761"/>
      <c r="J1" s="1761"/>
      <c r="K1" s="1761"/>
      <c r="L1" s="1761"/>
      <c r="M1" s="1761"/>
      <c r="N1" s="1761"/>
    </row>
    <row r="2" spans="15:39" ht="14.4"/>
    <row r="3" spans="15:39" ht="14.4"/>
    <row r="4" spans="1:39" ht="25.8">
      <c r="A4" s="1709" t="str">
        <f>"Tri-County "&amp;$T$4</f>
        <v>Tri-County 2015</v>
      </c>
      <c r="B4" s="1710"/>
      <c r="C4" s="1710"/>
      <c r="D4" s="1710"/>
      <c r="E4" s="1710"/>
      <c r="F4" s="1710"/>
      <c r="G4" s="1710"/>
      <c r="H4" s="1710"/>
      <c r="I4" s="1710"/>
      <c r="J4" s="1710"/>
      <c r="K4" s="1710"/>
      <c r="L4" s="1710"/>
      <c r="M4" s="1710"/>
      <c r="N4" s="1710"/>
      <c r="S4" s="490" t="s">
        <v>1160</v>
      </c>
      <c r="T4" s="490">
        <f>'Save Spend Summary'!$C$2</f>
        <v>2015</v>
      </c>
    </row>
    <row r="5" spans="1:46" s="24" customFormat="1" ht="15" customHeight="1" thickBot="1">
      <c r="A5" s="194"/>
      <c r="B5" s="194"/>
      <c r="C5" s="194"/>
      <c r="D5" s="194"/>
      <c r="E5" s="194"/>
      <c r="F5" s="194"/>
      <c r="G5" s="194"/>
      <c r="H5" s="194"/>
      <c r="I5" s="194"/>
      <c r="J5" s="194"/>
      <c r="K5" s="194"/>
      <c r="L5" s="194"/>
      <c r="O5" s="24"/>
      <c r="P5" s="24"/>
      <c r="Q5" s="24"/>
      <c r="AB5" s="24"/>
      <c r="AC5" s="24"/>
      <c r="AD5" s="24"/>
      <c r="AE5" s="24"/>
      <c r="AJ5" s="24"/>
      <c r="AK5" s="24"/>
      <c r="AL5" s="24"/>
      <c r="AM5" s="24"/>
      <c r="AS5" s="395"/>
      <c r="AT5" s="395"/>
    </row>
    <row r="6" spans="1:46" s="24" customFormat="1" ht="84.6" thickBot="1">
      <c r="A6" s="313" t="s">
        <v>139</v>
      </c>
      <c r="B6" s="251" t="s">
        <v>88</v>
      </c>
      <c r="C6" s="250" t="s">
        <v>87</v>
      </c>
      <c r="D6" s="249" t="s">
        <v>86</v>
      </c>
      <c r="F6" s="1711" t="s">
        <v>138</v>
      </c>
      <c r="G6" s="1712"/>
      <c r="H6" s="1712"/>
      <c r="I6" s="248" t="s">
        <v>80</v>
      </c>
      <c r="J6" s="248" t="s">
        <v>79</v>
      </c>
      <c r="K6" s="247" t="s">
        <v>95</v>
      </c>
      <c r="O6" s="24"/>
      <c r="P6" s="24"/>
      <c r="Q6" s="24"/>
      <c r="S6" s="1673" t="s">
        <v>834</v>
      </c>
      <c r="T6" s="1674"/>
      <c r="U6" s="1675"/>
      <c r="AB6" s="24"/>
      <c r="AC6" s="24"/>
      <c r="AD6" s="24"/>
      <c r="AE6" s="24"/>
      <c r="AJ6" s="24"/>
      <c r="AK6" s="24"/>
      <c r="AL6" s="24"/>
      <c r="AM6" s="24"/>
      <c r="AS6" s="395"/>
      <c r="AT6" s="395"/>
    </row>
    <row r="7" spans="1:46" s="24" customFormat="1" ht="15" customHeight="1">
      <c r="A7" s="245" t="s">
        <v>136</v>
      </c>
      <c r="B7" s="244"/>
      <c r="C7" s="244"/>
      <c r="D7" s="243"/>
      <c r="F7" s="1676" t="s">
        <v>136</v>
      </c>
      <c r="G7" s="1677"/>
      <c r="H7" s="1678"/>
      <c r="I7" s="244"/>
      <c r="J7" s="244"/>
      <c r="K7" s="243"/>
      <c r="O7" s="24"/>
      <c r="P7" s="24"/>
      <c r="Q7" s="24"/>
      <c r="S7" s="386" t="s">
        <v>196</v>
      </c>
      <c r="T7" s="386" t="s">
        <v>194</v>
      </c>
      <c r="U7" s="386" t="s">
        <v>78</v>
      </c>
      <c r="AB7" s="24"/>
      <c r="AC7" s="24"/>
      <c r="AD7" s="24"/>
      <c r="AE7" s="24"/>
      <c r="AJ7" s="24"/>
      <c r="AK7" s="24"/>
      <c r="AL7" s="24"/>
      <c r="AM7" s="24"/>
      <c r="AS7" s="395"/>
      <c r="AT7" s="395"/>
    </row>
    <row r="8" spans="1:46" s="24" customFormat="1" ht="15" customHeight="1">
      <c r="A8" s="209" t="s">
        <v>134</v>
      </c>
      <c r="B8" s="208">
        <f>C24</f>
        <v>0</v>
      </c>
      <c r="C8" s="208">
        <f>D24</f>
        <v>1847</v>
      </c>
      <c r="D8" s="206">
        <f>SUM(B8:C8)</f>
        <v>1847</v>
      </c>
      <c r="F8" s="1669" t="s">
        <v>134</v>
      </c>
      <c r="G8" s="1647"/>
      <c r="H8" s="1648"/>
      <c r="I8" s="239">
        <f>K24</f>
        <v>447.9731617142628</v>
      </c>
      <c r="J8" s="211">
        <f>L24</f>
        <v>554.23228811426281</v>
      </c>
      <c r="K8" s="210">
        <f>M24</f>
        <v>6.4612332067296965</v>
      </c>
      <c r="O8" s="24"/>
      <c r="P8" s="24"/>
      <c r="Q8" s="24"/>
      <c r="S8" s="382" t="s">
        <v>833</v>
      </c>
      <c r="T8" s="385">
        <f>'Seminole Avoided Cost'!$C$8</f>
        <v>0.06</v>
      </c>
      <c r="U8" s="438" t="s">
        <v>1120</v>
      </c>
      <c r="AB8" s="24"/>
      <c r="AC8" s="24"/>
      <c r="AD8" s="24"/>
      <c r="AE8" s="24"/>
      <c r="AJ8" s="24"/>
      <c r="AK8" s="24"/>
      <c r="AL8" s="24"/>
      <c r="AM8" s="24"/>
      <c r="AS8" s="395"/>
      <c r="AT8" s="395"/>
    </row>
    <row r="9" spans="1:46" s="24" customFormat="1" ht="15" customHeight="1">
      <c r="A9" s="209" t="s">
        <v>132</v>
      </c>
      <c r="B9" s="207">
        <f>C33</f>
        <v>0</v>
      </c>
      <c r="C9" s="208">
        <f>D33</f>
        <v>0</v>
      </c>
      <c r="D9" s="206">
        <f>SUM(B9:C9)</f>
        <v>0</v>
      </c>
      <c r="F9" s="1669" t="s">
        <v>132</v>
      </c>
      <c r="G9" s="1647"/>
      <c r="H9" s="1648"/>
      <c r="I9" s="239">
        <f>K33</f>
        <v>0</v>
      </c>
      <c r="J9" s="239">
        <f>L33</f>
        <v>0</v>
      </c>
      <c r="K9" s="239">
        <f>M33</f>
        <v>0</v>
      </c>
      <c r="O9" s="24"/>
      <c r="P9" s="24"/>
      <c r="Q9" s="24"/>
      <c r="S9" s="382" t="s">
        <v>832</v>
      </c>
      <c r="T9" s="384">
        <v>0</v>
      </c>
      <c r="U9" s="438" t="s">
        <v>857</v>
      </c>
      <c r="AB9" s="24"/>
      <c r="AC9" s="24"/>
      <c r="AD9" s="24"/>
      <c r="AE9" s="24"/>
      <c r="AJ9" s="24"/>
      <c r="AK9" s="24"/>
      <c r="AL9" s="24"/>
      <c r="AM9" s="24"/>
      <c r="AS9" s="395"/>
      <c r="AT9" s="395"/>
    </row>
    <row r="10" spans="1:46" s="24" customFormat="1" ht="15" customHeight="1" thickBot="1">
      <c r="A10" s="236" t="s">
        <v>130</v>
      </c>
      <c r="B10" s="207">
        <f>C41</f>
        <v>0</v>
      </c>
      <c r="C10" s="208">
        <f>D41</f>
        <v>0</v>
      </c>
      <c r="D10" s="229">
        <f>SUM(B10:C10)</f>
        <v>0</v>
      </c>
      <c r="F10" s="1670" t="s">
        <v>130</v>
      </c>
      <c r="G10" s="1671"/>
      <c r="H10" s="1672"/>
      <c r="I10" s="234">
        <f>K42</f>
        <v>0</v>
      </c>
      <c r="J10" s="233">
        <f>L42</f>
        <v>0</v>
      </c>
      <c r="K10" s="232">
        <f>M42</f>
        <v>0</v>
      </c>
      <c r="O10" s="24"/>
      <c r="P10" s="24"/>
      <c r="Q10" s="24"/>
      <c r="S10" s="382" t="s">
        <v>831</v>
      </c>
      <c r="T10" s="384">
        <v>0</v>
      </c>
      <c r="U10" s="438" t="s">
        <v>857</v>
      </c>
      <c r="AB10" s="24"/>
      <c r="AC10" s="24"/>
      <c r="AD10" s="24"/>
      <c r="AE10" s="24"/>
      <c r="AJ10" s="24"/>
      <c r="AK10" s="24"/>
      <c r="AL10" s="24"/>
      <c r="AM10" s="24"/>
      <c r="AS10" s="395"/>
      <c r="AT10" s="395"/>
    </row>
    <row r="11" spans="1:46" s="24" customFormat="1" ht="15" customHeight="1" thickTop="1" thickBot="1">
      <c r="A11" s="231" t="s">
        <v>129</v>
      </c>
      <c r="B11" s="332">
        <v>0</v>
      </c>
      <c r="C11" s="331"/>
      <c r="D11" s="229">
        <f>SUM(B11:C11)</f>
        <v>0</v>
      </c>
      <c r="F11" s="1665" t="s">
        <v>128</v>
      </c>
      <c r="G11" s="1666"/>
      <c r="H11" s="1667"/>
      <c r="I11" s="228">
        <f>SUM(I8:I10)</f>
        <v>447.9731617142628</v>
      </c>
      <c r="J11" s="228">
        <f>SUM(J8:J10)</f>
        <v>554.23228811426281</v>
      </c>
      <c r="K11" s="227">
        <f>SUM(K8:K10)</f>
        <v>6.4612332067296965</v>
      </c>
      <c r="O11" s="24"/>
      <c r="P11" s="24"/>
      <c r="Q11" s="24"/>
      <c r="S11" s="382" t="s">
        <v>830</v>
      </c>
      <c r="T11" s="384">
        <v>0</v>
      </c>
      <c r="U11" s="438" t="s">
        <v>857</v>
      </c>
      <c r="AB11" s="24"/>
      <c r="AC11" s="24"/>
      <c r="AD11" s="24"/>
      <c r="AE11" s="24"/>
      <c r="AJ11" s="24"/>
      <c r="AK11" s="24"/>
      <c r="AL11" s="24"/>
      <c r="AM11" s="24"/>
      <c r="AS11" s="395"/>
      <c r="AT11" s="395"/>
    </row>
    <row r="12" spans="1:46" s="46" customFormat="1" ht="15" customHeight="1" thickTop="1">
      <c r="A12" s="226" t="s">
        <v>128</v>
      </c>
      <c r="B12" s="225">
        <f>SUM(B8:B11)</f>
        <v>0</v>
      </c>
      <c r="C12" s="224">
        <f>SUM(C8:C11)</f>
        <v>1847</v>
      </c>
      <c r="D12" s="223">
        <f>SUM(D8:D11)</f>
        <v>1847</v>
      </c>
      <c r="F12" s="1668" t="s">
        <v>127</v>
      </c>
      <c r="G12" s="1662"/>
      <c r="H12" s="1663"/>
      <c r="I12" s="222"/>
      <c r="J12" s="222"/>
      <c r="K12" s="221"/>
      <c r="O12" s="46"/>
      <c r="P12" s="46"/>
      <c r="Q12" s="46"/>
      <c r="S12" s="382" t="s">
        <v>829</v>
      </c>
      <c r="T12" s="383">
        <f>VLOOKUP($U12,'2015 Annual Sales and Revenue '!$B$3:$H$29,7,FALSE)</f>
        <v>0.14924409730490432</v>
      </c>
      <c r="U12" s="438" t="s">
        <v>1144</v>
      </c>
      <c r="AB12" s="46"/>
      <c r="AC12" s="46"/>
      <c r="AD12" s="46"/>
      <c r="AE12" s="46"/>
      <c r="AJ12" s="46"/>
      <c r="AK12" s="46"/>
      <c r="AL12" s="46"/>
      <c r="AM12" s="46"/>
      <c r="AS12" s="396"/>
      <c r="AT12" s="396"/>
    </row>
    <row r="13" spans="1:46" s="24" customFormat="1" ht="15" customHeight="1">
      <c r="A13" s="220" t="s">
        <v>127</v>
      </c>
      <c r="B13" s="219"/>
      <c r="C13" s="219"/>
      <c r="D13" s="218"/>
      <c r="F13" s="1669" t="s">
        <v>126</v>
      </c>
      <c r="G13" s="1647"/>
      <c r="H13" s="1648"/>
      <c r="I13" s="217">
        <f>K28</f>
        <v>0</v>
      </c>
      <c r="J13" s="217">
        <f>L28</f>
        <v>0</v>
      </c>
      <c r="K13" s="216">
        <f>M28</f>
        <v>0</v>
      </c>
      <c r="O13" s="24"/>
      <c r="P13" s="24"/>
      <c r="Q13" s="24"/>
      <c r="S13" s="382" t="s">
        <v>856</v>
      </c>
      <c r="T13" s="383">
        <f>VLOOKUP($U13,'2015 Annual Sales and Revenue '!$B$3:$H$29,7,FALSE)</f>
        <v>0.10283606194884436</v>
      </c>
      <c r="U13" s="438" t="s">
        <v>1145</v>
      </c>
      <c r="AB13" s="24"/>
      <c r="AC13" s="24"/>
      <c r="AD13" s="24"/>
      <c r="AE13" s="24"/>
      <c r="AJ13" s="24"/>
      <c r="AK13" s="24"/>
      <c r="AL13" s="24"/>
      <c r="AM13" s="24"/>
      <c r="AS13" s="395"/>
      <c r="AT13" s="395"/>
    </row>
    <row r="14" spans="1:42" s="24" customFormat="1" ht="15" customHeight="1" thickBot="1">
      <c r="A14" s="215" t="s">
        <v>126</v>
      </c>
      <c r="B14" s="214">
        <f>C28</f>
        <v>0</v>
      </c>
      <c r="C14" s="213">
        <f>D28</f>
        <v>0</v>
      </c>
      <c r="D14" s="212">
        <f>SUM(B14:C14)</f>
        <v>0</v>
      </c>
      <c r="F14" s="1670" t="s">
        <v>125</v>
      </c>
      <c r="G14" s="1671"/>
      <c r="H14" s="1672"/>
      <c r="I14" s="211">
        <f>K36</f>
        <v>0</v>
      </c>
      <c r="J14" s="211">
        <f>L36</f>
        <v>0</v>
      </c>
      <c r="K14" s="210">
        <f>M36</f>
        <v>0</v>
      </c>
      <c r="O14" s="24"/>
      <c r="P14" s="24"/>
      <c r="Q14" s="24"/>
      <c r="AB14" s="24"/>
      <c r="AC14" s="24"/>
      <c r="AD14" s="24"/>
      <c r="AE14" s="24"/>
      <c r="AJ14" s="24"/>
      <c r="AK14" s="24"/>
      <c r="AL14" s="24"/>
      <c r="AM14" s="24"/>
      <c r="AO14" s="395"/>
      <c r="AP14" s="395"/>
    </row>
    <row r="15" spans="1:42" s="24" customFormat="1" ht="15" customHeight="1" thickBot="1">
      <c r="A15" s="209" t="s">
        <v>124</v>
      </c>
      <c r="B15" s="208">
        <f>C37</f>
        <v>0</v>
      </c>
      <c r="C15" s="207">
        <f>D37</f>
        <v>0</v>
      </c>
      <c r="D15" s="206">
        <f>SUM(B15:C15)</f>
        <v>0</v>
      </c>
      <c r="F15" s="1706" t="s">
        <v>123</v>
      </c>
      <c r="G15" s="1707"/>
      <c r="H15" s="1708"/>
      <c r="I15" s="205">
        <f>SUM(I13:I14)</f>
        <v>0</v>
      </c>
      <c r="J15" s="205">
        <f>SUM(J13:J14)</f>
        <v>0</v>
      </c>
      <c r="K15" s="204">
        <f>SUM(K13:K14)</f>
        <v>0</v>
      </c>
      <c r="O15" s="24"/>
      <c r="P15" s="24"/>
      <c r="Q15" s="24"/>
      <c r="AB15" s="24"/>
      <c r="AC15" s="24"/>
      <c r="AD15" s="24"/>
      <c r="AE15" s="24"/>
      <c r="AJ15" s="24"/>
      <c r="AK15" s="24"/>
      <c r="AL15" s="24"/>
      <c r="AM15" s="24"/>
      <c r="AO15" s="395"/>
      <c r="AP15" s="395"/>
    </row>
    <row r="16" spans="1:46" s="24" customFormat="1" ht="15" customHeight="1" thickBot="1">
      <c r="A16" s="203" t="s">
        <v>123</v>
      </c>
      <c r="B16" s="202">
        <f>SUM(B14:B15)</f>
        <v>0</v>
      </c>
      <c r="C16" s="202">
        <f>SUM(C14:C15)</f>
        <v>0</v>
      </c>
      <c r="D16" s="201">
        <f>SUM(D14:D15)</f>
        <v>0</v>
      </c>
      <c r="F16" s="1762" t="s">
        <v>823</v>
      </c>
      <c r="G16" s="1763"/>
      <c r="H16" s="1764"/>
      <c r="I16" s="200">
        <f>SUM(I11,I15)</f>
        <v>447.9731617142628</v>
      </c>
      <c r="J16" s="200">
        <f>SUM(J11,J15)</f>
        <v>554.23228811426281</v>
      </c>
      <c r="K16" s="199">
        <f>SUM(K11,K15)</f>
        <v>6.4612332067296965</v>
      </c>
      <c r="O16" s="24"/>
      <c r="P16" s="24"/>
      <c r="Q16" s="24"/>
      <c r="AB16" s="24"/>
      <c r="AC16" s="24"/>
      <c r="AD16" s="24"/>
      <c r="AE16" s="24"/>
      <c r="AJ16" s="24"/>
      <c r="AK16" s="24"/>
      <c r="AL16" s="24"/>
      <c r="AM16" s="24"/>
      <c r="AS16" s="395"/>
      <c r="AT16" s="395"/>
    </row>
    <row r="17" spans="1:46" s="24" customFormat="1" ht="15" customHeight="1" thickBot="1">
      <c r="A17" s="198" t="s">
        <v>823</v>
      </c>
      <c r="B17" s="197">
        <f>SUM(B12,B16)</f>
        <v>0</v>
      </c>
      <c r="C17" s="197">
        <f>SUM(C12,C16)</f>
        <v>1847</v>
      </c>
      <c r="D17" s="196">
        <f>SUM(D12,D16)</f>
        <v>1847</v>
      </c>
      <c r="O17" s="24"/>
      <c r="P17" s="24"/>
      <c r="Q17" s="24"/>
      <c r="AB17" s="24"/>
      <c r="AC17" s="24"/>
      <c r="AD17" s="24"/>
      <c r="AE17" s="24"/>
      <c r="AJ17" s="24"/>
      <c r="AK17" s="24"/>
      <c r="AL17" s="24"/>
      <c r="AM17" s="24"/>
      <c r="AS17" s="395"/>
      <c r="AT17" s="395"/>
    </row>
    <row r="18" spans="1:46" s="24" customFormat="1" ht="15" customHeight="1" thickBot="1">
      <c r="A18" s="195"/>
      <c r="B18" s="195"/>
      <c r="C18" s="194"/>
      <c r="D18" s="194"/>
      <c r="E18" s="194"/>
      <c r="F18" s="194"/>
      <c r="G18" s="194"/>
      <c r="H18" s="194"/>
      <c r="I18" s="194"/>
      <c r="J18" s="194"/>
      <c r="K18" s="194"/>
      <c r="O18" s="24"/>
      <c r="P18" s="24"/>
      <c r="Q18" s="24"/>
      <c r="AB18" s="1627" t="s">
        <v>1161</v>
      </c>
      <c r="AC18" s="1627"/>
      <c r="AD18" s="1627"/>
      <c r="AE18" s="1627"/>
      <c r="AJ18" s="1627" t="s">
        <v>1161</v>
      </c>
      <c r="AK18" s="1627"/>
      <c r="AL18" s="1627"/>
      <c r="AM18" s="1627"/>
      <c r="AS18" s="395"/>
      <c r="AT18" s="395"/>
    </row>
    <row r="19" spans="1:45" ht="37.5" customHeight="1" thickBot="1">
      <c r="A19" s="1766" t="s">
        <v>122</v>
      </c>
      <c r="B19" s="1766"/>
      <c r="C19" s="1766"/>
      <c r="D19" s="1766"/>
      <c r="E19" s="1766"/>
      <c r="F19" s="1766"/>
      <c r="G19" s="1766"/>
      <c r="H19" s="1766"/>
      <c r="I19" s="1766"/>
      <c r="J19" s="1766"/>
      <c r="K19" s="1766"/>
      <c r="L19" s="1766"/>
      <c r="M19" s="1766"/>
      <c r="N19" s="1766"/>
      <c r="S19" s="1703" t="s">
        <v>855</v>
      </c>
      <c r="T19" s="1704"/>
      <c r="U19" s="1704"/>
      <c r="V19" s="1704"/>
      <c r="W19" s="1704"/>
      <c r="X19" s="1704"/>
      <c r="Y19" s="1704"/>
      <c r="Z19" s="1704"/>
      <c r="AA19" s="1704"/>
      <c r="AB19" s="1704" t="s">
        <v>854</v>
      </c>
      <c r="AC19" s="1704"/>
      <c r="AD19" s="1704"/>
      <c r="AE19" s="1704"/>
      <c r="AF19" s="1704"/>
      <c r="AG19" s="1704"/>
      <c r="AH19" s="1704"/>
      <c r="AI19" s="1704"/>
      <c r="AJ19" s="1704"/>
      <c r="AK19" s="1704"/>
      <c r="AL19" s="1704"/>
      <c r="AM19" s="1704"/>
      <c r="AN19" s="1704"/>
      <c r="AO19" s="1704"/>
      <c r="AP19" s="1704"/>
      <c r="AQ19" s="1705"/>
      <c r="AR19" s="291"/>
      <c r="AS19" s="46"/>
    </row>
    <row r="20" spans="1:47" ht="15.6" customHeight="1">
      <c r="A20" s="1438"/>
      <c r="B20" s="1438"/>
      <c r="C20" s="1765" t="s">
        <v>121</v>
      </c>
      <c r="D20" s="1765"/>
      <c r="E20" s="1765"/>
      <c r="F20" s="1765" t="s">
        <v>120</v>
      </c>
      <c r="G20" s="1765"/>
      <c r="H20" s="1765"/>
      <c r="I20" s="1765"/>
      <c r="J20" s="1765"/>
      <c r="K20" s="1765"/>
      <c r="L20" s="1765"/>
      <c r="M20" s="1440"/>
      <c r="N20" s="1440"/>
      <c r="S20" s="1688"/>
      <c r="T20" s="1689"/>
      <c r="U20" s="1689"/>
      <c r="V20" s="1689"/>
      <c r="W20" s="1689"/>
      <c r="X20" s="1689"/>
      <c r="Y20" s="1689"/>
      <c r="Z20" s="1689"/>
      <c r="AA20" s="1689"/>
      <c r="AB20" s="1690" t="s">
        <v>853</v>
      </c>
      <c r="AC20" s="1690"/>
      <c r="AD20" s="1690"/>
      <c r="AE20" s="1690"/>
      <c r="AF20" s="1690" t="s">
        <v>852</v>
      </c>
      <c r="AG20" s="1690"/>
      <c r="AH20" s="1690"/>
      <c r="AI20" s="1690"/>
      <c r="AJ20" s="1690" t="s">
        <v>851</v>
      </c>
      <c r="AK20" s="1690"/>
      <c r="AL20" s="1690"/>
      <c r="AM20" s="1690"/>
      <c r="AN20" s="1690" t="s">
        <v>850</v>
      </c>
      <c r="AO20" s="1690"/>
      <c r="AP20" s="1690"/>
      <c r="AQ20" s="1693"/>
      <c r="AR20" s="291"/>
      <c r="AS20" s="1694" t="s">
        <v>849</v>
      </c>
      <c r="AT20" s="1695"/>
      <c r="AU20" s="408" t="s">
        <v>858</v>
      </c>
    </row>
    <row r="21" spans="1:47" ht="62.4">
      <c r="A21" s="434" t="s">
        <v>119</v>
      </c>
      <c r="B21" s="1346" t="s">
        <v>89</v>
      </c>
      <c r="C21" s="434" t="s">
        <v>88</v>
      </c>
      <c r="D21" s="1346" t="s">
        <v>87</v>
      </c>
      <c r="E21" s="434" t="s">
        <v>86</v>
      </c>
      <c r="F21" s="434" t="s">
        <v>85</v>
      </c>
      <c r="G21" s="434" t="s">
        <v>84</v>
      </c>
      <c r="H21" s="434" t="s">
        <v>97</v>
      </c>
      <c r="I21" s="434" t="s">
        <v>82</v>
      </c>
      <c r="J21" s="434" t="s">
        <v>96</v>
      </c>
      <c r="K21" s="434" t="s">
        <v>80</v>
      </c>
      <c r="L21" s="434" t="s">
        <v>79</v>
      </c>
      <c r="M21" s="434" t="s">
        <v>95</v>
      </c>
      <c r="N21" s="1346" t="s">
        <v>78</v>
      </c>
      <c r="P21" s="183" t="str">
        <f>K21&amp;" Weighting"</f>
        <v>Total Annual MWh Weighting</v>
      </c>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291"/>
      <c r="AS21" s="397" t="s">
        <v>791</v>
      </c>
      <c r="AT21" s="386" t="s">
        <v>1164</v>
      </c>
      <c r="AU21" s="398" t="s">
        <v>752</v>
      </c>
    </row>
    <row r="22" spans="1:47" ht="31.2">
      <c r="A22" s="1451" t="s">
        <v>669</v>
      </c>
      <c r="B22" s="318" t="s">
        <v>668</v>
      </c>
      <c r="C22" s="1348">
        <v>0</v>
      </c>
      <c r="D22" s="1348">
        <v>0</v>
      </c>
      <c r="E22" s="1348">
        <f>SUM(C22:D22)</f>
        <v>0</v>
      </c>
      <c r="F22" s="1450" t="s">
        <v>667</v>
      </c>
      <c r="G22" s="1349">
        <v>570</v>
      </c>
      <c r="H22" s="165">
        <f>'Residential PrePay Metering'!$I$12</f>
        <v>776.10627388467162</v>
      </c>
      <c r="I22" s="1456">
        <f>'Residential PrePay Metering'!$J$12</f>
        <v>0.010196344693354714</v>
      </c>
      <c r="J22" s="165">
        <f>'Residential PrePay Metering'!$C$52</f>
        <v>1</v>
      </c>
      <c r="K22" s="1355">
        <f>(G22*H22)/1000</f>
        <v>442.38057611426279</v>
      </c>
      <c r="L22" s="1355">
        <f>J22*K22</f>
        <v>442.38057611426279</v>
      </c>
      <c r="M22" s="164">
        <f>G22*I22</f>
        <v>5.811916475212187</v>
      </c>
      <c r="N22" s="1445"/>
      <c r="P22" s="162">
        <f>K22/$K$24</f>
        <v>0.98751580211055767</v>
      </c>
      <c r="S22" s="399">
        <f>IFERROR(IF(G22/$G$24=0,0,G22/$G$24),"")</f>
        <v>0.74025974025974028</v>
      </c>
      <c r="T22" s="393" t="s">
        <v>836</v>
      </c>
      <c r="U22" s="393" t="s">
        <v>835</v>
      </c>
      <c r="V22" s="394">
        <v>0.90</v>
      </c>
      <c r="W22" s="392">
        <f>IF($H22*$T$12=0,"",$H22*$T$12)</f>
        <v>115.82928025859066</v>
      </c>
      <c r="X22" s="392">
        <f>IFERROR($W22*((1+$T$9)/(1+$T$8)*(1-((1+$T$9)/(1+$T$8))^$J22)/(1-((1+$T$9)/(1+$T$8)))),"")</f>
        <v>109.2729059043308</v>
      </c>
      <c r="Y22" s="391">
        <f>IFERROR(D22/G22,"")</f>
        <v>0</v>
      </c>
      <c r="Z22" s="437">
        <v>5</v>
      </c>
      <c r="AA22" s="390"/>
      <c r="AB22" s="437">
        <f>IFERROR(($AS22*$H22*$V22*((1+$T$11)/(1+$T$8)*(1-((1+$T$11)/(1+$T$8))^$J22)/(1-((1+$T$11)/(1+$T$8)))))+($AT$22*$I22),"")</f>
        <v>20.020986774859249</v>
      </c>
      <c r="AC22" s="437">
        <f>IFERROR((SUM($C22)/$G22)+($Z22*$V22),"")</f>
        <v>4.50</v>
      </c>
      <c r="AD22" s="388">
        <f>IFERROR(IF(AB22="","",AB22-AC22),"")</f>
        <v>15.520986774859249</v>
      </c>
      <c r="AE22" s="387">
        <f>IFERROR(AB22/AC22,"")</f>
        <v>4.449108172190944</v>
      </c>
      <c r="AF22" s="437">
        <f>IFERROR(($AS22*$H22*$V22*((1+$T$11)/(1+$T$8)*(1-((1+$T$11)/(1+$T$8))^$J22)/(1-((1+$T$11)/(1+$T$8)))))+($AT22*$I22),"")</f>
        <v>20.020986774859249</v>
      </c>
      <c r="AG22" s="388">
        <f>IFERROR(-PV($T$8,1,($E22/$G22)),"")</f>
        <v>0</v>
      </c>
      <c r="AH22" s="388">
        <f>IFERROR(IF(AF22="","",AF22-AG22),"")</f>
        <v>20.020986774859249</v>
      </c>
      <c r="AI22" s="387" t="str">
        <f>IFERROR(AF22/AG22,"")</f>
        <v/>
      </c>
      <c r="AJ22" s="388">
        <f>IFERROR(-PV($T$8,$J22,$W22)+($Y22),"")</f>
        <v>109.2729059043309</v>
      </c>
      <c r="AK22" s="388">
        <f>IF(Z22="","",Z22)</f>
        <v>5</v>
      </c>
      <c r="AL22" s="388">
        <f>IFERROR(IF(AJ22="","",AJ22-AK22),"")</f>
        <v>104.2729059043309</v>
      </c>
      <c r="AM22" s="387">
        <f>IFERROR(AJ22/AK22,"")</f>
        <v>21.85458118086618</v>
      </c>
      <c r="AN22" s="388">
        <f>IFERROR(($AS22*$H22*$V22*((1+$T$11)/(1+$T$8)*(1-((1+$T$11)/(1+$T$8))^$J22)/(1-((1+$T$11)/(1+$T$8)))))+($AT22*$I22),"")</f>
        <v>20.020986774859249</v>
      </c>
      <c r="AO22" s="389">
        <f>IFERROR((SUM($C22)/$G22)+X22+Y22,"")</f>
        <v>109.2729059043308</v>
      </c>
      <c r="AP22" s="388">
        <f>IFERROR(IF(AN22="","",AN22-AO22),"")</f>
        <v>-89.251919129471545</v>
      </c>
      <c r="AQ22" s="400">
        <f>IFERROR(AN22/AO22,"")</f>
        <v>0.18322004534580388</v>
      </c>
      <c r="AR22" s="291"/>
      <c r="AS22" s="409">
        <f>IFERROR(VLOOKUP(ROUND($J22,0),'Seminole Avoided Cost'!$B$15:$Y$41,8,FALSE),"")</f>
        <v>0.0292</v>
      </c>
      <c r="AT22" s="439">
        <f>IFERROR(VLOOKUP(ROUND($J22,0),'Seminole Avoided Cost'!$B$15:$Y$41,24,FALSE),"")</f>
        <v>76.44</v>
      </c>
      <c r="AU22" s="410">
        <f>IFERROR(SUM(C22)/G22,"")</f>
        <v>0</v>
      </c>
    </row>
    <row r="23" spans="1:47" ht="15.6">
      <c r="A23" s="1451" t="s">
        <v>807</v>
      </c>
      <c r="B23" s="318" t="s">
        <v>117</v>
      </c>
      <c r="C23" s="1348">
        <v>0</v>
      </c>
      <c r="D23" s="1348">
        <v>1847</v>
      </c>
      <c r="E23" s="1348">
        <f>SUM(C23:D23)</f>
        <v>1847</v>
      </c>
      <c r="F23" s="1444" t="s">
        <v>116</v>
      </c>
      <c r="G23" s="1349">
        <v>200</v>
      </c>
      <c r="H23" s="165">
        <f>'10W LED Giveaway Savings'!$D$14</f>
        <v>27.962927999999998</v>
      </c>
      <c r="I23" s="1456">
        <f>'10W LED Giveaway Savings'!$D$16</f>
        <v>0.0032465836575875486</v>
      </c>
      <c r="J23" s="165">
        <f>'10W LED Giveaway Savings'!$D$13</f>
        <v>20</v>
      </c>
      <c r="K23" s="1355">
        <f>(G23*H23)/1000</f>
        <v>5.5925855999999996</v>
      </c>
      <c r="L23" s="1355">
        <f>J23*K23</f>
        <v>111.85171199999999</v>
      </c>
      <c r="M23" s="164">
        <f>G23*I23</f>
        <v>0.64931673151750968</v>
      </c>
      <c r="N23" s="1445"/>
      <c r="P23" s="162">
        <f>K23/$K$24</f>
        <v>0.012484197889442312</v>
      </c>
      <c r="S23" s="399">
        <f>IFERROR(IF(G23/$G$24=0,0,G23/$G$24),"")</f>
        <v>0.25974025974025972</v>
      </c>
      <c r="T23" s="393" t="s">
        <v>836</v>
      </c>
      <c r="U23" s="393" t="s">
        <v>835</v>
      </c>
      <c r="V23" s="394">
        <v>0.90</v>
      </c>
      <c r="W23" s="392">
        <f>IF($H23*$T$12=0,"",$H23*$T$12)</f>
        <v>4.1733019473620327</v>
      </c>
      <c r="X23" s="392">
        <f>IFERROR($W23*((1+$T$9)/(1+$T$8)*(1-((1+$T$9)/(1+$T$8))^$J23)/(1-((1+$T$9)/(1+$T$8)))),"")</f>
        <v>47.867444557527463</v>
      </c>
      <c r="Y23" s="391">
        <f>IFERROR(D23/G23,"")</f>
        <v>9.2349999999999994</v>
      </c>
      <c r="Z23" s="437">
        <v>5</v>
      </c>
      <c r="AA23" s="390"/>
      <c r="AB23" s="437">
        <f>IFERROR(($AS23*$H23*$V23*((1+$T$11)/(1+$T$8)*(1-((1+$T$11)/(1+$T$8))^$J23)/(1-((1+$T$11)/(1+$T$8)))))+($AT$22*$I23),"")</f>
        <v>16.25432831959257</v>
      </c>
      <c r="AC23" s="437">
        <f>IFERROR((SUM($C23)/$G23)+($Z23*$V23),"")</f>
        <v>4.50</v>
      </c>
      <c r="AD23" s="388">
        <f>IFERROR(IF(AB23="","",AB23-AC23),"")</f>
        <v>11.75432831959257</v>
      </c>
      <c r="AE23" s="387">
        <f>IFERROR(AB23/AC23,"")</f>
        <v>3.6120729599094599</v>
      </c>
      <c r="AF23" s="437">
        <f>IFERROR(($AS23*$H23*$V23*((1+$T$11)/(1+$T$8)*(1-((1+$T$11)/(1+$T$8))^$J23)/(1-((1+$T$11)/(1+$T$8)))))+($AT23*$I23),"")</f>
        <v>16.486134392744322</v>
      </c>
      <c r="AG23" s="388">
        <f>IFERROR(-PV($T$8,1,($E23/$G23)),"")</f>
        <v>8.7122641509434029</v>
      </c>
      <c r="AH23" s="388">
        <f>IFERROR(IF(AF23="","",AF23-AG23),"")</f>
        <v>7.7738702418009193</v>
      </c>
      <c r="AI23" s="387">
        <f>IFERROR(AF23/AG23,"")</f>
        <v>1.8922904663030826</v>
      </c>
      <c r="AJ23" s="388">
        <f>IFERROR(-PV($T$8,$J23,$W23)+($Y23),"")</f>
        <v>57.102444557527512</v>
      </c>
      <c r="AK23" s="388">
        <f>IF(Z23="","",Z23)</f>
        <v>5</v>
      </c>
      <c r="AL23" s="388">
        <f>IFERROR(IF(AJ23="","",AJ23-AK23),"")</f>
        <v>52.102444557527512</v>
      </c>
      <c r="AM23" s="387">
        <f>IFERROR(AJ23/AK23,"")</f>
        <v>11.420488911505503</v>
      </c>
      <c r="AN23" s="388">
        <f>IFERROR(($AS23*$H23*$V23*((1+$T$11)/(1+$T$8)*(1-((1+$T$11)/(1+$T$8))^$J23)/(1-((1+$T$11)/(1+$T$8)))))+($AT23*$I23),"")</f>
        <v>16.486134392744322</v>
      </c>
      <c r="AO23" s="389">
        <f>IFERROR((SUM($C23)/$G23)+X23+Y23,"")</f>
        <v>57.102444557527463</v>
      </c>
      <c r="AP23" s="388">
        <f>IFERROR(IF(AN23="","",AN23-AO23),"")</f>
        <v>-40.616310164783144</v>
      </c>
      <c r="AQ23" s="400">
        <f>IFERROR(AN23/AO23,"")</f>
        <v>0.28871153451469983</v>
      </c>
      <c r="AR23" s="291"/>
      <c r="AS23" s="409">
        <f>IFERROR(VLOOKUP(ROUND($J23,0),'Seminole Avoided Cost'!$B$15:$Y$41,8,FALSE),"")</f>
        <v>0.055449999999999999</v>
      </c>
      <c r="AT23" s="439">
        <f>IFERROR(VLOOKUP(ROUND($J23,0),'Seminole Avoided Cost'!$B$15:$Y$41,24,FALSE),"")</f>
        <v>147.83999999999998</v>
      </c>
      <c r="AU23" s="410">
        <f>IFERROR(SUM(C23)/G23,"")</f>
        <v>0</v>
      </c>
    </row>
    <row r="24" spans="1:47" ht="22.5" customHeight="1" thickBot="1">
      <c r="A24" s="1442" t="s">
        <v>103</v>
      </c>
      <c r="B24" s="1442"/>
      <c r="C24" s="1446">
        <f>SUM(C22:C23)</f>
        <v>0</v>
      </c>
      <c r="D24" s="1446">
        <f>SUM(D22:D23)</f>
        <v>1847</v>
      </c>
      <c r="E24" s="1446">
        <f>SUM(E22:E23)</f>
        <v>1847</v>
      </c>
      <c r="F24" s="1438" t="s">
        <v>76</v>
      </c>
      <c r="G24" s="1442">
        <f>SUM(G22:G23)</f>
        <v>770</v>
      </c>
      <c r="H24" s="1455">
        <f t="shared" si="0" ref="H24:I24">SUM(H22:H23)</f>
        <v>804.06920188467166</v>
      </c>
      <c r="I24" s="1453">
        <f t="shared" si="0"/>
        <v>0.013442928350942261</v>
      </c>
      <c r="J24" s="1447">
        <f>SUMPRODUCT(J22:J23,P22:P23)</f>
        <v>1.237199759899404</v>
      </c>
      <c r="K24" s="1452">
        <f>SUM(K22:K23)</f>
        <v>447.9731617142628</v>
      </c>
      <c r="L24" s="1452">
        <f>SUM(L22:L23)</f>
        <v>554.23228811426281</v>
      </c>
      <c r="M24" s="1447">
        <f>SUM(M22:M23)</f>
        <v>6.4612332067296965</v>
      </c>
      <c r="N24" s="1449"/>
      <c r="P24" s="348">
        <f>SUM(P22:P23)</f>
        <v>1</v>
      </c>
      <c r="S24" s="401">
        <f>SUM(S22:S23)</f>
        <v>1</v>
      </c>
      <c r="T24" s="402"/>
      <c r="U24" s="402"/>
      <c r="V24" s="402"/>
      <c r="W24" s="403"/>
      <c r="X24" s="403"/>
      <c r="Y24" s="403"/>
      <c r="Z24" s="404"/>
      <c r="AA24" s="405"/>
      <c r="AB24" s="404">
        <f>SUMPRODUCT(AB$22:AB$23,$S$22:$S$23)</f>
        <v>19.042633929335437</v>
      </c>
      <c r="AC24" s="404">
        <f>SUMPRODUCT(AC$22:AC$23,$S$22:$S$23)</f>
        <v>4.50</v>
      </c>
      <c r="AD24" s="404">
        <f>SUMPRODUCT(AD$22:AD$23,$S$22:$S$23)</f>
        <v>14.542633929335436</v>
      </c>
      <c r="AE24" s="406">
        <f>IFERROR(AB24/AC24,"")</f>
        <v>4.2316964287412082</v>
      </c>
      <c r="AF24" s="404">
        <f>SUMPRODUCT(AF$22:AF$23,$S$22:$S$23)</f>
        <v>19.102843298985242</v>
      </c>
      <c r="AG24" s="404">
        <f>SUMPRODUCT(AG$22:AG$23,$S$22:$S$23)</f>
        <v>2.2629257534917926</v>
      </c>
      <c r="AH24" s="404">
        <f>SUMPRODUCT(AH$22:AH$23,$S$22:$S$23)</f>
        <v>16.839917545493449</v>
      </c>
      <c r="AI24" s="406">
        <f>IFERROR(AF24/AG24,"")</f>
        <v>8.441657119995531</v>
      </c>
      <c r="AJ24" s="404">
        <f>SUMPRODUCT(AJ$22:AJ$23,$S$22:$S$23)</f>
        <v>95.722136723343013</v>
      </c>
      <c r="AK24" s="404">
        <f>SUMPRODUCT(AK$22:AK$23,$S$22:$S$23)</f>
        <v>5</v>
      </c>
      <c r="AL24" s="404">
        <f>SUMPRODUCT(AL$22:AL$23,$S$22:$S$23)</f>
        <v>90.722136723342999</v>
      </c>
      <c r="AM24" s="406">
        <f>IFERROR(AJ24/AK24,"")</f>
        <v>19.144427344668603</v>
      </c>
      <c r="AN24" s="404">
        <f>SUMPRODUCT(AN$22:AN$23,$S$22:$S$23)</f>
        <v>19.102843298985242</v>
      </c>
      <c r="AO24" s="404">
        <f>SUMPRODUCT(AO$22:AO$23,$S$22:$S$23)</f>
        <v>95.722136723342928</v>
      </c>
      <c r="AP24" s="404">
        <f>SUMPRODUCT(AP$22:AP$23,$S$22:$S$23)</f>
        <v>-76.619293424357664</v>
      </c>
      <c r="AQ24" s="406">
        <f>IFERROR(AN24/AO24,"")</f>
        <v>0.19956557545509529</v>
      </c>
      <c r="AR24" s="291"/>
      <c r="AS24" s="411">
        <f>IFERROR(VLOOKUP(ROUND($J24,0),'Seminole Avoided Cost'!$B$15:$Y$41,8,FALSE),"")</f>
        <v>0.0292</v>
      </c>
      <c r="AT24" s="491">
        <f>IFERROR(VLOOKUP(ROUND($J24,0),'Seminole Avoided Cost'!$B$15:$Y$41,24,FALSE),"")</f>
        <v>76.44</v>
      </c>
      <c r="AU24" s="412">
        <f>IFERROR(SUM(C24)/G24,"")</f>
        <v>0</v>
      </c>
    </row>
    <row r="25" spans="1:17" ht="17.25" customHeight="1" thickBot="1">
      <c r="A25" s="380"/>
      <c r="B25" s="379"/>
      <c r="C25" s="378"/>
      <c r="D25" s="378"/>
      <c r="E25" s="378"/>
      <c r="F25" s="378"/>
      <c r="G25" s="378"/>
      <c r="H25" s="378"/>
      <c r="I25" s="378"/>
      <c r="J25" s="378"/>
      <c r="K25" s="378"/>
      <c r="L25" s="378"/>
      <c r="M25" s="378"/>
      <c r="N25" s="377"/>
    </row>
    <row r="26" spans="1:17" ht="63" thickBot="1">
      <c r="A26" s="373" t="s">
        <v>99</v>
      </c>
      <c r="B26" s="372" t="s">
        <v>89</v>
      </c>
      <c r="C26" s="371" t="s">
        <v>88</v>
      </c>
      <c r="D26" s="370" t="s">
        <v>87</v>
      </c>
      <c r="E26" s="369" t="s">
        <v>86</v>
      </c>
      <c r="F26" s="90" t="s">
        <v>85</v>
      </c>
      <c r="G26" s="90" t="s">
        <v>98</v>
      </c>
      <c r="H26" s="90" t="s">
        <v>97</v>
      </c>
      <c r="I26" s="90" t="s">
        <v>82</v>
      </c>
      <c r="J26" s="90" t="s">
        <v>96</v>
      </c>
      <c r="K26" s="103" t="s">
        <v>80</v>
      </c>
      <c r="L26" s="103" t="s">
        <v>79</v>
      </c>
      <c r="M26" s="103" t="s">
        <v>95</v>
      </c>
      <c r="N26" s="368" t="s">
        <v>78</v>
      </c>
    </row>
    <row r="27" spans="1:17" ht="16.8" thickTop="1" thickBot="1">
      <c r="A27" s="124"/>
      <c r="B27" s="171"/>
      <c r="C27" s="100">
        <v>0</v>
      </c>
      <c r="D27" s="169">
        <v>0</v>
      </c>
      <c r="E27" s="320">
        <f>SUM(C27:D27)</f>
        <v>0</v>
      </c>
      <c r="F27" s="167"/>
      <c r="G27" s="99">
        <v>0</v>
      </c>
      <c r="H27" s="165"/>
      <c r="I27" s="328"/>
      <c r="J27" s="165"/>
      <c r="K27" s="164">
        <f>(G27*H27)/1000</f>
        <v>0</v>
      </c>
      <c r="L27" s="164">
        <f>J27*K27</f>
        <v>0</v>
      </c>
      <c r="M27" s="164">
        <f>G27*I27</f>
        <v>0</v>
      </c>
      <c r="N27" s="316"/>
    </row>
    <row r="28" spans="1:46" s="24" customFormat="1" ht="22.5" customHeight="1" thickTop="1" thickBot="1">
      <c r="A28" s="321" t="s">
        <v>102</v>
      </c>
      <c r="B28" s="97"/>
      <c r="C28" s="96">
        <f>SUM(C27)</f>
        <v>0</v>
      </c>
      <c r="D28" s="96">
        <f>SUM(D27)</f>
        <v>0</v>
      </c>
      <c r="E28" s="96">
        <f>SUM(E27)</f>
        <v>0</v>
      </c>
      <c r="F28" s="95" t="s">
        <v>76</v>
      </c>
      <c r="G28" s="94">
        <f>SUM(G27)</f>
        <v>0</v>
      </c>
      <c r="H28" s="94"/>
      <c r="I28" s="94"/>
      <c r="J28" s="159"/>
      <c r="K28" s="159">
        <f>SUM(K27)</f>
        <v>0</v>
      </c>
      <c r="L28" s="159">
        <f>SUM(L27)</f>
        <v>0</v>
      </c>
      <c r="M28" s="138">
        <f>SUM(M27)</f>
        <v>0</v>
      </c>
      <c r="N28" s="158"/>
      <c r="O28" s="24"/>
      <c r="Q28" s="24"/>
      <c r="S28"/>
      <c r="T28"/>
      <c r="U28"/>
      <c r="V28"/>
      <c r="W28"/>
      <c r="X28"/>
      <c r="Y28"/>
      <c r="Z28"/>
      <c r="AA28"/>
      <c r="AB28"/>
      <c r="AC28"/>
      <c r="AD28"/>
      <c r="AE28"/>
      <c r="AF28"/>
      <c r="AG28"/>
      <c r="AH28"/>
      <c r="AI28"/>
      <c r="AJ28"/>
      <c r="AK28"/>
      <c r="AL28"/>
      <c r="AM28"/>
      <c r="AN28"/>
      <c r="AO28"/>
      <c r="AP28"/>
      <c r="AQ28"/>
      <c r="AR28"/>
      <c r="AS28" s="241"/>
      <c r="AT28" s="241"/>
    </row>
    <row r="29" spans="1:46" s="24" customFormat="1" ht="22.5" customHeight="1" thickBot="1">
      <c r="A29" s="133"/>
      <c r="B29" s="133"/>
      <c r="C29" s="133"/>
      <c r="D29" s="133"/>
      <c r="E29" s="133"/>
      <c r="F29" s="133"/>
      <c r="G29" s="133"/>
      <c r="H29" s="133"/>
      <c r="I29" s="133"/>
      <c r="J29" s="133"/>
      <c r="K29" s="133"/>
      <c r="L29" s="133"/>
      <c r="M29" s="133"/>
      <c r="N29" s="133"/>
      <c r="O29" s="24"/>
      <c r="Q29" s="24"/>
      <c r="AS29" s="395"/>
      <c r="AT29" s="395"/>
    </row>
    <row r="30" spans="1:46" ht="37.5" customHeight="1" thickBot="1">
      <c r="A30" s="1696" t="s">
        <v>101</v>
      </c>
      <c r="B30" s="1697"/>
      <c r="C30" s="1697"/>
      <c r="D30" s="1697"/>
      <c r="E30" s="1697"/>
      <c r="F30" s="1697"/>
      <c r="G30" s="1697"/>
      <c r="H30" s="1697"/>
      <c r="I30" s="1697"/>
      <c r="J30" s="1697"/>
      <c r="K30" s="1697"/>
      <c r="L30" s="1697"/>
      <c r="M30" s="1697"/>
      <c r="N30" s="1698"/>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395"/>
      <c r="AT30" s="395"/>
    </row>
    <row r="31" spans="1:17" ht="63" thickBot="1">
      <c r="A31" s="91" t="s">
        <v>90</v>
      </c>
      <c r="B31" s="142" t="s">
        <v>89</v>
      </c>
      <c r="C31" s="107" t="s">
        <v>88</v>
      </c>
      <c r="D31" s="106" t="s">
        <v>87</v>
      </c>
      <c r="E31" s="105" t="s">
        <v>86</v>
      </c>
      <c r="F31" s="104" t="s">
        <v>85</v>
      </c>
      <c r="G31" s="103" t="s">
        <v>84</v>
      </c>
      <c r="H31" s="90" t="s">
        <v>97</v>
      </c>
      <c r="I31" s="90" t="s">
        <v>82</v>
      </c>
      <c r="J31" s="90" t="s">
        <v>96</v>
      </c>
      <c r="K31" s="90" t="s">
        <v>80</v>
      </c>
      <c r="L31" s="90" t="s">
        <v>79</v>
      </c>
      <c r="M31" s="90" t="s">
        <v>95</v>
      </c>
      <c r="N31" s="141" t="s">
        <v>78</v>
      </c>
    </row>
    <row r="32" spans="1:17" ht="16.8" thickTop="1" thickBot="1">
      <c r="A32" s="172"/>
      <c r="B32" s="180"/>
      <c r="C32" s="100">
        <v>0</v>
      </c>
      <c r="D32" s="169">
        <v>0</v>
      </c>
      <c r="E32" s="320">
        <f>SUM(C32:D32)</f>
        <v>0</v>
      </c>
      <c r="F32" s="178"/>
      <c r="G32" s="99">
        <v>0</v>
      </c>
      <c r="H32" s="175"/>
      <c r="I32" s="181"/>
      <c r="J32" s="175"/>
      <c r="K32" s="164">
        <f>(G32*H32)/1000</f>
        <v>0</v>
      </c>
      <c r="L32" s="164">
        <f>J32*K32</f>
        <v>0</v>
      </c>
      <c r="M32" s="164">
        <f>G32*I32</f>
        <v>0</v>
      </c>
      <c r="N32" s="316"/>
    </row>
    <row r="33" spans="1:17" ht="22.5" customHeight="1" thickTop="1" thickBot="1">
      <c r="A33" s="161" t="s">
        <v>100</v>
      </c>
      <c r="B33" s="160"/>
      <c r="C33" s="96">
        <f>SUM(C32)</f>
        <v>0</v>
      </c>
      <c r="D33" s="96">
        <f>SUM(D32)</f>
        <v>0</v>
      </c>
      <c r="E33" s="96">
        <f>SUM(E32)</f>
        <v>0</v>
      </c>
      <c r="F33" s="95" t="s">
        <v>76</v>
      </c>
      <c r="G33" s="94">
        <f>SUM(G32)</f>
        <v>0</v>
      </c>
      <c r="H33" s="94"/>
      <c r="I33" s="94"/>
      <c r="J33" s="159"/>
      <c r="K33" s="159">
        <f>SUM(K32)</f>
        <v>0</v>
      </c>
      <c r="L33" s="159">
        <f>SUM(L32)</f>
        <v>0</v>
      </c>
      <c r="M33" s="138">
        <f>SUM(M32)</f>
        <v>0</v>
      </c>
      <c r="N33" s="158"/>
    </row>
    <row r="34" spans="1:46" s="24" customFormat="1" ht="22.5" customHeight="1" thickBot="1">
      <c r="A34" s="347"/>
      <c r="B34" s="344"/>
      <c r="C34" s="346"/>
      <c r="D34" s="346"/>
      <c r="E34" s="346"/>
      <c r="F34" s="345"/>
      <c r="G34" s="344"/>
      <c r="H34" s="344"/>
      <c r="I34" s="344"/>
      <c r="J34" s="344"/>
      <c r="K34" s="343"/>
      <c r="L34" s="343"/>
      <c r="M34" s="343"/>
      <c r="N34" s="342"/>
      <c r="O34" s="24"/>
      <c r="Q34" s="24"/>
      <c r="S34"/>
      <c r="T34"/>
      <c r="U34"/>
      <c r="V34"/>
      <c r="W34"/>
      <c r="X34"/>
      <c r="Y34"/>
      <c r="Z34"/>
      <c r="AA34"/>
      <c r="AB34"/>
      <c r="AC34"/>
      <c r="AD34"/>
      <c r="AE34"/>
      <c r="AF34"/>
      <c r="AG34"/>
      <c r="AH34"/>
      <c r="AI34"/>
      <c r="AJ34"/>
      <c r="AK34"/>
      <c r="AL34"/>
      <c r="AM34"/>
      <c r="AN34"/>
      <c r="AO34"/>
      <c r="AP34"/>
      <c r="AQ34"/>
      <c r="AR34"/>
      <c r="AS34" s="241"/>
      <c r="AT34" s="241"/>
    </row>
    <row r="35" spans="1:46" ht="63" thickBot="1">
      <c r="A35" s="373" t="s">
        <v>99</v>
      </c>
      <c r="B35" s="372" t="s">
        <v>89</v>
      </c>
      <c r="C35" s="371" t="s">
        <v>88</v>
      </c>
      <c r="D35" s="370" t="s">
        <v>87</v>
      </c>
      <c r="E35" s="369" t="s">
        <v>86</v>
      </c>
      <c r="F35" s="90" t="s">
        <v>85</v>
      </c>
      <c r="G35" s="90" t="s">
        <v>98</v>
      </c>
      <c r="H35" s="90" t="s">
        <v>97</v>
      </c>
      <c r="I35" s="90" t="s">
        <v>82</v>
      </c>
      <c r="J35" s="90" t="s">
        <v>96</v>
      </c>
      <c r="K35" s="90" t="s">
        <v>80</v>
      </c>
      <c r="L35" s="90" t="s">
        <v>79</v>
      </c>
      <c r="M35" s="90" t="s">
        <v>95</v>
      </c>
      <c r="N35" s="368" t="s">
        <v>78</v>
      </c>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395"/>
      <c r="AT35" s="395"/>
    </row>
    <row r="36" spans="1:17" ht="16.8" thickTop="1" thickBot="1">
      <c r="A36" s="140"/>
      <c r="B36" s="322"/>
      <c r="C36" s="100">
        <v>0</v>
      </c>
      <c r="D36" s="169">
        <v>0</v>
      </c>
      <c r="E36" s="320">
        <f>SUM(C36:D36)</f>
        <v>0</v>
      </c>
      <c r="F36" s="318"/>
      <c r="G36" s="99">
        <v>0</v>
      </c>
      <c r="H36" s="319"/>
      <c r="I36" s="318"/>
      <c r="J36" s="317"/>
      <c r="K36" s="164">
        <f>(G36*H36)/1000</f>
        <v>0</v>
      </c>
      <c r="L36" s="164">
        <f>J36*K36</f>
        <v>0</v>
      </c>
      <c r="M36" s="164">
        <f>G36*I36</f>
        <v>0</v>
      </c>
      <c r="N36" s="316"/>
    </row>
    <row r="37" spans="1:46" s="24" customFormat="1" ht="22.5" customHeight="1" thickTop="1" thickBot="1">
      <c r="A37" s="321" t="s">
        <v>93</v>
      </c>
      <c r="B37" s="97"/>
      <c r="C37" s="96">
        <f>SUM(C36)</f>
        <v>0</v>
      </c>
      <c r="D37" s="96">
        <f>SUM(D36)</f>
        <v>0</v>
      </c>
      <c r="E37" s="96">
        <f>SUM(E36)</f>
        <v>0</v>
      </c>
      <c r="F37" s="95" t="s">
        <v>76</v>
      </c>
      <c r="G37" s="94">
        <f>SUM(G36)</f>
        <v>0</v>
      </c>
      <c r="H37" s="94"/>
      <c r="I37" s="94"/>
      <c r="J37" s="159"/>
      <c r="K37" s="159">
        <f>SUM(K36)</f>
        <v>0</v>
      </c>
      <c r="L37" s="159">
        <f>SUM(L36)</f>
        <v>0</v>
      </c>
      <c r="M37" s="138">
        <f>SUM(M36)</f>
        <v>0</v>
      </c>
      <c r="N37" s="158"/>
      <c r="O37" s="24"/>
      <c r="Q37" s="24"/>
      <c r="S37"/>
      <c r="T37"/>
      <c r="U37"/>
      <c r="V37"/>
      <c r="W37"/>
      <c r="X37"/>
      <c r="Y37"/>
      <c r="Z37"/>
      <c r="AA37"/>
      <c r="AB37"/>
      <c r="AC37"/>
      <c r="AD37"/>
      <c r="AE37"/>
      <c r="AF37"/>
      <c r="AG37"/>
      <c r="AH37"/>
      <c r="AI37"/>
      <c r="AJ37"/>
      <c r="AK37"/>
      <c r="AL37"/>
      <c r="AM37"/>
      <c r="AN37"/>
      <c r="AO37"/>
      <c r="AP37"/>
      <c r="AQ37"/>
      <c r="AR37"/>
      <c r="AS37" s="241"/>
      <c r="AT37" s="241"/>
    </row>
    <row r="38" spans="1:46" ht="15.75" customHeight="1" thickBot="1">
      <c r="A38" s="110"/>
      <c r="B38" s="109"/>
      <c r="C38" s="109"/>
      <c r="D38" s="109"/>
      <c r="E38" s="109"/>
      <c r="F38" s="109"/>
      <c r="G38" s="109"/>
      <c r="H38" s="109"/>
      <c r="I38" s="109"/>
      <c r="J38" s="109"/>
      <c r="K38" s="109"/>
      <c r="L38" s="109"/>
      <c r="M38" s="79"/>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395"/>
      <c r="AT38" s="395"/>
    </row>
    <row r="39" spans="1:17" ht="37.5" customHeight="1" thickBot="1">
      <c r="A39" s="1696" t="s">
        <v>91</v>
      </c>
      <c r="B39" s="1697"/>
      <c r="C39" s="1697"/>
      <c r="D39" s="1697"/>
      <c r="E39" s="1697"/>
      <c r="F39" s="1697"/>
      <c r="G39" s="1697"/>
      <c r="H39" s="1697"/>
      <c r="I39" s="1697"/>
      <c r="J39" s="1697"/>
      <c r="K39" s="1697"/>
      <c r="L39" s="1697"/>
      <c r="M39" s="1697"/>
      <c r="N39" s="1698"/>
    </row>
    <row r="40" spans="1:17" ht="63" thickBot="1">
      <c r="A40" s="91" t="s">
        <v>90</v>
      </c>
      <c r="B40" s="142" t="s">
        <v>89</v>
      </c>
      <c r="C40" s="107" t="s">
        <v>88</v>
      </c>
      <c r="D40" s="106" t="s">
        <v>87</v>
      </c>
      <c r="E40" s="105" t="s">
        <v>86</v>
      </c>
      <c r="F40" s="104" t="s">
        <v>85</v>
      </c>
      <c r="G40" s="103" t="s">
        <v>84</v>
      </c>
      <c r="H40" s="90" t="s">
        <v>83</v>
      </c>
      <c r="I40" s="90" t="s">
        <v>82</v>
      </c>
      <c r="J40" s="90" t="s">
        <v>81</v>
      </c>
      <c r="K40" s="90" t="s">
        <v>80</v>
      </c>
      <c r="L40" s="90" t="s">
        <v>79</v>
      </c>
      <c r="M40" s="90" t="s">
        <v>95</v>
      </c>
      <c r="N40" s="141" t="s">
        <v>78</v>
      </c>
    </row>
    <row r="41" spans="1:17" ht="16.8" thickTop="1" thickBot="1">
      <c r="A41" s="172"/>
      <c r="B41" s="180"/>
      <c r="C41" s="100">
        <v>0</v>
      </c>
      <c r="D41" s="169">
        <v>0</v>
      </c>
      <c r="E41" s="320">
        <f>SUM(C41:D41)</f>
        <v>0</v>
      </c>
      <c r="F41" s="178"/>
      <c r="G41" s="99">
        <v>0</v>
      </c>
      <c r="H41" s="175"/>
      <c r="I41" s="181"/>
      <c r="J41" s="175"/>
      <c r="K41" s="164">
        <f>(G41*H41)/1000</f>
        <v>0</v>
      </c>
      <c r="L41" s="164">
        <f>J41*K41</f>
        <v>0</v>
      </c>
      <c r="M41" s="164">
        <f>G41*I41</f>
        <v>0</v>
      </c>
      <c r="N41" s="316"/>
    </row>
    <row r="42" spans="1:17" ht="22.5" customHeight="1" thickTop="1" thickBot="1">
      <c r="A42" s="321" t="s">
        <v>77</v>
      </c>
      <c r="B42" s="97"/>
      <c r="C42" s="96">
        <f>SUM(C41)</f>
        <v>0</v>
      </c>
      <c r="D42" s="96">
        <f>SUM(D41)</f>
        <v>0</v>
      </c>
      <c r="E42" s="96">
        <f>SUM(E41)</f>
        <v>0</v>
      </c>
      <c r="F42" s="95" t="s">
        <v>76</v>
      </c>
      <c r="G42" s="94">
        <f>SUM(G41)</f>
        <v>0</v>
      </c>
      <c r="H42" s="94"/>
      <c r="I42" s="94"/>
      <c r="J42" s="159"/>
      <c r="K42" s="159">
        <f>SUM(K41)</f>
        <v>0</v>
      </c>
      <c r="L42" s="159">
        <f>SUM(L41)</f>
        <v>0</v>
      </c>
      <c r="M42" s="138">
        <f>SUM(M41)</f>
        <v>0</v>
      </c>
      <c r="N42" s="158"/>
    </row>
    <row r="43" spans="1:17" ht="15.75" customHeight="1" thickBot="1">
      <c r="A43" s="93"/>
      <c r="B43" s="92"/>
      <c r="C43" s="92"/>
      <c r="D43" s="92"/>
      <c r="E43" s="92"/>
      <c r="F43" s="92"/>
      <c r="G43" s="92"/>
      <c r="H43" s="92"/>
      <c r="I43" s="92"/>
      <c r="J43" s="92"/>
      <c r="K43" s="92"/>
      <c r="L43" s="92"/>
    </row>
    <row r="44" spans="1:17" ht="21.6" thickBot="1">
      <c r="A44" s="1679" t="s">
        <v>75</v>
      </c>
      <c r="B44" s="1680"/>
      <c r="C44" s="1681"/>
    </row>
    <row r="45" spans="1:17" ht="15.6">
      <c r="A45" s="91" t="s">
        <v>74</v>
      </c>
      <c r="B45" s="90" t="s">
        <v>73</v>
      </c>
      <c r="C45" s="89" t="s">
        <v>72</v>
      </c>
    </row>
    <row r="46" spans="1:17" ht="14.4">
      <c r="A46" s="88" t="s">
        <v>61</v>
      </c>
      <c r="B46" s="314">
        <v>15975</v>
      </c>
      <c r="C46" s="86">
        <v>0</v>
      </c>
    </row>
    <row r="47" spans="1:17" ht="14.4">
      <c r="A47" s="88" t="s">
        <v>60</v>
      </c>
      <c r="B47" s="314">
        <v>1521</v>
      </c>
      <c r="C47" s="86">
        <v>0</v>
      </c>
    </row>
    <row r="48" spans="1:17" ht="14.4">
      <c r="A48" s="88" t="s">
        <v>59</v>
      </c>
      <c r="B48" s="314">
        <v>276</v>
      </c>
      <c r="C48" s="86">
        <v>0</v>
      </c>
    </row>
    <row r="49" spans="1:17" ht="16.2" thickBot="1">
      <c r="A49" s="85" t="str">
        <f>"Total for "&amp;A44</f>
        <v>Total for Advanced Metering</v>
      </c>
      <c r="B49" s="84">
        <f>SUM(B46:B48)</f>
        <v>17772</v>
      </c>
      <c r="C49" s="83">
        <f>SUM(C46:C48)</f>
        <v>0</v>
      </c>
    </row>
  </sheetData>
  <mergeCells count="30">
    <mergeCell ref="A1:N1"/>
    <mergeCell ref="AS20:AT20"/>
    <mergeCell ref="A44:C44"/>
    <mergeCell ref="F16:H16"/>
    <mergeCell ref="F20:L20"/>
    <mergeCell ref="A19:N19"/>
    <mergeCell ref="A30:N30"/>
    <mergeCell ref="A39:N39"/>
    <mergeCell ref="C20:E20"/>
    <mergeCell ref="F10:H10"/>
    <mergeCell ref="A4:N4"/>
    <mergeCell ref="F6:H6"/>
    <mergeCell ref="F7:H7"/>
    <mergeCell ref="F8:H8"/>
    <mergeCell ref="F9:H9"/>
    <mergeCell ref="F12:H12"/>
    <mergeCell ref="F13:H13"/>
    <mergeCell ref="F14:H14"/>
    <mergeCell ref="F15:H15"/>
    <mergeCell ref="F11:H11"/>
    <mergeCell ref="S6:U6"/>
    <mergeCell ref="AB18:AE18"/>
    <mergeCell ref="AJ18:AM18"/>
    <mergeCell ref="S19:AA19"/>
    <mergeCell ref="AB19:AQ19"/>
    <mergeCell ref="S20:AA20"/>
    <mergeCell ref="AB20:AE20"/>
    <mergeCell ref="AF20:AI20"/>
    <mergeCell ref="AJ20:AM20"/>
    <mergeCell ref="AN20:AQ20"/>
  </mergeCells>
  <conditionalFormatting sqref="B11">
    <cfRule type="expression" priority="62" dxfId="9">
      <formula>ISBLANK(B11)</formula>
    </cfRule>
    <cfRule type="expression" priority="63">
      <formula>NOT(ISBLANK(B11))</formula>
    </cfRule>
  </conditionalFormatting>
  <conditionalFormatting sqref="G22:G23">
    <cfRule type="expression" priority="50" dxfId="9">
      <formula>ISBLANK(G22)</formula>
    </cfRule>
    <cfRule type="expression" priority="51">
      <formula>NOT(ISBLANK(G22))</formula>
    </cfRule>
  </conditionalFormatting>
  <conditionalFormatting sqref="G27">
    <cfRule type="expression" priority="48" dxfId="9">
      <formula>ISBLANK(G27)</formula>
    </cfRule>
    <cfRule type="expression" priority="49">
      <formula>NOT(ISBLANK(G27))</formula>
    </cfRule>
  </conditionalFormatting>
  <conditionalFormatting sqref="G32">
    <cfRule type="expression" priority="60" dxfId="9">
      <formula>ISBLANK(G32)</formula>
    </cfRule>
    <cfRule type="expression" priority="61">
      <formula>NOT(ISBLANK(G32))</formula>
    </cfRule>
  </conditionalFormatting>
  <conditionalFormatting sqref="G36">
    <cfRule type="expression" priority="58" dxfId="9">
      <formula>ISBLANK(G36)</formula>
    </cfRule>
    <cfRule type="expression" priority="59">
      <formula>NOT(ISBLANK(G36))</formula>
    </cfRule>
  </conditionalFormatting>
  <conditionalFormatting sqref="G41">
    <cfRule type="expression" priority="56" dxfId="9">
      <formula>ISBLANK(G41)</formula>
    </cfRule>
    <cfRule type="expression" priority="57">
      <formula>NOT(ISBLANK(G41))</formula>
    </cfRule>
  </conditionalFormatting>
  <conditionalFormatting sqref="C41:D41">
    <cfRule type="expression" priority="34" dxfId="9">
      <formula>ISBLANK(C41)</formula>
    </cfRule>
    <cfRule type="expression" priority="35">
      <formula>NOT(ISBLANK(C41))</formula>
    </cfRule>
  </conditionalFormatting>
  <conditionalFormatting sqref="C41">
    <cfRule type="expression" priority="32" dxfId="8">
      <formula>ISBLANK(C41)</formula>
    </cfRule>
    <cfRule type="expression" priority="33">
      <formula>NOT(ISBLANK(C41))</formula>
    </cfRule>
  </conditionalFormatting>
  <conditionalFormatting sqref="C22:D23">
    <cfRule type="expression" priority="54" dxfId="9">
      <formula>ISBLANK(C22)</formula>
    </cfRule>
    <cfRule type="expression" priority="55">
      <formula>NOT(ISBLANK(C22))</formula>
    </cfRule>
  </conditionalFormatting>
  <conditionalFormatting sqref="C22:C23">
    <cfRule type="expression" priority="52" dxfId="8">
      <formula>ISBLANK(C22)</formula>
    </cfRule>
    <cfRule type="expression" priority="53">
      <formula>NOT(ISBLANK(C22))</formula>
    </cfRule>
  </conditionalFormatting>
  <conditionalFormatting sqref="C27:D27">
    <cfRule type="expression" priority="46" dxfId="9">
      <formula>ISBLANK(C27)</formula>
    </cfRule>
    <cfRule type="expression" priority="47">
      <formula>NOT(ISBLANK(C27))</formula>
    </cfRule>
  </conditionalFormatting>
  <conditionalFormatting sqref="C27">
    <cfRule type="expression" priority="44" dxfId="8">
      <formula>ISBLANK(C27)</formula>
    </cfRule>
    <cfRule type="expression" priority="45">
      <formula>NOT(ISBLANK(C27))</formula>
    </cfRule>
  </conditionalFormatting>
  <conditionalFormatting sqref="C32:D32">
    <cfRule type="expression" priority="42" dxfId="9">
      <formula>ISBLANK(C32)</formula>
    </cfRule>
    <cfRule type="expression" priority="43">
      <formula>NOT(ISBLANK(C32))</formula>
    </cfRule>
  </conditionalFormatting>
  <conditionalFormatting sqref="C32">
    <cfRule type="expression" priority="40" dxfId="8">
      <formula>ISBLANK(C32)</formula>
    </cfRule>
    <cfRule type="expression" priority="41">
      <formula>NOT(ISBLANK(C32))</formula>
    </cfRule>
  </conditionalFormatting>
  <conditionalFormatting sqref="C36:D36">
    <cfRule type="expression" priority="38" dxfId="9">
      <formula>ISBLANK(C36)</formula>
    </cfRule>
    <cfRule type="expression" priority="39">
      <formula>NOT(ISBLANK(C36))</formula>
    </cfRule>
  </conditionalFormatting>
  <conditionalFormatting sqref="C36">
    <cfRule type="expression" priority="36" dxfId="8">
      <formula>ISBLANK(C36)</formula>
    </cfRule>
    <cfRule type="expression" priority="37">
      <formula>NOT(ISBLANK(C36))</formula>
    </cfRule>
  </conditionalFormatting>
  <conditionalFormatting sqref="AE24">
    <cfRule type="cellIs" priority="23" dxfId="0" operator="lessThan">
      <formula>1</formula>
    </cfRule>
  </conditionalFormatting>
  <conditionalFormatting sqref="AI24">
    <cfRule type="cellIs" priority="19" dxfId="0" operator="lessThan">
      <formula>1</formula>
    </cfRule>
  </conditionalFormatting>
  <conditionalFormatting sqref="AQ24">
    <cfRule type="cellIs" priority="17" dxfId="0" operator="lessThan">
      <formula>1</formula>
    </cfRule>
  </conditionalFormatting>
  <conditionalFormatting sqref="AM24">
    <cfRule type="cellIs" priority="18" dxfId="0" operator="lessThan">
      <formula>1</formula>
    </cfRule>
  </conditionalFormatting>
  <conditionalFormatting sqref="AE22:AE23">
    <cfRule type="colorScale" priority="1">
      <colorScale>
        <cfvo type="min" val="0"/>
        <cfvo type="percentile" val="50"/>
        <cfvo type="max" val="0"/>
        <color rgb="FFF8696B"/>
        <color rgb="FFFFEB84"/>
        <color rgb="FF63BE7B"/>
      </colorScale>
    </cfRule>
    <cfRule type="cellIs" priority="2" dxfId="0" operator="lessThan">
      <formula>1</formula>
    </cfRule>
  </conditionalFormatting>
  <conditionalFormatting sqref="AI22:AI23">
    <cfRule type="colorScale" priority="3">
      <colorScale>
        <cfvo type="min" val="0"/>
        <cfvo type="percentile" val="50"/>
        <cfvo type="max" val="0"/>
        <color rgb="FFF8696B"/>
        <color rgb="FFFFEB84"/>
        <color rgb="FF63BE7B"/>
      </colorScale>
    </cfRule>
    <cfRule type="cellIs" priority="4" dxfId="0" operator="lessThan">
      <formula>1</formula>
    </cfRule>
  </conditionalFormatting>
  <conditionalFormatting sqref="AM22:AM23">
    <cfRule type="colorScale" priority="5">
      <colorScale>
        <cfvo type="min" val="0"/>
        <cfvo type="percentile" val="50"/>
        <cfvo type="max" val="0"/>
        <color rgb="FFF8696B"/>
        <color rgb="FFFFEB84"/>
        <color rgb="FF63BE7B"/>
      </colorScale>
    </cfRule>
    <cfRule type="cellIs" priority="6" dxfId="0" operator="lessThan">
      <formula>1</formula>
    </cfRule>
  </conditionalFormatting>
  <conditionalFormatting sqref="AQ22:AQ23">
    <cfRule type="colorScale" priority="7">
      <colorScale>
        <cfvo type="min" val="0"/>
        <cfvo type="percentile" val="50"/>
        <cfvo type="max" val="0"/>
        <color rgb="FFF8696B"/>
        <color rgb="FFFFEB84"/>
        <color rgb="FF63BE7B"/>
      </colorScale>
    </cfRule>
    <cfRule type="cellIs" priority="8" dxfId="0" operator="lessThan">
      <formula>1</formula>
    </cfRule>
  </conditionalFormatting>
  <pageMargins left="0.7" right="0.7" top="0.75" bottom="0.75" header="0.3" footer="0.3"/>
  <pageSetup orientation="portrait" r:id="rId2"/>
  <ignoredErrors>
    <ignoredError sqref="S8:AW21 S25:AW26 S24:AR24 AU24:AW24 S23:AE23 S22:AE22 AG22:AW22 AG23:AW23" unlockedFormula="1"/>
  </ignoredError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24997"/>
  </sheetPr>
  <dimension ref="A1:AU50"/>
  <sheetViews>
    <sheetView zoomScale="70" zoomScaleNormal="70" workbookViewId="0" topLeftCell="A7">
      <selection pane="topLeft" activeCell="A1" sqref="A1"/>
    </sheetView>
  </sheetViews>
  <sheetFormatPr defaultColWidth="8.88888888888889" defaultRowHeight="14.4" outlineLevelCol="1"/>
  <cols>
    <col min="1" max="2" width="22.6666666666667" customWidth="1"/>
    <col min="3" max="5" width="16.6666666666667" customWidth="1"/>
    <col min="6" max="13" width="12.6666666666667" customWidth="1"/>
    <col min="14" max="14" width="36.6666666666667" customWidth="1"/>
    <col min="15" max="15" width="10.5555555555556" hidden="1" customWidth="1"/>
    <col min="16" max="16" width="35.7777777777778" customWidth="1"/>
    <col min="17" max="17" width="44.7777777777778" hidden="1" customWidth="1"/>
    <col min="18" max="18" width="2.55555555555556" customWidth="1"/>
    <col min="19" max="19" width="33.7777777777778" bestFit="1" customWidth="1"/>
    <col min="20" max="20" width="13.2222222222222" bestFit="1" customWidth="1"/>
    <col min="21" max="21" width="32.7777777777778" bestFit="1" customWidth="1"/>
    <col min="22" max="27" width="10.7777777777778" customWidth="1"/>
    <col min="28" max="31" width="10.7777777777778" customWidth="1" outlineLevel="1"/>
    <col min="32" max="32" width="10.7777777777778" customWidth="1" collapsed="1"/>
    <col min="33" max="35" width="10.7777777777778" customWidth="1"/>
    <col min="36" max="39" width="10.7777777777778" customWidth="1" outlineLevel="1"/>
    <col min="40" max="40" width="10.7777777777778" customWidth="1" collapsed="1"/>
    <col min="41" max="41" width="14.5555555555556" bestFit="1" customWidth="1"/>
    <col min="42" max="42" width="12" customWidth="1"/>
    <col min="43" max="43" width="10.7777777777778" customWidth="1"/>
    <col min="44" max="44" width="8.88888888888889" customWidth="1"/>
    <col min="45" max="46" width="11.2222222222222" style="241" customWidth="1"/>
    <col min="47" max="47" width="8.88888888888889" customWidth="1"/>
  </cols>
  <sheetData>
    <row r="1" spans="1:39" ht="14.4">
      <c r="A1" s="1691" t="s">
        <v>1625</v>
      </c>
      <c r="B1" s="1760"/>
      <c r="C1" s="1760"/>
      <c r="D1" s="1760"/>
      <c r="E1" s="1760"/>
      <c r="F1" s="1760"/>
      <c r="G1" s="1760"/>
      <c r="H1" s="1761"/>
      <c r="I1" s="1761"/>
      <c r="J1" s="1761"/>
      <c r="K1" s="1761"/>
      <c r="L1" s="1761"/>
      <c r="M1" s="1761"/>
      <c r="N1" s="1761"/>
    </row>
    <row r="2" spans="15:39" ht="14.4"/>
    <row r="3" spans="15:39" ht="14.4"/>
    <row r="4" spans="1:39" ht="25.8">
      <c r="A4" s="1709" t="str">
        <f>"Suwannee "&amp;$T$4</f>
        <v>Suwannee 2015</v>
      </c>
      <c r="B4" s="1710"/>
      <c r="C4" s="1710"/>
      <c r="D4" s="1710"/>
      <c r="E4" s="1710"/>
      <c r="F4" s="1710"/>
      <c r="G4" s="1710"/>
      <c r="H4" s="1710"/>
      <c r="I4" s="1710"/>
      <c r="J4" s="1710"/>
      <c r="K4" s="1710"/>
      <c r="L4" s="1710"/>
      <c r="M4" s="1710"/>
      <c r="N4" s="1710"/>
      <c r="S4" s="490" t="s">
        <v>1160</v>
      </c>
      <c r="T4" s="490">
        <f>'Save Spend Summary'!$C$2</f>
        <v>2015</v>
      </c>
    </row>
    <row r="5" spans="1:46" s="24" customFormat="1" ht="15" customHeight="1" thickBot="1">
      <c r="A5" s="194"/>
      <c r="B5" s="194"/>
      <c r="C5" s="194"/>
      <c r="D5" s="194"/>
      <c r="E5" s="194"/>
      <c r="F5" s="194"/>
      <c r="G5" s="194"/>
      <c r="H5" s="194"/>
      <c r="I5" s="194"/>
      <c r="J5" s="194"/>
      <c r="K5" s="194"/>
      <c r="L5" s="194"/>
      <c r="O5" s="24"/>
      <c r="P5" s="24"/>
      <c r="Q5" s="24"/>
      <c r="AB5" s="24"/>
      <c r="AC5" s="24"/>
      <c r="AD5" s="24"/>
      <c r="AE5" s="24"/>
      <c r="AJ5" s="24"/>
      <c r="AK5" s="24"/>
      <c r="AL5" s="24"/>
      <c r="AM5" s="24"/>
      <c r="AS5" s="395"/>
      <c r="AT5" s="395"/>
    </row>
    <row r="6" spans="1:46" s="24" customFormat="1" ht="84.6" thickBot="1">
      <c r="A6" s="313" t="s">
        <v>139</v>
      </c>
      <c r="B6" s="251" t="s">
        <v>88</v>
      </c>
      <c r="C6" s="250" t="s">
        <v>87</v>
      </c>
      <c r="D6" s="249" t="s">
        <v>86</v>
      </c>
      <c r="F6" s="1711" t="s">
        <v>138</v>
      </c>
      <c r="G6" s="1712"/>
      <c r="H6" s="1712"/>
      <c r="I6" s="248" t="s">
        <v>80</v>
      </c>
      <c r="J6" s="248" t="s">
        <v>79</v>
      </c>
      <c r="K6" s="247" t="s">
        <v>95</v>
      </c>
      <c r="O6" s="24"/>
      <c r="P6" s="24"/>
      <c r="Q6" s="24"/>
      <c r="S6" s="1673" t="s">
        <v>834</v>
      </c>
      <c r="T6" s="1674"/>
      <c r="U6" s="1675"/>
      <c r="AB6" s="24"/>
      <c r="AC6" s="24"/>
      <c r="AD6" s="24"/>
      <c r="AE6" s="24"/>
      <c r="AJ6" s="24"/>
      <c r="AK6" s="24"/>
      <c r="AL6" s="24"/>
      <c r="AM6" s="24"/>
      <c r="AS6" s="395"/>
      <c r="AT6" s="395"/>
    </row>
    <row r="7" spans="1:46" s="24" customFormat="1" ht="15" customHeight="1">
      <c r="A7" s="245" t="s">
        <v>136</v>
      </c>
      <c r="B7" s="244"/>
      <c r="C7" s="244"/>
      <c r="D7" s="243"/>
      <c r="F7" s="1676" t="s">
        <v>136</v>
      </c>
      <c r="G7" s="1677"/>
      <c r="H7" s="1678"/>
      <c r="I7" s="244"/>
      <c r="J7" s="244"/>
      <c r="K7" s="243"/>
      <c r="O7" s="24"/>
      <c r="P7" s="24"/>
      <c r="Q7" s="24"/>
      <c r="S7" s="386" t="s">
        <v>196</v>
      </c>
      <c r="T7" s="386" t="s">
        <v>194</v>
      </c>
      <c r="U7" s="386" t="s">
        <v>78</v>
      </c>
      <c r="AB7" s="24"/>
      <c r="AC7" s="24"/>
      <c r="AD7" s="24"/>
      <c r="AE7" s="24"/>
      <c r="AJ7" s="24"/>
      <c r="AK7" s="24"/>
      <c r="AL7" s="24"/>
      <c r="AM7" s="24"/>
      <c r="AS7" s="395"/>
      <c r="AT7" s="395"/>
    </row>
    <row r="8" spans="1:46" s="24" customFormat="1" ht="15" customHeight="1">
      <c r="A8" s="209" t="s">
        <v>134</v>
      </c>
      <c r="B8" s="207">
        <f>$C$24</f>
        <v>200</v>
      </c>
      <c r="C8" s="208">
        <f>D24</f>
        <v>1847</v>
      </c>
      <c r="D8" s="206">
        <f>SUM(B8:C8)</f>
        <v>2047</v>
      </c>
      <c r="F8" s="1669" t="s">
        <v>134</v>
      </c>
      <c r="G8" s="1647"/>
      <c r="H8" s="1648"/>
      <c r="I8" s="239">
        <f>K24</f>
        <v>1812.1827299608965</v>
      </c>
      <c r="J8" s="211">
        <f>L24</f>
        <v>1918.4418563608965</v>
      </c>
      <c r="K8" s="210">
        <f>M24</f>
        <v>67.518518660467947</v>
      </c>
      <c r="O8" s="24"/>
      <c r="P8" s="24"/>
      <c r="Q8" s="24"/>
      <c r="S8" s="382" t="s">
        <v>833</v>
      </c>
      <c r="T8" s="385">
        <f>'Seminole Avoided Cost'!$C$8</f>
        <v>0.06</v>
      </c>
      <c r="U8" s="438" t="s">
        <v>1120</v>
      </c>
      <c r="AB8" s="24"/>
      <c r="AC8" s="24"/>
      <c r="AD8" s="24"/>
      <c r="AE8" s="24"/>
      <c r="AJ8" s="24"/>
      <c r="AK8" s="24"/>
      <c r="AL8" s="24"/>
      <c r="AM8" s="24"/>
      <c r="AS8" s="395"/>
      <c r="AT8" s="395"/>
    </row>
    <row r="9" spans="1:46" s="24" customFormat="1" ht="15" customHeight="1">
      <c r="A9" s="209" t="s">
        <v>132</v>
      </c>
      <c r="B9" s="207">
        <f>C33</f>
        <v>0</v>
      </c>
      <c r="C9" s="208">
        <f>D33</f>
        <v>0</v>
      </c>
      <c r="D9" s="206">
        <f>SUM(B9:C9)</f>
        <v>0</v>
      </c>
      <c r="F9" s="1669" t="s">
        <v>132</v>
      </c>
      <c r="G9" s="1647"/>
      <c r="H9" s="1648"/>
      <c r="I9" s="239">
        <f>K33</f>
        <v>0</v>
      </c>
      <c r="J9" s="239">
        <f>L33</f>
        <v>0</v>
      </c>
      <c r="K9" s="333">
        <f>M33</f>
        <v>0</v>
      </c>
      <c r="O9" s="24"/>
      <c r="P9" s="24"/>
      <c r="Q9" s="24"/>
      <c r="S9" s="382" t="s">
        <v>832</v>
      </c>
      <c r="T9" s="384">
        <v>0</v>
      </c>
      <c r="U9" s="438" t="s">
        <v>857</v>
      </c>
      <c r="AB9" s="24"/>
      <c r="AC9" s="24"/>
      <c r="AD9" s="24"/>
      <c r="AE9" s="24"/>
      <c r="AJ9" s="24"/>
      <c r="AK9" s="24"/>
      <c r="AL9" s="24"/>
      <c r="AM9" s="24"/>
      <c r="AS9" s="395"/>
      <c r="AT9" s="395"/>
    </row>
    <row r="10" spans="1:46" s="24" customFormat="1" ht="15" customHeight="1" thickBot="1">
      <c r="A10" s="236" t="s">
        <v>130</v>
      </c>
      <c r="B10" s="207">
        <f>C42</f>
        <v>0</v>
      </c>
      <c r="C10" s="208">
        <f>D42</f>
        <v>0</v>
      </c>
      <c r="D10" s="229">
        <f>SUM(B10:C10)</f>
        <v>0</v>
      </c>
      <c r="F10" s="1670" t="s">
        <v>130</v>
      </c>
      <c r="G10" s="1671"/>
      <c r="H10" s="1672"/>
      <c r="I10" s="234">
        <f>K43</f>
        <v>0</v>
      </c>
      <c r="J10" s="233">
        <f>L43</f>
        <v>0</v>
      </c>
      <c r="K10" s="232">
        <f>M43</f>
        <v>0</v>
      </c>
      <c r="O10" s="24"/>
      <c r="P10" s="24"/>
      <c r="Q10" s="24"/>
      <c r="S10" s="382" t="s">
        <v>831</v>
      </c>
      <c r="T10" s="384">
        <v>0</v>
      </c>
      <c r="U10" s="438" t="s">
        <v>857</v>
      </c>
      <c r="AB10" s="24"/>
      <c r="AC10" s="24"/>
      <c r="AD10" s="24"/>
      <c r="AE10" s="24"/>
      <c r="AJ10" s="24"/>
      <c r="AK10" s="24"/>
      <c r="AL10" s="24"/>
      <c r="AM10" s="24"/>
      <c r="AS10" s="395"/>
      <c r="AT10" s="395"/>
    </row>
    <row r="11" spans="1:46" s="24" customFormat="1" ht="15" customHeight="1" thickTop="1" thickBot="1">
      <c r="A11" s="231" t="s">
        <v>129</v>
      </c>
      <c r="B11" s="332">
        <v>0</v>
      </c>
      <c r="C11" s="331"/>
      <c r="D11" s="229">
        <f>SUM(B11:C11)</f>
        <v>0</v>
      </c>
      <c r="F11" s="1665" t="s">
        <v>128</v>
      </c>
      <c r="G11" s="1666"/>
      <c r="H11" s="1667"/>
      <c r="I11" s="228">
        <f>SUM(I8:I10)</f>
        <v>1812.1827299608965</v>
      </c>
      <c r="J11" s="228">
        <f>SUM(J8:J10)</f>
        <v>1918.4418563608965</v>
      </c>
      <c r="K11" s="227">
        <f>SUM(K8:K10)</f>
        <v>67.518518660467947</v>
      </c>
      <c r="O11" s="24"/>
      <c r="P11" s="24"/>
      <c r="Q11" s="24"/>
      <c r="S11" s="382" t="s">
        <v>830</v>
      </c>
      <c r="T11" s="384">
        <v>0</v>
      </c>
      <c r="U11" s="438" t="s">
        <v>857</v>
      </c>
      <c r="AB11" s="24"/>
      <c r="AC11" s="24"/>
      <c r="AD11" s="24"/>
      <c r="AE11" s="24"/>
      <c r="AJ11" s="24"/>
      <c r="AK11" s="24"/>
      <c r="AL11" s="24"/>
      <c r="AM11" s="24"/>
      <c r="AS11" s="395"/>
      <c r="AT11" s="395"/>
    </row>
    <row r="12" spans="1:46" s="46" customFormat="1" ht="15" customHeight="1" thickTop="1">
      <c r="A12" s="226" t="s">
        <v>128</v>
      </c>
      <c r="B12" s="225">
        <f>SUM(B8:B11)</f>
        <v>200</v>
      </c>
      <c r="C12" s="224">
        <f>SUM(C8:C11)</f>
        <v>1847</v>
      </c>
      <c r="D12" s="223">
        <f>SUM(D8:D11)</f>
        <v>2047</v>
      </c>
      <c r="F12" s="1668" t="s">
        <v>127</v>
      </c>
      <c r="G12" s="1662"/>
      <c r="H12" s="1663"/>
      <c r="I12" s="222"/>
      <c r="J12" s="222"/>
      <c r="K12" s="221"/>
      <c r="O12" s="46"/>
      <c r="P12" s="46"/>
      <c r="Q12" s="46"/>
      <c r="S12" s="382" t="s">
        <v>829</v>
      </c>
      <c r="T12" s="383">
        <f>VLOOKUP($U12,'2015 Annual Sales and Revenue '!$B$3:$H$29,7,FALSE)</f>
        <v>0.13197582228682198</v>
      </c>
      <c r="U12" s="438" t="s">
        <v>1146</v>
      </c>
      <c r="AB12" s="46"/>
      <c r="AC12" s="46"/>
      <c r="AD12" s="46"/>
      <c r="AE12" s="46"/>
      <c r="AJ12" s="46"/>
      <c r="AK12" s="46"/>
      <c r="AL12" s="46"/>
      <c r="AM12" s="46"/>
      <c r="AS12" s="396"/>
      <c r="AT12" s="396"/>
    </row>
    <row r="13" spans="1:46" s="24" customFormat="1" ht="15" customHeight="1">
      <c r="A13" s="220" t="s">
        <v>127</v>
      </c>
      <c r="B13" s="219"/>
      <c r="C13" s="219"/>
      <c r="D13" s="218"/>
      <c r="F13" s="1669" t="s">
        <v>126</v>
      </c>
      <c r="G13" s="1647"/>
      <c r="H13" s="1648"/>
      <c r="I13" s="217">
        <f>K28</f>
        <v>0</v>
      </c>
      <c r="J13" s="217">
        <f>L28</f>
        <v>0</v>
      </c>
      <c r="K13" s="216">
        <f>M28</f>
        <v>0</v>
      </c>
      <c r="O13" s="24"/>
      <c r="P13" s="24"/>
      <c r="Q13" s="24"/>
      <c r="S13" s="382" t="s">
        <v>856</v>
      </c>
      <c r="T13" s="383">
        <f>VLOOKUP($U13,'2015 Annual Sales and Revenue '!$B$3:$H$29,7,FALSE)</f>
        <v>0.16600349880654652</v>
      </c>
      <c r="U13" s="438" t="s">
        <v>1147</v>
      </c>
      <c r="AB13" s="24"/>
      <c r="AC13" s="24"/>
      <c r="AD13" s="24"/>
      <c r="AE13" s="24"/>
      <c r="AJ13" s="24"/>
      <c r="AK13" s="24"/>
      <c r="AL13" s="24"/>
      <c r="AM13" s="24"/>
      <c r="AS13" s="395"/>
      <c r="AT13" s="395"/>
    </row>
    <row r="14" spans="1:42" s="24" customFormat="1" ht="15" customHeight="1" thickBot="1">
      <c r="A14" s="215" t="s">
        <v>126</v>
      </c>
      <c r="B14" s="214">
        <f>C28</f>
        <v>0</v>
      </c>
      <c r="C14" s="213">
        <f>D28</f>
        <v>0</v>
      </c>
      <c r="D14" s="212">
        <f>SUM(B14:C14)</f>
        <v>0</v>
      </c>
      <c r="F14" s="1670" t="s">
        <v>125</v>
      </c>
      <c r="G14" s="1671"/>
      <c r="H14" s="1672"/>
      <c r="I14" s="211">
        <f>K36</f>
        <v>0</v>
      </c>
      <c r="J14" s="211">
        <f>L36</f>
        <v>0</v>
      </c>
      <c r="K14" s="210">
        <f>M36</f>
        <v>0</v>
      </c>
      <c r="O14" s="24"/>
      <c r="P14" s="24"/>
      <c r="Q14" s="24"/>
      <c r="AB14" s="24"/>
      <c r="AC14" s="24"/>
      <c r="AD14" s="24"/>
      <c r="AE14" s="24"/>
      <c r="AJ14" s="24"/>
      <c r="AK14" s="24"/>
      <c r="AL14" s="24"/>
      <c r="AM14" s="24"/>
      <c r="AO14" s="395"/>
      <c r="AP14" s="395"/>
    </row>
    <row r="15" spans="1:42" s="24" customFormat="1" ht="15" customHeight="1" thickBot="1">
      <c r="A15" s="209" t="s">
        <v>124</v>
      </c>
      <c r="B15" s="208">
        <f>C38</f>
        <v>0</v>
      </c>
      <c r="C15" s="207">
        <f>D38</f>
        <v>0</v>
      </c>
      <c r="D15" s="206">
        <f>SUM(B15:C15)</f>
        <v>0</v>
      </c>
      <c r="F15" s="1706" t="s">
        <v>123</v>
      </c>
      <c r="G15" s="1707"/>
      <c r="H15" s="1708"/>
      <c r="I15" s="205">
        <f>SUM(I13:I14)</f>
        <v>0</v>
      </c>
      <c r="J15" s="205">
        <f>SUM(J13:J14)</f>
        <v>0</v>
      </c>
      <c r="K15" s="204">
        <f>SUM(K13:K14)</f>
        <v>0</v>
      </c>
      <c r="O15" s="24"/>
      <c r="P15" s="24"/>
      <c r="Q15" s="24"/>
      <c r="AB15" s="24"/>
      <c r="AC15" s="24"/>
      <c r="AD15" s="24"/>
      <c r="AE15" s="24"/>
      <c r="AJ15" s="24"/>
      <c r="AK15" s="24"/>
      <c r="AL15" s="24"/>
      <c r="AM15" s="24"/>
      <c r="AO15" s="395"/>
      <c r="AP15" s="395"/>
    </row>
    <row r="16" spans="1:46" s="24" customFormat="1" ht="15" customHeight="1" thickBot="1">
      <c r="A16" s="203" t="s">
        <v>123</v>
      </c>
      <c r="B16" s="202">
        <f>SUM(B14:B15)</f>
        <v>0</v>
      </c>
      <c r="C16" s="202">
        <f>SUM(C14:C15)</f>
        <v>0</v>
      </c>
      <c r="D16" s="201">
        <f>SUM(D14:D15)</f>
        <v>0</v>
      </c>
      <c r="F16" s="1762" t="s">
        <v>813</v>
      </c>
      <c r="G16" s="1763"/>
      <c r="H16" s="1764"/>
      <c r="I16" s="200">
        <f>SUM(I11,I15)</f>
        <v>1812.1827299608965</v>
      </c>
      <c r="J16" s="200">
        <f>SUM(J11,J15)</f>
        <v>1918.4418563608965</v>
      </c>
      <c r="K16" s="199">
        <f>SUM(K11,K15)</f>
        <v>67.518518660467947</v>
      </c>
      <c r="O16" s="24"/>
      <c r="P16" s="24"/>
      <c r="Q16" s="24"/>
      <c r="AB16" s="24"/>
      <c r="AC16" s="24"/>
      <c r="AD16" s="24"/>
      <c r="AE16" s="24"/>
      <c r="AJ16" s="24"/>
      <c r="AK16" s="24"/>
      <c r="AL16" s="24"/>
      <c r="AM16" s="24"/>
      <c r="AS16" s="395"/>
      <c r="AT16" s="395"/>
    </row>
    <row r="17" spans="1:46" s="24" customFormat="1" ht="15" customHeight="1" thickBot="1">
      <c r="A17" s="198" t="s">
        <v>812</v>
      </c>
      <c r="B17" s="197">
        <f>SUM(B12,B16)</f>
        <v>200</v>
      </c>
      <c r="C17" s="197">
        <f>SUM(C12,C16)</f>
        <v>1847</v>
      </c>
      <c r="D17" s="196">
        <f>SUM(D12,D16)</f>
        <v>2047</v>
      </c>
      <c r="O17" s="24"/>
      <c r="P17" s="24"/>
      <c r="Q17" s="24"/>
      <c r="AB17" s="24"/>
      <c r="AC17" s="24"/>
      <c r="AD17" s="24"/>
      <c r="AE17" s="24"/>
      <c r="AJ17" s="24"/>
      <c r="AK17" s="24"/>
      <c r="AL17" s="24"/>
      <c r="AM17" s="24"/>
      <c r="AS17" s="395"/>
      <c r="AT17" s="395"/>
    </row>
    <row r="18" spans="1:46" s="24" customFormat="1" ht="15" customHeight="1" thickBot="1">
      <c r="A18" s="195"/>
      <c r="B18" s="195"/>
      <c r="C18" s="194"/>
      <c r="D18" s="194"/>
      <c r="E18" s="194"/>
      <c r="F18" s="194"/>
      <c r="G18" s="194"/>
      <c r="H18" s="194"/>
      <c r="I18" s="194"/>
      <c r="J18" s="194"/>
      <c r="K18" s="194"/>
      <c r="O18" s="24"/>
      <c r="P18" s="24"/>
      <c r="Q18" s="24"/>
      <c r="AB18" s="1627" t="s">
        <v>1161</v>
      </c>
      <c r="AC18" s="1627"/>
      <c r="AD18" s="1627"/>
      <c r="AE18" s="1627"/>
      <c r="AJ18" s="1627" t="s">
        <v>1161</v>
      </c>
      <c r="AK18" s="1627"/>
      <c r="AL18" s="1627"/>
      <c r="AM18" s="1627"/>
      <c r="AS18" s="395"/>
      <c r="AT18" s="395"/>
    </row>
    <row r="19" spans="1:45" ht="37.5" customHeight="1" thickBot="1">
      <c r="A19" s="1766" t="s">
        <v>122</v>
      </c>
      <c r="B19" s="1766"/>
      <c r="C19" s="1766"/>
      <c r="D19" s="1766"/>
      <c r="E19" s="1766"/>
      <c r="F19" s="1766"/>
      <c r="G19" s="1766"/>
      <c r="H19" s="1766"/>
      <c r="I19" s="1766"/>
      <c r="J19" s="1766"/>
      <c r="K19" s="1766"/>
      <c r="L19" s="1766"/>
      <c r="M19" s="1766"/>
      <c r="N19" s="1766"/>
      <c r="S19" s="1703" t="s">
        <v>855</v>
      </c>
      <c r="T19" s="1704"/>
      <c r="U19" s="1704"/>
      <c r="V19" s="1704"/>
      <c r="W19" s="1704"/>
      <c r="X19" s="1704"/>
      <c r="Y19" s="1704"/>
      <c r="Z19" s="1704"/>
      <c r="AA19" s="1704"/>
      <c r="AB19" s="1704" t="s">
        <v>854</v>
      </c>
      <c r="AC19" s="1704"/>
      <c r="AD19" s="1704"/>
      <c r="AE19" s="1704"/>
      <c r="AF19" s="1704"/>
      <c r="AG19" s="1704"/>
      <c r="AH19" s="1704"/>
      <c r="AI19" s="1704"/>
      <c r="AJ19" s="1704"/>
      <c r="AK19" s="1704"/>
      <c r="AL19" s="1704"/>
      <c r="AM19" s="1704"/>
      <c r="AN19" s="1704"/>
      <c r="AO19" s="1704"/>
      <c r="AP19" s="1704"/>
      <c r="AQ19" s="1705"/>
      <c r="AR19" s="291"/>
      <c r="AS19" s="46"/>
    </row>
    <row r="20" spans="1:47" ht="15.6">
      <c r="A20" s="1438"/>
      <c r="B20" s="1438"/>
      <c r="C20" s="1765" t="s">
        <v>121</v>
      </c>
      <c r="D20" s="1765"/>
      <c r="E20" s="1765"/>
      <c r="F20" s="1765" t="s">
        <v>120</v>
      </c>
      <c r="G20" s="1765"/>
      <c r="H20" s="1765"/>
      <c r="I20" s="1765"/>
      <c r="J20" s="1765"/>
      <c r="K20" s="1765"/>
      <c r="L20" s="1765"/>
      <c r="M20" s="1440"/>
      <c r="N20" s="1440"/>
      <c r="S20" s="1688"/>
      <c r="T20" s="1689"/>
      <c r="U20" s="1689"/>
      <c r="V20" s="1689"/>
      <c r="W20" s="1689"/>
      <c r="X20" s="1689"/>
      <c r="Y20" s="1689"/>
      <c r="Z20" s="1689"/>
      <c r="AA20" s="1689"/>
      <c r="AB20" s="1690" t="s">
        <v>853</v>
      </c>
      <c r="AC20" s="1690"/>
      <c r="AD20" s="1690"/>
      <c r="AE20" s="1690"/>
      <c r="AF20" s="1690" t="s">
        <v>852</v>
      </c>
      <c r="AG20" s="1690"/>
      <c r="AH20" s="1690"/>
      <c r="AI20" s="1690"/>
      <c r="AJ20" s="1690" t="s">
        <v>851</v>
      </c>
      <c r="AK20" s="1690"/>
      <c r="AL20" s="1690"/>
      <c r="AM20" s="1690"/>
      <c r="AN20" s="1690" t="s">
        <v>850</v>
      </c>
      <c r="AO20" s="1690"/>
      <c r="AP20" s="1690"/>
      <c r="AQ20" s="1693"/>
      <c r="AR20" s="291"/>
      <c r="AS20" s="1694" t="s">
        <v>849</v>
      </c>
      <c r="AT20" s="1695"/>
      <c r="AU20" s="408" t="s">
        <v>858</v>
      </c>
    </row>
    <row r="21" spans="1:47" ht="62.4">
      <c r="A21" s="434" t="s">
        <v>119</v>
      </c>
      <c r="B21" s="1346" t="s">
        <v>89</v>
      </c>
      <c r="C21" s="434" t="s">
        <v>88</v>
      </c>
      <c r="D21" s="1346" t="s">
        <v>87</v>
      </c>
      <c r="E21" s="434" t="s">
        <v>86</v>
      </c>
      <c r="F21" s="434" t="s">
        <v>85</v>
      </c>
      <c r="G21" s="434" t="s">
        <v>84</v>
      </c>
      <c r="H21" s="434" t="s">
        <v>97</v>
      </c>
      <c r="I21" s="434" t="s">
        <v>82</v>
      </c>
      <c r="J21" s="434" t="s">
        <v>96</v>
      </c>
      <c r="K21" s="434" t="s">
        <v>80</v>
      </c>
      <c r="L21" s="434" t="s">
        <v>79</v>
      </c>
      <c r="M21" s="434" t="s">
        <v>95</v>
      </c>
      <c r="N21" s="1346" t="s">
        <v>78</v>
      </c>
      <c r="P21" s="183" t="str">
        <f>K21&amp;" Weighting"</f>
        <v>Total Annual MWh Weighting</v>
      </c>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291"/>
      <c r="AS21" s="397" t="s">
        <v>791</v>
      </c>
      <c r="AT21" s="386" t="s">
        <v>1164</v>
      </c>
      <c r="AU21" s="398" t="s">
        <v>752</v>
      </c>
    </row>
    <row r="22" spans="1:47" ht="31.2">
      <c r="A22" s="1451" t="s">
        <v>669</v>
      </c>
      <c r="B22" s="318" t="s">
        <v>668</v>
      </c>
      <c r="C22" s="1348">
        <v>200</v>
      </c>
      <c r="D22" s="1348">
        <v>0</v>
      </c>
      <c r="E22" s="1348">
        <f>SUM(C22:D22)</f>
        <v>200</v>
      </c>
      <c r="F22" s="1450" t="s">
        <v>667</v>
      </c>
      <c r="G22" s="1349">
        <v>1942</v>
      </c>
      <c r="H22" s="165">
        <f>'Residential PrePay Metering'!$I$10</f>
        <v>930.27298885731034</v>
      </c>
      <c r="I22" s="164">
        <f>'Residential PrePay Metering'!$J$10</f>
        <v>0.034433162682260779</v>
      </c>
      <c r="J22" s="165">
        <f>'Residential PrePay Metering'!$C$52</f>
        <v>1</v>
      </c>
      <c r="K22" s="1355">
        <f>(G22*H22)/1000</f>
        <v>1806.5901443608966</v>
      </c>
      <c r="L22" s="1355">
        <f>J22*K22</f>
        <v>1806.5901443608966</v>
      </c>
      <c r="M22" s="164">
        <f>G22*I22</f>
        <v>66.869201928950432</v>
      </c>
      <c r="N22" s="1445"/>
      <c r="P22" s="162">
        <f>K22:K23/$K$24</f>
        <v>0.99691389532217833</v>
      </c>
      <c r="S22" s="399">
        <f>IFERROR(IF(G22/$G$24=0,0,G22/$G$24),"")</f>
        <v>0.90662931839402428</v>
      </c>
      <c r="T22" s="393" t="s">
        <v>836</v>
      </c>
      <c r="U22" s="393" t="s">
        <v>835</v>
      </c>
      <c r="V22" s="394">
        <v>0.90</v>
      </c>
      <c r="W22" s="392">
        <f>IF($H22*$T$12=0,"",$H22*$T$12)</f>
        <v>122.77354265566311</v>
      </c>
      <c r="X22" s="392">
        <f>IFERROR($W22*((1+$T$9)/(1+$T$8)*(1-((1+$T$9)/(1+$T$8))^$J22)/(1-((1+$T$9)/(1+$T$8)))),"")</f>
        <v>115.82409684496518</v>
      </c>
      <c r="Y22" s="391">
        <f>IFERROR(D22/G22,"")</f>
        <v>0</v>
      </c>
      <c r="Z22" s="437">
        <v>5</v>
      </c>
      <c r="AA22" s="390"/>
      <c r="AB22" s="437">
        <f>IFERROR(($AS22*$H22*$V22*((1+$T$11)/(1+$T$8)*(1-((1+$T$11)/(1+$T$8))^$J22)/(1-((1+$T$11)/(1+$T$8)))))+($AT$22*$I22),"")</f>
        <v>25.695820150875516</v>
      </c>
      <c r="AC22" s="437">
        <f>IFERROR((SUM($C22)/$G22)+($Z22*$V22),"")</f>
        <v>4.6029866117404739</v>
      </c>
      <c r="AD22" s="388">
        <f>IFERROR(IF(AB22="","",AB22-AC22),"")</f>
        <v>21.092833539135043</v>
      </c>
      <c r="AE22" s="387">
        <f>IFERROR(AB22/AC22,"")</f>
        <v>5.582423395570002</v>
      </c>
      <c r="AF22" s="437">
        <f>IFERROR(($AS22*$H22*$V22*((1+$T$11)/(1+$T$8)*(1-((1+$T$11)/(1+$T$8))^$J22)/(1-((1+$T$11)/(1+$T$8)))))+($AT22*$I22),"")</f>
        <v>25.695820150875516</v>
      </c>
      <c r="AG22" s="388">
        <f>IFERROR(-PV($T$8,1,($E22/$G22)),"")</f>
        <v>0.097157180887239472</v>
      </c>
      <c r="AH22" s="388">
        <f>IFERROR(IF(AF22="","",AF22-AG22),"")</f>
        <v>25.598662969988276</v>
      </c>
      <c r="AI22" s="387">
        <f>IFERROR(AF22/AG22,"")</f>
        <v>264.47679848490105</v>
      </c>
      <c r="AJ22" s="388">
        <f>IFERROR(-PV($T$8,$J22,$W22)+($Y22),"")</f>
        <v>115.8240968449653</v>
      </c>
      <c r="AK22" s="388">
        <f>IF(Z22="","",Z22)</f>
        <v>5</v>
      </c>
      <c r="AL22" s="388">
        <f>IFERROR(IF(AJ22="","",AJ22-AK22),"")</f>
        <v>110.8240968449653</v>
      </c>
      <c r="AM22" s="387">
        <f>IFERROR(AJ22/AK22,"")</f>
        <v>23.164819368993058</v>
      </c>
      <c r="AN22" s="388">
        <f>IFERROR(($AS22*$H22*$V22*((1+$T$11)/(1+$T$8)*(1-((1+$T$11)/(1+$T$8))^$J22)/(1-((1+$T$11)/(1+$T$8)))))+($AT22*$I22),"")</f>
        <v>25.695820150875516</v>
      </c>
      <c r="AO22" s="389">
        <f>IFERROR((SUM($C22)/$G22)+X22+Y22,"")</f>
        <v>115.92708345670566</v>
      </c>
      <c r="AP22" s="388">
        <f>IFERROR(IF(AN22="","",AN22-AO22),"")</f>
        <v>-90.23126330583014</v>
      </c>
      <c r="AQ22" s="400">
        <f>IFERROR(AN22/AO22,"")</f>
        <v>0.22165502128302853</v>
      </c>
      <c r="AR22" s="291"/>
      <c r="AS22" s="409">
        <f>IFERROR(VLOOKUP(ROUND($J22,0),'Seminole Avoided Cost'!$B$15:$Y$41,8,FALSE),"")</f>
        <v>0.0292</v>
      </c>
      <c r="AT22" s="439">
        <f>IFERROR(VLOOKUP(ROUND($J22,0),'Seminole Avoided Cost'!$B$15:$Y$41,24,FALSE),"")</f>
        <v>76.44</v>
      </c>
      <c r="AU22" s="410">
        <f>IFERROR(SUM(C22)/G22,"")</f>
        <v>0.10298661174047374</v>
      </c>
    </row>
    <row r="23" spans="1:47" ht="15.6">
      <c r="A23" s="1451" t="s">
        <v>807</v>
      </c>
      <c r="B23" s="318" t="s">
        <v>117</v>
      </c>
      <c r="C23" s="1348">
        <v>0</v>
      </c>
      <c r="D23" s="1348">
        <v>1847</v>
      </c>
      <c r="E23" s="1348">
        <f>SUM(C23:D23)</f>
        <v>1847</v>
      </c>
      <c r="F23" s="1444" t="s">
        <v>116</v>
      </c>
      <c r="G23" s="1349">
        <v>200</v>
      </c>
      <c r="H23" s="165">
        <f>'10W LED Giveaway Savings'!$D$14</f>
        <v>27.962927999999998</v>
      </c>
      <c r="I23" s="328">
        <f>'10W LED Giveaway Savings'!$D$16</f>
        <v>0.0032465836575875486</v>
      </c>
      <c r="J23" s="165">
        <f>'10W LED Giveaway Savings'!$D$13</f>
        <v>20</v>
      </c>
      <c r="K23" s="1355">
        <f>(G23*H23)/1000</f>
        <v>5.5925855999999996</v>
      </c>
      <c r="L23" s="1355">
        <f>J23*K23</f>
        <v>111.85171199999999</v>
      </c>
      <c r="M23" s="164">
        <f>G23*I23</f>
        <v>0.64931673151750968</v>
      </c>
      <c r="N23" s="1445"/>
      <c r="P23" s="162">
        <f>K23:K24/$K$24</f>
        <v>0.0030861046778216882</v>
      </c>
      <c r="S23" s="399">
        <f>IFERROR(IF(G23/$G$24=0,0,G23/$G$24),"")</f>
        <v>0.093370681605975725</v>
      </c>
      <c r="T23" s="393" t="s">
        <v>836</v>
      </c>
      <c r="U23" s="393" t="s">
        <v>835</v>
      </c>
      <c r="V23" s="394">
        <v>0.90</v>
      </c>
      <c r="W23" s="392">
        <f>IF($H23*$T$12=0,"",$H23*$T$12)</f>
        <v>3.6904304163471982</v>
      </c>
      <c r="X23" s="392">
        <f>IFERROR($W23*((1+$T$9)/(1+$T$8)*(1-((1+$T$9)/(1+$T$8))^$J23)/(1-((1+$T$9)/(1+$T$8)))),"")</f>
        <v>42.328946138099319</v>
      </c>
      <c r="Y23" s="391">
        <f>IFERROR(D23/G23,"")</f>
        <v>9.2349999999999994</v>
      </c>
      <c r="Z23" s="437">
        <v>5</v>
      </c>
      <c r="AA23" s="390"/>
      <c r="AB23" s="437">
        <f>IFERROR(($AS23*$H23*$V23*((1+$T$11)/(1+$T$8)*(1-((1+$T$11)/(1+$T$8))^$J23)/(1-((1+$T$11)/(1+$T$8)))))+($AT$22*$I23),"")</f>
        <v>16.25432831959257</v>
      </c>
      <c r="AC23" s="437">
        <f>IFERROR((SUM($C23)/$G23)+($Z23*$V23),"")</f>
        <v>4.50</v>
      </c>
      <c r="AD23" s="388">
        <f>IFERROR(IF(AB23="","",AB23-AC23),"")</f>
        <v>11.75432831959257</v>
      </c>
      <c r="AE23" s="387">
        <f>IFERROR(AB23/AC23,"")</f>
        <v>3.6120729599094599</v>
      </c>
      <c r="AF23" s="437">
        <f>IFERROR(($AS23*$H23*$V23*((1+$T$11)/(1+$T$8)*(1-((1+$T$11)/(1+$T$8))^$J23)/(1-((1+$T$11)/(1+$T$8)))))+($AT23*$I23),"")</f>
        <v>16.486134392744322</v>
      </c>
      <c r="AG23" s="388">
        <f>IFERROR(-PV($T$8,1,($E23/$G23)),"")</f>
        <v>8.7122641509434029</v>
      </c>
      <c r="AH23" s="388">
        <f>IFERROR(IF(AF23="","",AF23-AG23),"")</f>
        <v>7.7738702418009193</v>
      </c>
      <c r="AI23" s="387">
        <f>IFERROR(AF23/AG23,"")</f>
        <v>1.8922904663030826</v>
      </c>
      <c r="AJ23" s="388">
        <f>IFERROR(-PV($T$8,$J23,$W23)+($Y23),"")</f>
        <v>51.563946138099361</v>
      </c>
      <c r="AK23" s="388">
        <f>IF(Z23="","",Z23)</f>
        <v>5</v>
      </c>
      <c r="AL23" s="388">
        <f>IFERROR(IF(AJ23="","",AJ23-AK23),"")</f>
        <v>46.563946138099361</v>
      </c>
      <c r="AM23" s="387">
        <f>IFERROR(AJ23/AK23,"")</f>
        <v>10.312789227619872</v>
      </c>
      <c r="AN23" s="388">
        <f>IFERROR(($AS23*$H23*$V23*((1+$T$11)/(1+$T$8)*(1-((1+$T$11)/(1+$T$8))^$J23)/(1-((1+$T$11)/(1+$T$8)))))+($AT23*$I23),"")</f>
        <v>16.486134392744322</v>
      </c>
      <c r="AO23" s="389">
        <f>IFERROR((SUM($C23)/$G23)+X23+Y23,"")</f>
        <v>51.563946138099318</v>
      </c>
      <c r="AP23" s="388">
        <f>IFERROR(IF(AN23="","",AN23-AO23),"")</f>
        <v>-35.077811745354992</v>
      </c>
      <c r="AQ23" s="400">
        <f>IFERROR(AN23/AO23,"")</f>
        <v>0.3197221242259255</v>
      </c>
      <c r="AR23" s="291"/>
      <c r="AS23" s="409">
        <f>IFERROR(VLOOKUP(ROUND($J23,0),'Seminole Avoided Cost'!$B$15:$Y$41,8,FALSE),"")</f>
        <v>0.055449999999999999</v>
      </c>
      <c r="AT23" s="439">
        <f>IFERROR(VLOOKUP(ROUND($J23,0),'Seminole Avoided Cost'!$B$15:$Y$41,24,FALSE),"")</f>
        <v>147.83999999999998</v>
      </c>
      <c r="AU23" s="410">
        <f>IFERROR(SUM(C23)/G23,"")</f>
        <v>0</v>
      </c>
    </row>
    <row r="24" spans="1:47" ht="22.5" customHeight="1" thickBot="1">
      <c r="A24" s="1442" t="s">
        <v>103</v>
      </c>
      <c r="B24" s="1442"/>
      <c r="C24" s="1446">
        <f>SUM(C22:C23)</f>
        <v>200</v>
      </c>
      <c r="D24" s="1446">
        <f>SUM(D22:D23)</f>
        <v>1847</v>
      </c>
      <c r="E24" s="1446">
        <f>SUM(E22:E23)</f>
        <v>2047</v>
      </c>
      <c r="F24" s="1438" t="s">
        <v>76</v>
      </c>
      <c r="G24" s="1442">
        <f>SUM(G22:G23)</f>
        <v>2142</v>
      </c>
      <c r="H24" s="1442"/>
      <c r="I24" s="1442"/>
      <c r="J24" s="1452">
        <f>SUMPRODUCT(J22:J23,P22:P23)</f>
        <v>1.0586359888786121</v>
      </c>
      <c r="K24" s="1452">
        <f>SUM(K22:K23)</f>
        <v>1812.1827299608965</v>
      </c>
      <c r="L24" s="1452">
        <f>SUM(L22:L23)</f>
        <v>1918.4418563608965</v>
      </c>
      <c r="M24" s="1447">
        <f>SUM(M22:M23)</f>
        <v>67.518518660467947</v>
      </c>
      <c r="N24" s="1449"/>
      <c r="P24" s="348">
        <f>SUM(P22:P23)</f>
        <v>1</v>
      </c>
      <c r="S24" s="401">
        <f>SUM(S22:S23)</f>
        <v>1</v>
      </c>
      <c r="T24" s="402"/>
      <c r="U24" s="402"/>
      <c r="V24" s="402"/>
      <c r="W24" s="403"/>
      <c r="X24" s="403"/>
      <c r="Y24" s="403"/>
      <c r="Z24" s="404"/>
      <c r="AA24" s="405"/>
      <c r="AB24" s="404">
        <f>SUMPRODUCT(AB$22:AB$23,$S$22:$S$23)</f>
        <v>24.814261623211376</v>
      </c>
      <c r="AC24" s="404">
        <f>SUMPRODUCT(AC$22:AC$23,$S$22:$S$23)</f>
        <v>4.5933706816059763</v>
      </c>
      <c r="AD24" s="404">
        <f>SUMPRODUCT(AD$22:AD$23,$S$22:$S$23)</f>
        <v>20.220890941605401</v>
      </c>
      <c r="AE24" s="406">
        <f>IFERROR(AB24/AC24,"")</f>
        <v>5.4021901003068162</v>
      </c>
      <c r="AF24" s="404">
        <f>SUMPRODUCT(AF$22:AF$23,$S$22:$S$23)</f>
        <v>24.83590551426196</v>
      </c>
      <c r="AG24" s="404">
        <f>SUMPRODUCT(AG$22:AG$23,$S$22:$S$23)</f>
        <v>0.90155559078977576</v>
      </c>
      <c r="AH24" s="404">
        <f>SUMPRODUCT(AH$22:AH$23,$S$22:$S$23)</f>
        <v>23.934349923472183</v>
      </c>
      <c r="AI24" s="406">
        <f>IFERROR(AF24/AG24,"")</f>
        <v>27.547835949312173</v>
      </c>
      <c r="AJ24" s="404">
        <f>SUMPRODUCT(AJ$22:AJ$23,$S$22:$S$23)</f>
        <v>109.82408277336251</v>
      </c>
      <c r="AK24" s="404">
        <f>SUMPRODUCT(AK$22:AK$23,$S$22:$S$23)</f>
        <v>5</v>
      </c>
      <c r="AL24" s="404">
        <f>SUMPRODUCT(AL$22:AL$23,$S$22:$S$23)</f>
        <v>104.82408277336251</v>
      </c>
      <c r="AM24" s="406">
        <f>IFERROR(AJ24/AK24,"")</f>
        <v>21.964816554672502</v>
      </c>
      <c r="AN24" s="404">
        <f>SUMPRODUCT(AN$22:AN$23,$S$22:$S$23)</f>
        <v>24.83590551426196</v>
      </c>
      <c r="AO24" s="404">
        <f>SUMPRODUCT(AO$22:AO$23,$S$22:$S$23)</f>
        <v>109.91745345496838</v>
      </c>
      <c r="AP24" s="404">
        <f>SUMPRODUCT(AP$22:AP$23,$S$22:$S$23)</f>
        <v>-85.0815479407064</v>
      </c>
      <c r="AQ24" s="406">
        <f>IFERROR(AN24/AO24,"")</f>
        <v>0.22595051771679625</v>
      </c>
      <c r="AR24" s="291"/>
      <c r="AS24" s="411">
        <f>IFERROR(VLOOKUP(ROUND($J24,0),'Seminole Avoided Cost'!$B$15:$Y$41,8,FALSE),"")</f>
        <v>0.0292</v>
      </c>
      <c r="AT24" s="491">
        <f>IFERROR(VLOOKUP(ROUND($J24,0),'Seminole Avoided Cost'!$B$15:$Y$41,24,FALSE),"")</f>
        <v>76.44</v>
      </c>
      <c r="AU24" s="412">
        <f>IFERROR(SUM(C24)/G24,"")</f>
        <v>0.093370681605975725</v>
      </c>
    </row>
    <row r="25" spans="1:17" ht="17.25" customHeight="1" thickBot="1">
      <c r="A25" s="380"/>
      <c r="B25" s="379"/>
      <c r="C25" s="378"/>
      <c r="D25" s="378"/>
      <c r="E25" s="378"/>
      <c r="F25" s="378"/>
      <c r="G25" s="378"/>
      <c r="H25" s="378"/>
      <c r="I25" s="378"/>
      <c r="J25" s="378"/>
      <c r="K25" s="378"/>
      <c r="L25" s="378"/>
      <c r="M25" s="378"/>
      <c r="N25" s="377"/>
    </row>
    <row r="26" spans="1:17" ht="63" thickBot="1">
      <c r="A26" s="373" t="s">
        <v>99</v>
      </c>
      <c r="B26" s="372" t="s">
        <v>89</v>
      </c>
      <c r="C26" s="371" t="s">
        <v>88</v>
      </c>
      <c r="D26" s="370" t="s">
        <v>87</v>
      </c>
      <c r="E26" s="369" t="s">
        <v>86</v>
      </c>
      <c r="F26" s="90" t="s">
        <v>85</v>
      </c>
      <c r="G26" s="90" t="s">
        <v>98</v>
      </c>
      <c r="H26" s="90" t="s">
        <v>97</v>
      </c>
      <c r="I26" s="90" t="s">
        <v>82</v>
      </c>
      <c r="J26" s="90" t="s">
        <v>96</v>
      </c>
      <c r="K26" s="103" t="s">
        <v>80</v>
      </c>
      <c r="L26" s="103" t="s">
        <v>79</v>
      </c>
      <c r="M26" s="103" t="s">
        <v>95</v>
      </c>
      <c r="N26" s="368" t="s">
        <v>78</v>
      </c>
    </row>
    <row r="27" spans="1:17" ht="16.8" thickTop="1" thickBot="1">
      <c r="A27" s="124"/>
      <c r="B27" s="171"/>
      <c r="C27" s="100">
        <v>0</v>
      </c>
      <c r="D27" s="169">
        <v>0</v>
      </c>
      <c r="E27" s="320">
        <f>SUM(C27:D27)</f>
        <v>0</v>
      </c>
      <c r="F27" s="167"/>
      <c r="G27" s="99">
        <v>0</v>
      </c>
      <c r="H27" s="165"/>
      <c r="I27" s="328"/>
      <c r="J27" s="165"/>
      <c r="K27" s="164">
        <f>(G27*H27)/1000</f>
        <v>0</v>
      </c>
      <c r="L27" s="164">
        <f>J27*K27</f>
        <v>0</v>
      </c>
      <c r="M27" s="164">
        <f>G27*I27</f>
        <v>0</v>
      </c>
      <c r="N27" s="316"/>
    </row>
    <row r="28" spans="1:46" s="24" customFormat="1" ht="22.5" customHeight="1" thickTop="1" thickBot="1">
      <c r="A28" s="321" t="s">
        <v>102</v>
      </c>
      <c r="B28" s="97"/>
      <c r="C28" s="96">
        <f>SUM(C27)</f>
        <v>0</v>
      </c>
      <c r="D28" s="96">
        <f>SUM(D27)</f>
        <v>0</v>
      </c>
      <c r="E28" s="96">
        <f>SUM(E27)</f>
        <v>0</v>
      </c>
      <c r="F28" s="95" t="s">
        <v>76</v>
      </c>
      <c r="G28" s="94">
        <f>SUM(G27)</f>
        <v>0</v>
      </c>
      <c r="H28" s="94"/>
      <c r="I28" s="94"/>
      <c r="J28" s="159"/>
      <c r="K28" s="159">
        <f>SUM(K27)</f>
        <v>0</v>
      </c>
      <c r="L28" s="159">
        <f>SUM(L27)</f>
        <v>0</v>
      </c>
      <c r="M28" s="138">
        <f>SUM(M27)</f>
        <v>0</v>
      </c>
      <c r="N28" s="158"/>
      <c r="O28" s="24"/>
      <c r="Q28" s="24"/>
      <c r="S28"/>
      <c r="T28"/>
      <c r="U28"/>
      <c r="V28"/>
      <c r="W28"/>
      <c r="X28"/>
      <c r="Y28"/>
      <c r="Z28"/>
      <c r="AA28"/>
      <c r="AB28"/>
      <c r="AC28"/>
      <c r="AD28"/>
      <c r="AE28"/>
      <c r="AF28"/>
      <c r="AG28"/>
      <c r="AH28"/>
      <c r="AI28"/>
      <c r="AJ28"/>
      <c r="AK28"/>
      <c r="AL28"/>
      <c r="AM28"/>
      <c r="AN28"/>
      <c r="AO28"/>
      <c r="AP28"/>
      <c r="AQ28"/>
      <c r="AR28"/>
      <c r="AS28" s="241"/>
      <c r="AT28" s="241"/>
    </row>
    <row r="29" spans="1:46" s="24" customFormat="1" ht="22.5" customHeight="1">
      <c r="A29" s="133"/>
      <c r="B29" s="133"/>
      <c r="C29" s="133"/>
      <c r="D29" s="133"/>
      <c r="E29" s="133"/>
      <c r="F29" s="133"/>
      <c r="G29" s="133"/>
      <c r="H29" s="133"/>
      <c r="I29" s="133"/>
      <c r="J29" s="133"/>
      <c r="K29" s="133"/>
      <c r="L29" s="133"/>
      <c r="M29" s="133"/>
      <c r="N29" s="133"/>
      <c r="O29" s="24"/>
      <c r="Q29" s="24"/>
      <c r="AS29" s="395"/>
      <c r="AT29" s="395"/>
    </row>
    <row r="30" spans="1:46" ht="37.5" customHeight="1">
      <c r="A30" s="1699" t="s">
        <v>101</v>
      </c>
      <c r="B30" s="1699"/>
      <c r="C30" s="1699"/>
      <c r="D30" s="1699"/>
      <c r="E30" s="1699"/>
      <c r="F30" s="1699"/>
      <c r="G30" s="1699"/>
      <c r="H30" s="1699"/>
      <c r="I30" s="1699"/>
      <c r="J30" s="1699"/>
      <c r="K30" s="1699"/>
      <c r="L30" s="1699"/>
      <c r="M30" s="1699"/>
      <c r="N30" s="1699"/>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395"/>
      <c r="AT30" s="395"/>
    </row>
    <row r="31" spans="1:46" s="1470" customFormat="1" ht="62.4">
      <c r="A31" s="1346" t="s">
        <v>90</v>
      </c>
      <c r="B31" s="1346" t="s">
        <v>89</v>
      </c>
      <c r="C31" s="434" t="s">
        <v>88</v>
      </c>
      <c r="D31" s="1346" t="s">
        <v>87</v>
      </c>
      <c r="E31" s="434" t="s">
        <v>86</v>
      </c>
      <c r="F31" s="104" t="s">
        <v>85</v>
      </c>
      <c r="G31" s="104" t="s">
        <v>84</v>
      </c>
      <c r="H31" s="104" t="s">
        <v>97</v>
      </c>
      <c r="I31" s="104" t="s">
        <v>82</v>
      </c>
      <c r="J31" s="104" t="s">
        <v>96</v>
      </c>
      <c r="K31" s="104" t="s">
        <v>80</v>
      </c>
      <c r="L31" s="104" t="s">
        <v>79</v>
      </c>
      <c r="M31" s="104" t="s">
        <v>95</v>
      </c>
      <c r="N31" s="104" t="s">
        <v>78</v>
      </c>
      <c r="O31" s="1470"/>
      <c r="Q31" s="1470"/>
      <c r="AS31" s="1471"/>
      <c r="AT31" s="1471"/>
    </row>
    <row r="32" spans="1:46" s="1475" customFormat="1" ht="15.6">
      <c r="A32" s="1472"/>
      <c r="B32" s="1473"/>
      <c r="C32" s="1467">
        <v>0</v>
      </c>
      <c r="D32" s="1467">
        <v>0</v>
      </c>
      <c r="E32" s="1348">
        <f>SUM(C32:D32)</f>
        <v>0</v>
      </c>
      <c r="F32" s="1474"/>
      <c r="G32" s="1350">
        <v>0</v>
      </c>
      <c r="H32" s="175"/>
      <c r="I32" s="181"/>
      <c r="J32" s="175"/>
      <c r="K32" s="164">
        <f>(G32*H32)/1000</f>
        <v>0</v>
      </c>
      <c r="L32" s="164">
        <f>J32*K32</f>
        <v>0</v>
      </c>
      <c r="M32" s="164">
        <f>G32*I32</f>
        <v>0</v>
      </c>
      <c r="N32" s="1445"/>
      <c r="O32" s="1475"/>
      <c r="Q32" s="1475"/>
      <c r="S32" s="1470"/>
      <c r="T32" s="1470"/>
      <c r="U32" s="1470"/>
      <c r="V32" s="1470"/>
      <c r="W32" s="1470"/>
      <c r="X32" s="1470"/>
      <c r="Y32" s="1470"/>
      <c r="Z32" s="1470"/>
      <c r="AA32" s="1470"/>
      <c r="AB32" s="1470"/>
      <c r="AC32" s="1470"/>
      <c r="AD32" s="1470"/>
      <c r="AE32" s="1470"/>
      <c r="AF32" s="1470"/>
      <c r="AG32" s="1470"/>
      <c r="AH32" s="1470"/>
      <c r="AI32" s="1470"/>
      <c r="AJ32" s="1470"/>
      <c r="AK32" s="1470"/>
      <c r="AL32" s="1470"/>
      <c r="AM32" s="1470"/>
      <c r="AN32" s="1470"/>
      <c r="AO32" s="1470"/>
      <c r="AP32" s="1470"/>
      <c r="AQ32" s="1470"/>
      <c r="AR32" s="1470"/>
      <c r="AS32" s="1471"/>
      <c r="AT32" s="1471"/>
    </row>
    <row r="33" spans="1:46" s="1470" customFormat="1" ht="22.5" customHeight="1">
      <c r="A33" s="1351" t="s">
        <v>100</v>
      </c>
      <c r="B33" s="1351"/>
      <c r="C33" s="1446">
        <f>SUM(C32)</f>
        <v>0</v>
      </c>
      <c r="D33" s="1446">
        <f>SUM(D32)</f>
        <v>0</v>
      </c>
      <c r="E33" s="1446">
        <f>SUM(E32)</f>
        <v>0</v>
      </c>
      <c r="F33" s="1476" t="s">
        <v>76</v>
      </c>
      <c r="G33" s="1477">
        <f>SUM(G32:G32)</f>
        <v>0</v>
      </c>
      <c r="H33" s="1477"/>
      <c r="I33" s="1477"/>
      <c r="J33" s="1478"/>
      <c r="K33" s="1478">
        <f>SUM(K32:K32)</f>
        <v>0</v>
      </c>
      <c r="L33" s="1478">
        <f>SUM(L32:L32)</f>
        <v>0</v>
      </c>
      <c r="M33" s="1479">
        <f>SUM(M32:M32)</f>
        <v>0</v>
      </c>
      <c r="N33" s="1480"/>
      <c r="O33" s="1470"/>
      <c r="Q33" s="1470"/>
      <c r="AS33" s="1471"/>
      <c r="AT33" s="1471"/>
    </row>
    <row r="34" spans="1:46" s="1486" customFormat="1" ht="22.5" customHeight="1" hidden="1">
      <c r="A34" s="1481"/>
      <c r="B34" s="1481"/>
      <c r="C34" s="1482"/>
      <c r="D34" s="1482"/>
      <c r="E34" s="1482"/>
      <c r="F34" s="1483"/>
      <c r="G34" s="1481"/>
      <c r="H34" s="1481"/>
      <c r="I34" s="1481"/>
      <c r="J34" s="1481"/>
      <c r="K34" s="1484"/>
      <c r="L34" s="1484"/>
      <c r="M34" s="1484"/>
      <c r="N34" s="1485"/>
      <c r="O34" s="1486"/>
      <c r="Q34" s="1486"/>
      <c r="S34" s="1470"/>
      <c r="T34" s="1470"/>
      <c r="U34" s="1470"/>
      <c r="V34" s="1470"/>
      <c r="W34" s="1470"/>
      <c r="X34" s="1470"/>
      <c r="Y34" s="1470"/>
      <c r="Z34" s="1470"/>
      <c r="AA34" s="1470"/>
      <c r="AB34" s="1470"/>
      <c r="AC34" s="1470"/>
      <c r="AD34" s="1470"/>
      <c r="AE34" s="1470"/>
      <c r="AF34" s="1470"/>
      <c r="AG34" s="1470"/>
      <c r="AH34" s="1470"/>
      <c r="AI34" s="1470"/>
      <c r="AJ34" s="1470"/>
      <c r="AK34" s="1470"/>
      <c r="AL34" s="1470"/>
      <c r="AM34" s="1470"/>
      <c r="AN34" s="1470"/>
      <c r="AO34" s="1470"/>
      <c r="AP34" s="1470"/>
      <c r="AQ34" s="1470"/>
      <c r="AR34" s="1470"/>
      <c r="AS34" s="1471"/>
      <c r="AT34" s="1471"/>
    </row>
    <row r="35" spans="1:46" s="1470" customFormat="1" ht="62.4">
      <c r="A35" s="434" t="s">
        <v>99</v>
      </c>
      <c r="B35" s="1346" t="s">
        <v>89</v>
      </c>
      <c r="C35" s="434" t="s">
        <v>88</v>
      </c>
      <c r="D35" s="1346" t="s">
        <v>87</v>
      </c>
      <c r="E35" s="434" t="s">
        <v>86</v>
      </c>
      <c r="F35" s="434" t="s">
        <v>85</v>
      </c>
      <c r="G35" s="434" t="s">
        <v>98</v>
      </c>
      <c r="H35" s="434" t="s">
        <v>97</v>
      </c>
      <c r="I35" s="434" t="s">
        <v>82</v>
      </c>
      <c r="J35" s="434" t="s">
        <v>96</v>
      </c>
      <c r="K35" s="434" t="s">
        <v>80</v>
      </c>
      <c r="L35" s="434" t="s">
        <v>79</v>
      </c>
      <c r="M35" s="434" t="s">
        <v>95</v>
      </c>
      <c r="N35" s="434" t="s">
        <v>78</v>
      </c>
      <c r="O35" s="1470"/>
      <c r="Q35" s="1470"/>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7"/>
      <c r="AT35" s="1487"/>
    </row>
    <row r="36" spans="1:46" s="1470" customFormat="1" ht="31.2">
      <c r="A36" s="1468" t="s">
        <v>806</v>
      </c>
      <c r="B36" s="318"/>
      <c r="C36" s="1467">
        <v>0</v>
      </c>
      <c r="D36" s="1467">
        <v>0</v>
      </c>
      <c r="E36" s="1348">
        <f>SUM(C36:D36)</f>
        <v>0</v>
      </c>
      <c r="F36" s="1464" t="s">
        <v>667</v>
      </c>
      <c r="G36" s="1469">
        <v>235</v>
      </c>
      <c r="H36" s="319"/>
      <c r="I36" s="318"/>
      <c r="J36" s="317"/>
      <c r="K36" s="164">
        <f>(G36*H36)/1000</f>
        <v>0</v>
      </c>
      <c r="L36" s="164">
        <f>J36*K36</f>
        <v>0</v>
      </c>
      <c r="M36" s="164">
        <f>G36*I36</f>
        <v>0</v>
      </c>
      <c r="N36" s="1445"/>
      <c r="O36" s="1470"/>
      <c r="Q36" s="1470"/>
      <c r="AS36" s="1471"/>
      <c r="AT36" s="1471"/>
    </row>
    <row r="37" spans="1:46" s="1470" customFormat="1" ht="31.2">
      <c r="A37" s="1468" t="s">
        <v>811</v>
      </c>
      <c r="B37" s="318"/>
      <c r="C37" s="1467">
        <v>0</v>
      </c>
      <c r="D37" s="1467">
        <v>0</v>
      </c>
      <c r="E37" s="1348">
        <f>SUM(C37:D37)</f>
        <v>0</v>
      </c>
      <c r="F37" s="1464" t="s">
        <v>667</v>
      </c>
      <c r="G37" s="1469">
        <v>1</v>
      </c>
      <c r="H37" s="319"/>
      <c r="I37" s="318"/>
      <c r="J37" s="317"/>
      <c r="K37" s="164">
        <f>(G37*H37)/1000</f>
        <v>0</v>
      </c>
      <c r="L37" s="164">
        <f>J37*K37</f>
        <v>0</v>
      </c>
      <c r="M37" s="164">
        <f>G37*I37</f>
        <v>0</v>
      </c>
      <c r="N37" s="1445"/>
      <c r="O37" s="1470"/>
      <c r="Q37" s="1470"/>
      <c r="AS37" s="1471"/>
      <c r="AT37" s="1471"/>
    </row>
    <row r="38" spans="1:46" s="1486" customFormat="1" ht="22.5" customHeight="1">
      <c r="A38" s="1442" t="s">
        <v>93</v>
      </c>
      <c r="B38" s="1441"/>
      <c r="C38" s="1446">
        <f>SUM(C36)</f>
        <v>0</v>
      </c>
      <c r="D38" s="1446">
        <f>SUM(D36)</f>
        <v>0</v>
      </c>
      <c r="E38" s="1446">
        <f>SUM(E36)</f>
        <v>0</v>
      </c>
      <c r="F38" s="1438" t="s">
        <v>76</v>
      </c>
      <c r="G38" s="1442">
        <f>SUM(G36:G37)</f>
        <v>236</v>
      </c>
      <c r="H38" s="1442"/>
      <c r="I38" s="1442"/>
      <c r="J38" s="1447"/>
      <c r="K38" s="1447">
        <f>SUM(K36:K37)</f>
        <v>0</v>
      </c>
      <c r="L38" s="1447">
        <f>SUM(L36:L37)</f>
        <v>0</v>
      </c>
      <c r="M38" s="1448">
        <f>SUM(M36:M37)</f>
        <v>0</v>
      </c>
      <c r="N38" s="1449"/>
      <c r="O38" s="1486"/>
      <c r="Q38" s="1486"/>
      <c r="AS38" s="1487"/>
      <c r="AT38" s="1487"/>
    </row>
    <row r="39" spans="1:17" ht="15.75" customHeight="1" thickBot="1">
      <c r="A39" s="1465"/>
      <c r="B39" s="1466"/>
      <c r="C39" s="1466"/>
      <c r="D39" s="1466"/>
      <c r="E39" s="1466"/>
      <c r="F39" s="1466"/>
      <c r="G39" s="1466"/>
      <c r="H39" s="1466"/>
      <c r="I39" s="1466"/>
      <c r="J39" s="1466"/>
      <c r="K39" s="1466"/>
      <c r="L39" s="1466"/>
      <c r="M39" s="79"/>
    </row>
    <row r="40" spans="1:17" ht="37.5" customHeight="1" thickBot="1">
      <c r="A40" s="1696" t="s">
        <v>91</v>
      </c>
      <c r="B40" s="1697"/>
      <c r="C40" s="1697"/>
      <c r="D40" s="1697"/>
      <c r="E40" s="1697"/>
      <c r="F40" s="1697"/>
      <c r="G40" s="1697"/>
      <c r="H40" s="1697"/>
      <c r="I40" s="1697"/>
      <c r="J40" s="1697"/>
      <c r="K40" s="1697"/>
      <c r="L40" s="1697"/>
      <c r="M40" s="1697"/>
      <c r="N40" s="1698"/>
    </row>
    <row r="41" spans="1:17" ht="63" thickBot="1">
      <c r="A41" s="91" t="s">
        <v>90</v>
      </c>
      <c r="B41" s="142" t="s">
        <v>89</v>
      </c>
      <c r="C41" s="107" t="s">
        <v>88</v>
      </c>
      <c r="D41" s="106" t="s">
        <v>87</v>
      </c>
      <c r="E41" s="105" t="s">
        <v>86</v>
      </c>
      <c r="F41" s="104" t="s">
        <v>85</v>
      </c>
      <c r="G41" s="103" t="s">
        <v>84</v>
      </c>
      <c r="H41" s="90" t="s">
        <v>83</v>
      </c>
      <c r="I41" s="90" t="s">
        <v>82</v>
      </c>
      <c r="J41" s="90" t="s">
        <v>81</v>
      </c>
      <c r="K41" s="90" t="s">
        <v>80</v>
      </c>
      <c r="L41" s="90" t="s">
        <v>79</v>
      </c>
      <c r="M41" s="90" t="s">
        <v>95</v>
      </c>
      <c r="N41" s="141" t="s">
        <v>78</v>
      </c>
    </row>
    <row r="42" spans="1:17" ht="16.8" thickTop="1" thickBot="1">
      <c r="A42" s="172"/>
      <c r="B42" s="180"/>
      <c r="C42" s="170">
        <v>0</v>
      </c>
      <c r="D42" s="179">
        <v>0</v>
      </c>
      <c r="E42" s="320">
        <f>SUM(C42:D42)</f>
        <v>0</v>
      </c>
      <c r="F42" s="178"/>
      <c r="G42" s="367">
        <v>0</v>
      </c>
      <c r="H42" s="175"/>
      <c r="I42" s="181"/>
      <c r="J42" s="175"/>
      <c r="K42" s="164">
        <f>(G42*H42)/1000</f>
        <v>0</v>
      </c>
      <c r="L42" s="164">
        <f>J42*K42</f>
        <v>0</v>
      </c>
      <c r="M42" s="164">
        <f>G42*I42</f>
        <v>0</v>
      </c>
      <c r="N42" s="316"/>
    </row>
    <row r="43" spans="1:17" ht="22.5" customHeight="1" thickTop="1" thickBot="1">
      <c r="A43" s="321" t="s">
        <v>77</v>
      </c>
      <c r="B43" s="97"/>
      <c r="C43" s="96">
        <f>SUM(C42)</f>
        <v>0</v>
      </c>
      <c r="D43" s="96">
        <f>SUM(D42)</f>
        <v>0</v>
      </c>
      <c r="E43" s="96">
        <f>SUM(E42)</f>
        <v>0</v>
      </c>
      <c r="F43" s="95" t="s">
        <v>76</v>
      </c>
      <c r="G43" s="94">
        <f>SUM(G42)</f>
        <v>0</v>
      </c>
      <c r="H43" s="94"/>
      <c r="I43" s="94"/>
      <c r="J43" s="159"/>
      <c r="K43" s="159">
        <f>SUM(K42)</f>
        <v>0</v>
      </c>
      <c r="L43" s="159">
        <f>SUM(L42)</f>
        <v>0</v>
      </c>
      <c r="M43" s="138">
        <f>SUM(M42)</f>
        <v>0</v>
      </c>
      <c r="N43" s="158"/>
    </row>
    <row r="44" spans="1:17" ht="15.75" customHeight="1" thickBot="1">
      <c r="A44" s="93"/>
      <c r="B44" s="92"/>
      <c r="C44" s="92"/>
      <c r="D44" s="92"/>
      <c r="E44" s="92"/>
      <c r="F44" s="92"/>
      <c r="G44" s="92"/>
      <c r="H44" s="92"/>
      <c r="I44" s="92"/>
      <c r="J44" s="92"/>
      <c r="K44" s="92"/>
      <c r="L44" s="92"/>
    </row>
    <row r="45" spans="1:17" ht="21.6" thickBot="1">
      <c r="A45" s="1679" t="s">
        <v>75</v>
      </c>
      <c r="B45" s="1680"/>
      <c r="C45" s="1681"/>
    </row>
    <row r="46" spans="1:17" ht="15.6">
      <c r="A46" s="91" t="s">
        <v>74</v>
      </c>
      <c r="B46" s="90" t="s">
        <v>73</v>
      </c>
      <c r="C46" s="89" t="s">
        <v>72</v>
      </c>
    </row>
    <row r="47" spans="1:17" ht="14.4">
      <c r="A47" s="88" t="s">
        <v>61</v>
      </c>
      <c r="B47" s="314">
        <v>22167</v>
      </c>
      <c r="C47" s="86">
        <v>0</v>
      </c>
    </row>
    <row r="48" spans="1:17" ht="14.4">
      <c r="A48" s="88" t="s">
        <v>60</v>
      </c>
      <c r="B48" s="314">
        <v>3239</v>
      </c>
      <c r="C48" s="86">
        <v>0</v>
      </c>
    </row>
    <row r="49" spans="1:17" ht="14.4">
      <c r="A49" s="88" t="s">
        <v>59</v>
      </c>
      <c r="B49" s="314">
        <v>9</v>
      </c>
      <c r="C49" s="86">
        <v>0</v>
      </c>
    </row>
    <row r="50" spans="1:17" ht="16.2" thickBot="1">
      <c r="A50" s="85" t="str">
        <f>"Total for "&amp;A45</f>
        <v>Total for Advanced Metering</v>
      </c>
      <c r="B50" s="84">
        <f>SUM(B47:B49)</f>
        <v>25415</v>
      </c>
      <c r="C50" s="83">
        <f>SUM(C47:C49)</f>
        <v>0</v>
      </c>
    </row>
  </sheetData>
  <mergeCells count="30">
    <mergeCell ref="A1:N1"/>
    <mergeCell ref="AS20:AT20"/>
    <mergeCell ref="A45:C45"/>
    <mergeCell ref="F11:H11"/>
    <mergeCell ref="F12:H12"/>
    <mergeCell ref="F13:H13"/>
    <mergeCell ref="F14:H14"/>
    <mergeCell ref="F15:H15"/>
    <mergeCell ref="F16:H16"/>
    <mergeCell ref="F20:L20"/>
    <mergeCell ref="A19:N19"/>
    <mergeCell ref="A30:N30"/>
    <mergeCell ref="A40:N40"/>
    <mergeCell ref="C20:E20"/>
    <mergeCell ref="F10:H10"/>
    <mergeCell ref="A4:N4"/>
    <mergeCell ref="F6:H6"/>
    <mergeCell ref="F7:H7"/>
    <mergeCell ref="F8:H8"/>
    <mergeCell ref="F9:H9"/>
    <mergeCell ref="S6:U6"/>
    <mergeCell ref="AB18:AE18"/>
    <mergeCell ref="AJ18:AM18"/>
    <mergeCell ref="S19:AA19"/>
    <mergeCell ref="AB19:AQ19"/>
    <mergeCell ref="S20:AA20"/>
    <mergeCell ref="AB20:AE20"/>
    <mergeCell ref="AF20:AI20"/>
    <mergeCell ref="AJ20:AM20"/>
    <mergeCell ref="AN20:AQ20"/>
  </mergeCells>
  <conditionalFormatting sqref="C32">
    <cfRule type="expression" priority="67" dxfId="9">
      <formula>ISBLANK(C32)</formula>
    </cfRule>
    <cfRule type="expression" priority="68">
      <formula>NOT(ISBLANK(C32))</formula>
    </cfRule>
  </conditionalFormatting>
  <conditionalFormatting sqref="G32">
    <cfRule type="expression" priority="65" dxfId="9">
      <formula>ISBLANK(G32)</formula>
    </cfRule>
    <cfRule type="expression" priority="66">
      <formula>NOT(ISBLANK(G32))</formula>
    </cfRule>
  </conditionalFormatting>
  <conditionalFormatting sqref="G36:G37">
    <cfRule type="expression" priority="73" dxfId="9">
      <formula>ISBLANK(G36)</formula>
    </cfRule>
    <cfRule type="expression" priority="74">
      <formula>NOT(ISBLANK(G36))</formula>
    </cfRule>
  </conditionalFormatting>
  <conditionalFormatting sqref="D32">
    <cfRule type="expression" priority="71" dxfId="9">
      <formula>ISBLANK(D32)</formula>
    </cfRule>
    <cfRule type="expression" priority="72">
      <formula>NOT(ISBLANK(D32))</formula>
    </cfRule>
  </conditionalFormatting>
  <conditionalFormatting sqref="C37">
    <cfRule type="expression" priority="53" dxfId="8">
      <formula>ISBLANK(C37)</formula>
    </cfRule>
    <cfRule type="expression" priority="54">
      <formula>NOT(ISBLANK(C37))</formula>
    </cfRule>
  </conditionalFormatting>
  <conditionalFormatting sqref="G27">
    <cfRule type="expression" priority="83" dxfId="9">
      <formula>ISBLANK(G27)</formula>
    </cfRule>
    <cfRule type="expression" priority="84">
      <formula>NOT(ISBLANK(G27))</formula>
    </cfRule>
  </conditionalFormatting>
  <conditionalFormatting sqref="C27:D27">
    <cfRule type="expression" priority="81" dxfId="9">
      <formula>ISBLANK(C27)</formula>
    </cfRule>
    <cfRule type="expression" priority="82">
      <formula>NOT(ISBLANK(C27))</formula>
    </cfRule>
  </conditionalFormatting>
  <conditionalFormatting sqref="C27">
    <cfRule type="expression" priority="79" dxfId="8">
      <formula>ISBLANK(C27)</formula>
    </cfRule>
    <cfRule type="expression" priority="80">
      <formula>NOT(ISBLANK(C27))</formula>
    </cfRule>
  </conditionalFormatting>
  <conditionalFormatting sqref="B11">
    <cfRule type="expression" priority="77" dxfId="9">
      <formula>ISBLANK(B11)</formula>
    </cfRule>
    <cfRule type="expression" priority="78">
      <formula>NOT(ISBLANK(B11))</formula>
    </cfRule>
  </conditionalFormatting>
  <conditionalFormatting sqref="C22:D23">
    <cfRule type="expression" priority="89" dxfId="9">
      <formula>ISBLANK(C22)</formula>
    </cfRule>
    <cfRule type="expression" priority="90">
      <formula>NOT(ISBLANK(C22))</formula>
    </cfRule>
  </conditionalFormatting>
  <conditionalFormatting sqref="C22:C23">
    <cfRule type="expression" priority="87" dxfId="8">
      <formula>ISBLANK(C22)</formula>
    </cfRule>
    <cfRule type="expression" priority="88">
      <formula>NOT(ISBLANK(C22))</formula>
    </cfRule>
  </conditionalFormatting>
  <conditionalFormatting sqref="G22:G23">
    <cfRule type="expression" priority="85" dxfId="9">
      <formula>ISBLANK(G22)</formula>
    </cfRule>
    <cfRule type="expression" priority="86">
      <formula>NOT(ISBLANK(G22))</formula>
    </cfRule>
  </conditionalFormatting>
  <conditionalFormatting sqref="C37">
    <cfRule type="expression" priority="51" dxfId="9">
      <formula>ISBLANK(C37)</formula>
    </cfRule>
    <cfRule type="expression" priority="52">
      <formula>NOT(ISBLANK(C37))</formula>
    </cfRule>
  </conditionalFormatting>
  <conditionalFormatting sqref="D42">
    <cfRule type="expression" priority="49" dxfId="9">
      <formula>ISBLANK(D42)</formula>
    </cfRule>
    <cfRule type="expression" priority="50">
      <formula>NOT(ISBLANK(D42))</formula>
    </cfRule>
  </conditionalFormatting>
  <conditionalFormatting sqref="C42">
    <cfRule type="expression" priority="47" dxfId="8">
      <formula>ISBLANK(C42)</formula>
    </cfRule>
    <cfRule type="expression" priority="48">
      <formula>NOT(ISBLANK(C42))</formula>
    </cfRule>
  </conditionalFormatting>
  <conditionalFormatting sqref="C42">
    <cfRule type="expression" priority="45" dxfId="9">
      <formula>ISBLANK(C42)</formula>
    </cfRule>
    <cfRule type="expression" priority="46">
      <formula>NOT(ISBLANK(C42))</formula>
    </cfRule>
  </conditionalFormatting>
  <conditionalFormatting sqref="G37">
    <cfRule type="expression" priority="75" dxfId="9">
      <formula>ISBLANK(G37)</formula>
    </cfRule>
    <cfRule type="expression" priority="76">
      <formula>NOT(ISBLANK(G37))</formula>
    </cfRule>
  </conditionalFormatting>
  <conditionalFormatting sqref="C32">
    <cfRule type="expression" priority="69" dxfId="8">
      <formula>ISBLANK(C32)</formula>
    </cfRule>
    <cfRule type="expression" priority="70">
      <formula>NOT(ISBLANK(C32))</formula>
    </cfRule>
  </conditionalFormatting>
  <conditionalFormatting sqref="G42">
    <cfRule type="expression" priority="63" dxfId="9">
      <formula>ISBLANK(G42)</formula>
    </cfRule>
    <cfRule type="expression" priority="64">
      <formula>NOT(ISBLANK(G42))</formula>
    </cfRule>
  </conditionalFormatting>
  <conditionalFormatting sqref="D36">
    <cfRule type="expression" priority="61" dxfId="9">
      <formula>ISBLANK(D36)</formula>
    </cfRule>
    <cfRule type="expression" priority="62">
      <formula>NOT(ISBLANK(D36))</formula>
    </cfRule>
  </conditionalFormatting>
  <conditionalFormatting sqref="C36">
    <cfRule type="expression" priority="57" dxfId="9">
      <formula>ISBLANK(C36)</formula>
    </cfRule>
    <cfRule type="expression" priority="58">
      <formula>NOT(ISBLANK(C36))</formula>
    </cfRule>
  </conditionalFormatting>
  <conditionalFormatting sqref="C36">
    <cfRule type="expression" priority="59" dxfId="8">
      <formula>ISBLANK(C36)</formula>
    </cfRule>
    <cfRule type="expression" priority="60">
      <formula>NOT(ISBLANK(C36))</formula>
    </cfRule>
  </conditionalFormatting>
  <conditionalFormatting sqref="D37">
    <cfRule type="expression" priority="55" dxfId="9">
      <formula>ISBLANK(D37)</formula>
    </cfRule>
    <cfRule type="expression" priority="56">
      <formula>NOT(ISBLANK(D37))</formula>
    </cfRule>
  </conditionalFormatting>
  <conditionalFormatting sqref="AE24">
    <cfRule type="cellIs" priority="12" dxfId="0" operator="lessThan">
      <formula>1</formula>
    </cfRule>
  </conditionalFormatting>
  <conditionalFormatting sqref="AI24">
    <cfRule type="cellIs" priority="11" dxfId="0" operator="lessThan">
      <formula>1</formula>
    </cfRule>
  </conditionalFormatting>
  <conditionalFormatting sqref="AM24">
    <cfRule type="cellIs" priority="10" dxfId="0" operator="lessThan">
      <formula>1</formula>
    </cfRule>
  </conditionalFormatting>
  <conditionalFormatting sqref="AQ24">
    <cfRule type="cellIs" priority="9" dxfId="0" operator="lessThan">
      <formula>1</formula>
    </cfRule>
  </conditionalFormatting>
  <conditionalFormatting sqref="AE22">
    <cfRule type="colorScale" priority="13">
      <colorScale>
        <cfvo type="min" val="0"/>
        <cfvo type="percentile" val="50"/>
        <cfvo type="max" val="0"/>
        <color rgb="FFF8696B"/>
        <color rgb="FFFFEB84"/>
        <color rgb="FF63BE7B"/>
      </colorScale>
    </cfRule>
    <cfRule type="cellIs" priority="14" dxfId="0" operator="lessThan">
      <formula>1</formula>
    </cfRule>
  </conditionalFormatting>
  <conditionalFormatting sqref="AI22">
    <cfRule type="colorScale" priority="15">
      <colorScale>
        <cfvo type="min" val="0"/>
        <cfvo type="percentile" val="50"/>
        <cfvo type="max" val="0"/>
        <color rgb="FFF8696B"/>
        <color rgb="FFFFEB84"/>
        <color rgb="FF63BE7B"/>
      </colorScale>
    </cfRule>
    <cfRule type="cellIs" priority="16" dxfId="0" operator="lessThan">
      <formula>1</formula>
    </cfRule>
  </conditionalFormatting>
  <conditionalFormatting sqref="AM22">
    <cfRule type="colorScale" priority="17">
      <colorScale>
        <cfvo type="min" val="0"/>
        <cfvo type="percentile" val="50"/>
        <cfvo type="max" val="0"/>
        <color rgb="FFF8696B"/>
        <color rgb="FFFFEB84"/>
        <color rgb="FF63BE7B"/>
      </colorScale>
    </cfRule>
    <cfRule type="cellIs" priority="18" dxfId="0" operator="lessThan">
      <formula>1</formula>
    </cfRule>
  </conditionalFormatting>
  <conditionalFormatting sqref="AQ22">
    <cfRule type="colorScale" priority="19">
      <colorScale>
        <cfvo type="min" val="0"/>
        <cfvo type="percentile" val="50"/>
        <cfvo type="max" val="0"/>
        <color rgb="FFF8696B"/>
        <color rgb="FFFFEB84"/>
        <color rgb="FF63BE7B"/>
      </colorScale>
    </cfRule>
    <cfRule type="cellIs" priority="20" dxfId="0" operator="lessThan">
      <formula>1</formula>
    </cfRule>
  </conditionalFormatting>
  <conditionalFormatting sqref="AE23">
    <cfRule type="colorScale" priority="1">
      <colorScale>
        <cfvo type="min" val="0"/>
        <cfvo type="percentile" val="50"/>
        <cfvo type="max" val="0"/>
        <color rgb="FFF8696B"/>
        <color rgb="FFFFEB84"/>
        <color rgb="FF63BE7B"/>
      </colorScale>
    </cfRule>
    <cfRule type="cellIs" priority="2" dxfId="0" operator="lessThan">
      <formula>1</formula>
    </cfRule>
  </conditionalFormatting>
  <conditionalFormatting sqref="AI23">
    <cfRule type="colorScale" priority="3">
      <colorScale>
        <cfvo type="min" val="0"/>
        <cfvo type="percentile" val="50"/>
        <cfvo type="max" val="0"/>
        <color rgb="FFF8696B"/>
        <color rgb="FFFFEB84"/>
        <color rgb="FF63BE7B"/>
      </colorScale>
    </cfRule>
    <cfRule type="cellIs" priority="4" dxfId="0" operator="lessThan">
      <formula>1</formula>
    </cfRule>
  </conditionalFormatting>
  <conditionalFormatting sqref="AM23">
    <cfRule type="colorScale" priority="5">
      <colorScale>
        <cfvo type="min" val="0"/>
        <cfvo type="percentile" val="50"/>
        <cfvo type="max" val="0"/>
        <color rgb="FFF8696B"/>
        <color rgb="FFFFEB84"/>
        <color rgb="FF63BE7B"/>
      </colorScale>
    </cfRule>
    <cfRule type="cellIs" priority="6" dxfId="0" operator="lessThan">
      <formula>1</formula>
    </cfRule>
  </conditionalFormatting>
  <conditionalFormatting sqref="AQ23">
    <cfRule type="colorScale" priority="7">
      <colorScale>
        <cfvo type="min" val="0"/>
        <cfvo type="percentile" val="50"/>
        <cfvo type="max" val="0"/>
        <color rgb="FFF8696B"/>
        <color rgb="FFFFEB84"/>
        <color rgb="FF63BE7B"/>
      </colorScale>
    </cfRule>
    <cfRule type="cellIs" priority="8" dxfId="0" operator="lessThan">
      <formula>1</formula>
    </cfRule>
  </conditionalFormatting>
  <pageMargins left="0.7" right="0.7" top="0.75" bottom="0.75" header="0.3" footer="0.3"/>
  <pageSetup orientation="portrait" r:id="rId2"/>
  <ignoredErrors>
    <ignoredError sqref="S8:AU21 S25:AU30 S24:AR24 AU24 S23:AE23 S22:AE22 AG22:AU22 AG23:AU23" unlockedFormula="1"/>
  </ignoredErrors>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tint="-0.24997"/>
  </sheetPr>
  <dimension ref="A1:AU55"/>
  <sheetViews>
    <sheetView zoomScale="70" zoomScaleNormal="70" workbookViewId="0" topLeftCell="A21">
      <selection pane="topLeft" activeCell="A1" sqref="A1"/>
    </sheetView>
  </sheetViews>
  <sheetFormatPr defaultColWidth="9.21875" defaultRowHeight="14.4" outlineLevelCol="1"/>
  <cols>
    <col min="1" max="2" width="22.6666666666667" style="267" customWidth="1"/>
    <col min="3" max="5" width="16.6666666666667" style="267" customWidth="1"/>
    <col min="6" max="8" width="12.6666666666667" style="267" customWidth="1"/>
    <col min="9" max="9" width="15.2222222222222" style="267" customWidth="1"/>
    <col min="10" max="13" width="12.6666666666667" style="267" customWidth="1"/>
    <col min="14" max="14" width="36.6666666666667" style="856" customWidth="1"/>
    <col min="15" max="15" width="10.5555555555556" style="267" hidden="1" customWidth="1"/>
    <col min="16" max="16" width="54.2222222222222" style="267" customWidth="1"/>
    <col min="17" max="17" width="35.7777777777778" style="267" customWidth="1"/>
    <col min="18" max="18" width="2.55555555555556" style="267" customWidth="1"/>
    <col min="19" max="19" width="33.7777777777778" style="267" bestFit="1" customWidth="1"/>
    <col min="20" max="20" width="13.2222222222222" style="267" bestFit="1" customWidth="1"/>
    <col min="21" max="21" width="32.7777777777778" style="267" bestFit="1" customWidth="1"/>
    <col min="22" max="23" width="10.7777777777778" style="267" customWidth="1"/>
    <col min="24" max="24" width="11.5555555555556" style="267" bestFit="1" customWidth="1"/>
    <col min="25" max="27" width="10.7777777777778" style="267" customWidth="1"/>
    <col min="28" max="31" width="10.7777777777778" style="267" customWidth="1" outlineLevel="1"/>
    <col min="32" max="32" width="10.7777777777778" style="267" customWidth="1" collapsed="1"/>
    <col min="33" max="35" width="10.7777777777778" style="267" customWidth="1"/>
    <col min="36" max="39" width="10.7777777777778" style="267" customWidth="1" outlineLevel="1"/>
    <col min="40" max="40" width="10.7777777777778" style="267" customWidth="1" collapsed="1"/>
    <col min="41" max="41" width="14.5555555555556" style="267" bestFit="1" customWidth="1"/>
    <col min="42" max="42" width="12" style="267" customWidth="1"/>
    <col min="43" max="43" width="10.7777777777778" style="267" customWidth="1"/>
    <col min="44" max="44" width="9.22222222222222" style="267"/>
    <col min="45" max="46" width="11.2222222222222" style="630" customWidth="1"/>
    <col min="47" max="47" width="11.7777777777778" style="267" bestFit="1" customWidth="1"/>
    <col min="48" max="16384" width="9.22222222222222" style="267"/>
  </cols>
  <sheetData>
    <row r="1" spans="1:39" ht="14.4">
      <c r="A1" s="1691" t="s">
        <v>1625</v>
      </c>
      <c r="B1" s="1692"/>
      <c r="C1" s="1692"/>
      <c r="D1" s="1692"/>
      <c r="E1" s="1692"/>
      <c r="F1" s="1692"/>
      <c r="G1" s="1692"/>
      <c r="H1" s="1614"/>
      <c r="I1" s="1614"/>
      <c r="J1" s="1614"/>
      <c r="K1" s="1614"/>
      <c r="L1" s="1614"/>
      <c r="M1" s="1614"/>
      <c r="N1" s="1614"/>
      <c r="O1" s="267"/>
      <c r="P1" s="267"/>
      <c r="Q1" s="267"/>
      <c r="AB1" s="267"/>
      <c r="AC1" s="267"/>
      <c r="AD1" s="267"/>
      <c r="AE1" s="267"/>
      <c r="AJ1" s="267"/>
      <c r="AK1" s="267"/>
      <c r="AL1" s="267"/>
      <c r="AM1" s="267"/>
    </row>
    <row r="2" spans="15:39" ht="14.4">
      <c r="O2" s="267"/>
      <c r="P2" s="267"/>
      <c r="Q2" s="267"/>
      <c r="AB2" s="267"/>
      <c r="AC2" s="267"/>
      <c r="AD2" s="267"/>
      <c r="AE2" s="267"/>
      <c r="AJ2" s="267"/>
      <c r="AK2" s="267"/>
      <c r="AL2" s="267"/>
      <c r="AM2" s="267"/>
    </row>
    <row r="3" spans="15:39" ht="14.4">
      <c r="O3" s="267"/>
      <c r="P3" s="267"/>
      <c r="Q3" s="267"/>
      <c r="AB3" s="267"/>
      <c r="AC3" s="267"/>
      <c r="AD3" s="267"/>
      <c r="AE3" s="267"/>
      <c r="AJ3" s="267"/>
      <c r="AK3" s="267"/>
      <c r="AL3" s="267"/>
      <c r="AM3" s="267"/>
    </row>
    <row r="4" spans="1:39" ht="25.8">
      <c r="A4" s="1709" t="str">
        <f>"Clay "&amp;$T$4</f>
        <v>Clay 2015</v>
      </c>
      <c r="B4" s="1710"/>
      <c r="C4" s="1710"/>
      <c r="D4" s="1710"/>
      <c r="E4" s="1710"/>
      <c r="F4" s="1710"/>
      <c r="G4" s="1710"/>
      <c r="H4" s="1710"/>
      <c r="I4" s="1710"/>
      <c r="J4" s="1710"/>
      <c r="K4" s="1710"/>
      <c r="L4" s="1710"/>
      <c r="M4" s="1710"/>
      <c r="N4" s="1710"/>
      <c r="O4" s="267"/>
      <c r="P4" s="267"/>
      <c r="Q4" s="267"/>
      <c r="S4" s="490" t="s">
        <v>1160</v>
      </c>
      <c r="T4" s="490">
        <f>'Save Spend Summary'!$C$2</f>
        <v>2015</v>
      </c>
      <c r="AB4" s="267"/>
      <c r="AC4" s="267"/>
      <c r="AD4" s="267"/>
      <c r="AE4" s="267"/>
      <c r="AJ4" s="267"/>
      <c r="AK4" s="267"/>
      <c r="AL4" s="267"/>
      <c r="AM4" s="267"/>
    </row>
    <row r="5" spans="1:46" s="628" customFormat="1" ht="15" thickBot="1">
      <c r="A5" s="194"/>
      <c r="B5" s="194"/>
      <c r="C5" s="194"/>
      <c r="D5" s="194"/>
      <c r="E5" s="194"/>
      <c r="F5" s="194"/>
      <c r="G5" s="194"/>
      <c r="H5" s="194"/>
      <c r="I5" s="194"/>
      <c r="J5" s="194"/>
      <c r="K5" s="194"/>
      <c r="L5" s="194"/>
      <c r="N5" s="843"/>
      <c r="O5" s="628"/>
      <c r="P5" s="1780" t="s">
        <v>140</v>
      </c>
      <c r="Q5" s="1780"/>
      <c r="R5" s="585"/>
      <c r="AB5" s="628"/>
      <c r="AC5" s="628"/>
      <c r="AD5" s="628"/>
      <c r="AE5" s="628"/>
      <c r="AJ5" s="628"/>
      <c r="AK5" s="628"/>
      <c r="AL5" s="628"/>
      <c r="AM5" s="628"/>
      <c r="AS5" s="654"/>
      <c r="AT5" s="654"/>
    </row>
    <row r="6" spans="1:46" s="628" customFormat="1" ht="84.6" thickBot="1">
      <c r="A6" s="584" t="s">
        <v>139</v>
      </c>
      <c r="B6" s="251" t="s">
        <v>88</v>
      </c>
      <c r="C6" s="250" t="s">
        <v>87</v>
      </c>
      <c r="D6" s="249" t="s">
        <v>86</v>
      </c>
      <c r="F6" s="1711" t="s">
        <v>138</v>
      </c>
      <c r="G6" s="1712"/>
      <c r="H6" s="1712"/>
      <c r="I6" s="248" t="s">
        <v>80</v>
      </c>
      <c r="J6" s="248" t="s">
        <v>79</v>
      </c>
      <c r="K6" s="247" t="s">
        <v>95</v>
      </c>
      <c r="M6" s="246"/>
      <c r="N6" s="843"/>
      <c r="O6" s="628"/>
      <c r="P6" s="630" t="s">
        <v>137</v>
      </c>
      <c r="Q6" s="240">
        <v>98225.77</v>
      </c>
      <c r="R6" s="240"/>
      <c r="S6" s="1673" t="s">
        <v>834</v>
      </c>
      <c r="T6" s="1674"/>
      <c r="U6" s="1675"/>
      <c r="AB6" s="628"/>
      <c r="AC6" s="628"/>
      <c r="AD6" s="628"/>
      <c r="AE6" s="628"/>
      <c r="AJ6" s="628"/>
      <c r="AK6" s="628"/>
      <c r="AL6" s="628"/>
      <c r="AM6" s="628"/>
      <c r="AS6" s="654"/>
      <c r="AT6" s="654"/>
    </row>
    <row r="7" spans="1:46" s="628" customFormat="1" ht="15.6">
      <c r="A7" s="245" t="s">
        <v>136</v>
      </c>
      <c r="B7" s="244"/>
      <c r="C7" s="244"/>
      <c r="D7" s="243"/>
      <c r="F7" s="1676" t="s">
        <v>136</v>
      </c>
      <c r="G7" s="1677"/>
      <c r="H7" s="1678"/>
      <c r="I7" s="244"/>
      <c r="J7" s="244"/>
      <c r="K7" s="243"/>
      <c r="M7" s="844"/>
      <c r="N7" s="843"/>
      <c r="O7" s="628"/>
      <c r="P7" s="630" t="s">
        <v>135</v>
      </c>
      <c r="Q7" s="240">
        <v>259625.97</v>
      </c>
      <c r="R7" s="240"/>
      <c r="S7" s="386" t="s">
        <v>196</v>
      </c>
      <c r="T7" s="386" t="s">
        <v>194</v>
      </c>
      <c r="U7" s="386" t="s">
        <v>78</v>
      </c>
      <c r="AB7" s="628"/>
      <c r="AC7" s="628"/>
      <c r="AD7" s="628"/>
      <c r="AE7" s="628"/>
      <c r="AJ7" s="628"/>
      <c r="AK7" s="628"/>
      <c r="AL7" s="628"/>
      <c r="AM7" s="628"/>
      <c r="AS7" s="654"/>
      <c r="AT7" s="654"/>
    </row>
    <row r="8" spans="1:46" s="628" customFormat="1" ht="15.6">
      <c r="A8" s="209" t="s">
        <v>134</v>
      </c>
      <c r="B8" s="235">
        <f>$C$29</f>
        <v>150973.85815104519</v>
      </c>
      <c r="C8" s="207">
        <f>D29</f>
        <v>193808.40000000002</v>
      </c>
      <c r="D8" s="206">
        <f>SUM(B8:C8)</f>
        <v>344782.25815104519</v>
      </c>
      <c r="F8" s="1669" t="s">
        <v>134</v>
      </c>
      <c r="G8" s="1647"/>
      <c r="H8" s="1648"/>
      <c r="I8" s="239">
        <f>K29</f>
        <v>658.65125075790627</v>
      </c>
      <c r="J8" s="211">
        <f>L29</f>
        <v>8523.1441606240423</v>
      </c>
      <c r="K8" s="210">
        <f>M29</f>
        <v>219.71904371294184</v>
      </c>
      <c r="N8" s="843"/>
      <c r="O8" s="628"/>
      <c r="P8" s="630" t="s">
        <v>133</v>
      </c>
      <c r="Q8" s="240">
        <v>205584.99</v>
      </c>
      <c r="R8" s="240"/>
      <c r="S8" s="382" t="s">
        <v>833</v>
      </c>
      <c r="T8" s="385">
        <f>'Seminole Avoided Cost'!$C$8</f>
        <v>0.06</v>
      </c>
      <c r="U8" s="651" t="s">
        <v>1120</v>
      </c>
      <c r="AB8" s="628"/>
      <c r="AC8" s="628"/>
      <c r="AD8" s="628"/>
      <c r="AE8" s="628"/>
      <c r="AJ8" s="628"/>
      <c r="AK8" s="628"/>
      <c r="AL8" s="628"/>
      <c r="AM8" s="628"/>
      <c r="AS8" s="654"/>
      <c r="AT8" s="654"/>
    </row>
    <row r="9" spans="1:46" s="628" customFormat="1" ht="15.6">
      <c r="A9" s="209" t="s">
        <v>132</v>
      </c>
      <c r="B9" s="235">
        <f>C38</f>
        <v>0</v>
      </c>
      <c r="C9" s="207">
        <f>D38</f>
        <v>0</v>
      </c>
      <c r="D9" s="206">
        <f>SUM(B9:C9)</f>
        <v>0</v>
      </c>
      <c r="F9" s="1669" t="s">
        <v>132</v>
      </c>
      <c r="G9" s="1647"/>
      <c r="H9" s="1648"/>
      <c r="I9" s="239">
        <f>K38</f>
        <v>1.3341899999999998</v>
      </c>
      <c r="J9" s="239">
        <f>L38</f>
        <v>16.499999999999996</v>
      </c>
      <c r="K9" s="333">
        <f>M38</f>
        <v>0</v>
      </c>
      <c r="N9" s="843"/>
      <c r="O9" s="628"/>
      <c r="P9" s="238" t="s">
        <v>131</v>
      </c>
      <c r="Q9" s="237">
        <f>Q6+Q7-Q8</f>
        <v>152266.75</v>
      </c>
      <c r="R9" s="237"/>
      <c r="S9" s="382" t="s">
        <v>832</v>
      </c>
      <c r="T9" s="652">
        <v>0</v>
      </c>
      <c r="U9" s="651" t="s">
        <v>857</v>
      </c>
      <c r="AB9" s="628"/>
      <c r="AC9" s="628"/>
      <c r="AD9" s="628"/>
      <c r="AE9" s="628"/>
      <c r="AJ9" s="628"/>
      <c r="AK9" s="628"/>
      <c r="AL9" s="628"/>
      <c r="AM9" s="628"/>
      <c r="AS9" s="654"/>
      <c r="AT9" s="654"/>
    </row>
    <row r="10" spans="1:46" s="628" customFormat="1" ht="16.2" thickBot="1">
      <c r="A10" s="236" t="s">
        <v>130</v>
      </c>
      <c r="B10" s="235">
        <f>C46</f>
        <v>0</v>
      </c>
      <c r="C10" s="207">
        <f>D46</f>
        <v>0</v>
      </c>
      <c r="D10" s="229">
        <f>SUM(B10:C10)</f>
        <v>0</v>
      </c>
      <c r="F10" s="1670" t="s">
        <v>130</v>
      </c>
      <c r="G10" s="1671"/>
      <c r="H10" s="1672"/>
      <c r="I10" s="234">
        <f>K48</f>
        <v>458.83055572858456</v>
      </c>
      <c r="J10" s="233">
        <f>L48</f>
        <v>935.12453772858476</v>
      </c>
      <c r="K10" s="232">
        <f>M48</f>
        <v>17317.134568703998</v>
      </c>
      <c r="N10" s="843"/>
      <c r="O10" s="628"/>
      <c r="S10" s="382" t="s">
        <v>831</v>
      </c>
      <c r="T10" s="652">
        <v>0</v>
      </c>
      <c r="U10" s="651" t="s">
        <v>857</v>
      </c>
      <c r="AB10" s="628"/>
      <c r="AC10" s="628"/>
      <c r="AD10" s="628"/>
      <c r="AE10" s="628"/>
      <c r="AJ10" s="628"/>
      <c r="AK10" s="628"/>
      <c r="AL10" s="628"/>
      <c r="AM10" s="628"/>
      <c r="AS10" s="654"/>
      <c r="AT10" s="654"/>
    </row>
    <row r="11" spans="1:46" s="628" customFormat="1" ht="16.8" thickTop="1" thickBot="1">
      <c r="A11" s="231" t="s">
        <v>129</v>
      </c>
      <c r="B11" s="230">
        <v>0</v>
      </c>
      <c r="C11" s="208"/>
      <c r="D11" s="229">
        <f>SUM(B11:C11)</f>
        <v>0</v>
      </c>
      <c r="F11" s="1665" t="s">
        <v>128</v>
      </c>
      <c r="G11" s="1666"/>
      <c r="H11" s="1667"/>
      <c r="I11" s="228">
        <f>SUM(I8:I10)</f>
        <v>1118.8159964864908</v>
      </c>
      <c r="J11" s="228">
        <f>SUM(J8:J10)</f>
        <v>9474.7686983526273</v>
      </c>
      <c r="K11" s="227">
        <f>SUM(K8:K10)</f>
        <v>17536.85361241694</v>
      </c>
      <c r="N11" s="843"/>
      <c r="O11" s="628"/>
      <c r="S11" s="382" t="s">
        <v>830</v>
      </c>
      <c r="T11" s="652">
        <v>0</v>
      </c>
      <c r="U11" s="651" t="s">
        <v>857</v>
      </c>
      <c r="AB11" s="628"/>
      <c r="AC11" s="628"/>
      <c r="AD11" s="628"/>
      <c r="AE11" s="628"/>
      <c r="AJ11" s="628"/>
      <c r="AK11" s="628"/>
      <c r="AL11" s="628"/>
      <c r="AM11" s="628"/>
      <c r="AS11" s="654"/>
      <c r="AT11" s="654"/>
    </row>
    <row r="12" spans="1:46" s="341" customFormat="1" ht="16.2" thickTop="1">
      <c r="A12" s="226" t="s">
        <v>128</v>
      </c>
      <c r="B12" s="225">
        <f>SUM(B8:B11)</f>
        <v>150973.85815104519</v>
      </c>
      <c r="C12" s="224">
        <f>SUM(C8:C11)</f>
        <v>193808.40000000002</v>
      </c>
      <c r="D12" s="223">
        <f>SUM(D8:D11)</f>
        <v>344782.25815104519</v>
      </c>
      <c r="F12" s="1668" t="s">
        <v>127</v>
      </c>
      <c r="G12" s="1662"/>
      <c r="H12" s="1663"/>
      <c r="I12" s="222"/>
      <c r="J12" s="222"/>
      <c r="K12" s="221"/>
      <c r="N12" s="845"/>
      <c r="O12" s="341"/>
      <c r="S12" s="382" t="s">
        <v>829</v>
      </c>
      <c r="T12" s="383">
        <f>VLOOKUP($U12,'2015 Annual Sales and Revenue '!$B$3:$H$29,7,FALSE)</f>
        <v>0.12227100680428435</v>
      </c>
      <c r="U12" s="651" t="s">
        <v>1148</v>
      </c>
      <c r="AB12" s="341"/>
      <c r="AC12" s="341"/>
      <c r="AD12" s="341"/>
      <c r="AE12" s="341"/>
      <c r="AJ12" s="341"/>
      <c r="AK12" s="341"/>
      <c r="AL12" s="341"/>
      <c r="AM12" s="341"/>
      <c r="AS12" s="656"/>
      <c r="AT12" s="656"/>
    </row>
    <row r="13" spans="1:46" s="628" customFormat="1" ht="15.6">
      <c r="A13" s="220" t="s">
        <v>127</v>
      </c>
      <c r="B13" s="219"/>
      <c r="C13" s="219"/>
      <c r="D13" s="218"/>
      <c r="F13" s="1669" t="s">
        <v>126</v>
      </c>
      <c r="G13" s="1647"/>
      <c r="H13" s="1648"/>
      <c r="I13" s="217">
        <f>K33</f>
        <v>0</v>
      </c>
      <c r="J13" s="217">
        <f>L33</f>
        <v>0</v>
      </c>
      <c r="K13" s="216">
        <f>M33</f>
        <v>0</v>
      </c>
      <c r="N13" s="843"/>
      <c r="O13" s="628"/>
      <c r="S13" s="382" t="s">
        <v>856</v>
      </c>
      <c r="T13" s="383">
        <f>VLOOKUP($U13,'2015 Annual Sales and Revenue '!$B$3:$H$29,7,FALSE)</f>
        <v>0.11601786528653454</v>
      </c>
      <c r="U13" s="651" t="s">
        <v>1149</v>
      </c>
      <c r="AB13" s="628"/>
      <c r="AC13" s="628"/>
      <c r="AD13" s="628"/>
      <c r="AE13" s="628"/>
      <c r="AJ13" s="628"/>
      <c r="AK13" s="628"/>
      <c r="AL13" s="628"/>
      <c r="AM13" s="628"/>
      <c r="AS13" s="654"/>
      <c r="AT13" s="654"/>
    </row>
    <row r="14" spans="1:42" s="628" customFormat="1" ht="15" thickBot="1">
      <c r="A14" s="215" t="s">
        <v>126</v>
      </c>
      <c r="B14" s="214">
        <f>C33</f>
        <v>0</v>
      </c>
      <c r="C14" s="213">
        <f>D33</f>
        <v>0</v>
      </c>
      <c r="D14" s="212">
        <f>SUM(B14:C14)</f>
        <v>0</v>
      </c>
      <c r="F14" s="1670" t="s">
        <v>125</v>
      </c>
      <c r="G14" s="1671"/>
      <c r="H14" s="1672"/>
      <c r="I14" s="211">
        <f>K41</f>
        <v>0</v>
      </c>
      <c r="J14" s="211">
        <f>L41</f>
        <v>0</v>
      </c>
      <c r="K14" s="210">
        <f>M41</f>
        <v>0</v>
      </c>
      <c r="N14" s="843"/>
      <c r="O14" s="628"/>
      <c r="AB14" s="628"/>
      <c r="AC14" s="628"/>
      <c r="AD14" s="628"/>
      <c r="AE14" s="628"/>
      <c r="AJ14" s="628"/>
      <c r="AK14" s="628"/>
      <c r="AL14" s="628"/>
      <c r="AM14" s="628"/>
      <c r="AO14" s="654"/>
      <c r="AP14" s="654"/>
    </row>
    <row r="15" spans="1:42" s="628" customFormat="1" ht="15" thickBot="1">
      <c r="A15" s="209" t="s">
        <v>124</v>
      </c>
      <c r="B15" s="208">
        <f>C42</f>
        <v>0</v>
      </c>
      <c r="C15" s="207">
        <f>D42</f>
        <v>0</v>
      </c>
      <c r="D15" s="206">
        <f>SUM(B15:C15)</f>
        <v>0</v>
      </c>
      <c r="F15" s="1706" t="s">
        <v>123</v>
      </c>
      <c r="G15" s="1707"/>
      <c r="H15" s="1708"/>
      <c r="I15" s="205">
        <f>SUM(I13:I14)</f>
        <v>0</v>
      </c>
      <c r="J15" s="205">
        <f>SUM(J13:J14)</f>
        <v>0</v>
      </c>
      <c r="K15" s="204">
        <f>SUM(K13:K14)</f>
        <v>0</v>
      </c>
      <c r="N15" s="843"/>
      <c r="O15" s="628"/>
      <c r="AB15" s="628"/>
      <c r="AC15" s="628"/>
      <c r="AD15" s="628"/>
      <c r="AE15" s="628"/>
      <c r="AJ15" s="628"/>
      <c r="AK15" s="628"/>
      <c r="AL15" s="628"/>
      <c r="AM15" s="628"/>
      <c r="AO15" s="654"/>
      <c r="AP15" s="654"/>
    </row>
    <row r="16" spans="1:46" s="628" customFormat="1" ht="16.2" thickBot="1">
      <c r="A16" s="203" t="s">
        <v>123</v>
      </c>
      <c r="B16" s="202">
        <f>SUM(B14:B15)</f>
        <v>0</v>
      </c>
      <c r="C16" s="202">
        <f>SUM(C14:C15)</f>
        <v>0</v>
      </c>
      <c r="D16" s="201">
        <f>SUM(D14:D15)</f>
        <v>0</v>
      </c>
      <c r="F16" s="1762" t="s">
        <v>656</v>
      </c>
      <c r="G16" s="1763"/>
      <c r="H16" s="1764"/>
      <c r="I16" s="200">
        <f>SUM(I11,I15)</f>
        <v>1118.8159964864908</v>
      </c>
      <c r="J16" s="200">
        <f>SUM(J11,J15)</f>
        <v>9474.7686983526273</v>
      </c>
      <c r="K16" s="199">
        <f>SUM(K11,K15)</f>
        <v>17536.85361241694</v>
      </c>
      <c r="N16" s="843"/>
      <c r="O16" s="628"/>
      <c r="AB16" s="628"/>
      <c r="AC16" s="628"/>
      <c r="AD16" s="628"/>
      <c r="AE16" s="628"/>
      <c r="AJ16" s="628"/>
      <c r="AK16" s="628"/>
      <c r="AL16" s="628"/>
      <c r="AM16" s="628"/>
      <c r="AS16" s="654"/>
      <c r="AT16" s="654"/>
    </row>
    <row r="17" spans="1:46" s="628" customFormat="1" ht="16.2" thickBot="1">
      <c r="A17" s="198" t="s">
        <v>656</v>
      </c>
      <c r="B17" s="197">
        <f>SUM(B12,B16)</f>
        <v>150973.85815104519</v>
      </c>
      <c r="C17" s="197">
        <f>SUM(C12,C16)</f>
        <v>193808.40000000002</v>
      </c>
      <c r="D17" s="196">
        <f>SUM(D12,D16)</f>
        <v>344782.25815104519</v>
      </c>
      <c r="N17" s="843"/>
      <c r="O17" s="628"/>
      <c r="AB17" s="628"/>
      <c r="AC17" s="628"/>
      <c r="AD17" s="628"/>
      <c r="AE17" s="628"/>
      <c r="AJ17" s="628"/>
      <c r="AK17" s="628"/>
      <c r="AL17" s="628"/>
      <c r="AM17" s="628"/>
      <c r="AS17" s="654"/>
      <c r="AT17" s="654"/>
    </row>
    <row r="18" spans="1:46" s="628" customFormat="1" ht="15" thickBot="1">
      <c r="A18" s="195"/>
      <c r="B18" s="195"/>
      <c r="C18" s="194"/>
      <c r="D18" s="194"/>
      <c r="E18" s="194"/>
      <c r="F18" s="194"/>
      <c r="G18" s="194"/>
      <c r="H18" s="194"/>
      <c r="I18" s="194"/>
      <c r="J18" s="194"/>
      <c r="K18" s="194"/>
      <c r="N18" s="843"/>
      <c r="O18" s="628"/>
      <c r="AB18" s="1627" t="s">
        <v>1161</v>
      </c>
      <c r="AC18" s="1627"/>
      <c r="AD18" s="1627"/>
      <c r="AE18" s="1627"/>
      <c r="AJ18" s="1627" t="s">
        <v>1161</v>
      </c>
      <c r="AK18" s="1627"/>
      <c r="AL18" s="1627"/>
      <c r="AM18" s="1627"/>
      <c r="AS18" s="654"/>
      <c r="AT18" s="654"/>
    </row>
    <row r="19" spans="1:45" ht="21.6" thickBot="1">
      <c r="A19" s="1766" t="s">
        <v>122</v>
      </c>
      <c r="B19" s="1766"/>
      <c r="C19" s="1766"/>
      <c r="D19" s="1766"/>
      <c r="E19" s="1766"/>
      <c r="F19" s="1766"/>
      <c r="G19" s="1766"/>
      <c r="H19" s="1766"/>
      <c r="I19" s="1766"/>
      <c r="J19" s="1766"/>
      <c r="K19" s="1766"/>
      <c r="L19" s="1766"/>
      <c r="M19" s="1766"/>
      <c r="N19" s="1766"/>
      <c r="O19" s="267"/>
      <c r="S19" s="1777" t="s">
        <v>855</v>
      </c>
      <c r="T19" s="1768"/>
      <c r="U19" s="1768"/>
      <c r="V19" s="1768"/>
      <c r="W19" s="1768"/>
      <c r="X19" s="1768"/>
      <c r="Y19" s="1768"/>
      <c r="Z19" s="1768"/>
      <c r="AA19" s="1778"/>
      <c r="AB19" s="1767" t="s">
        <v>854</v>
      </c>
      <c r="AC19" s="1768"/>
      <c r="AD19" s="1768"/>
      <c r="AE19" s="1768"/>
      <c r="AF19" s="1768"/>
      <c r="AG19" s="1768"/>
      <c r="AH19" s="1768"/>
      <c r="AI19" s="1768"/>
      <c r="AJ19" s="1768"/>
      <c r="AK19" s="1768"/>
      <c r="AL19" s="1768"/>
      <c r="AM19" s="1768"/>
      <c r="AN19" s="1768"/>
      <c r="AO19" s="1768"/>
      <c r="AP19" s="1768"/>
      <c r="AQ19" s="1769"/>
      <c r="AR19" s="629"/>
      <c r="AS19" s="341"/>
    </row>
    <row r="20" spans="1:47" s="1470" customFormat="1" ht="15.6">
      <c r="A20" s="1438"/>
      <c r="B20" s="1438"/>
      <c r="C20" s="1520" t="s">
        <v>121</v>
      </c>
      <c r="D20" s="1520"/>
      <c r="E20" s="1520"/>
      <c r="F20" s="1765" t="s">
        <v>120</v>
      </c>
      <c r="G20" s="1765"/>
      <c r="H20" s="1765"/>
      <c r="I20" s="1765"/>
      <c r="J20" s="1765"/>
      <c r="K20" s="1765"/>
      <c r="L20" s="1765"/>
      <c r="M20" s="1440"/>
      <c r="N20" s="1525"/>
      <c r="O20" s="1470"/>
      <c r="S20" s="1770"/>
      <c r="T20" s="1771"/>
      <c r="U20" s="1771"/>
      <c r="V20" s="1771"/>
      <c r="W20" s="1771"/>
      <c r="X20" s="1771"/>
      <c r="Y20" s="1771"/>
      <c r="Z20" s="1771"/>
      <c r="AA20" s="1772"/>
      <c r="AB20" s="1773" t="s">
        <v>853</v>
      </c>
      <c r="AC20" s="1774"/>
      <c r="AD20" s="1774"/>
      <c r="AE20" s="1775"/>
      <c r="AF20" s="1773" t="s">
        <v>852</v>
      </c>
      <c r="AG20" s="1774"/>
      <c r="AH20" s="1774"/>
      <c r="AI20" s="1775"/>
      <c r="AJ20" s="1773" t="s">
        <v>851</v>
      </c>
      <c r="AK20" s="1774"/>
      <c r="AL20" s="1774"/>
      <c r="AM20" s="1775"/>
      <c r="AN20" s="1773" t="s">
        <v>850</v>
      </c>
      <c r="AO20" s="1774"/>
      <c r="AP20" s="1774"/>
      <c r="AQ20" s="1776"/>
      <c r="AR20" s="1488"/>
      <c r="AS20" s="1779" t="s">
        <v>849</v>
      </c>
      <c r="AT20" s="1775"/>
      <c r="AU20" s="408" t="s">
        <v>858</v>
      </c>
    </row>
    <row r="21" spans="1:47" s="1470" customFormat="1" ht="62.4">
      <c r="A21" s="434" t="s">
        <v>119</v>
      </c>
      <c r="B21" s="434" t="s">
        <v>89</v>
      </c>
      <c r="C21" s="434" t="s">
        <v>88</v>
      </c>
      <c r="D21" s="1346" t="s">
        <v>87</v>
      </c>
      <c r="E21" s="434" t="s">
        <v>86</v>
      </c>
      <c r="F21" s="434" t="s">
        <v>85</v>
      </c>
      <c r="G21" s="434" t="s">
        <v>84</v>
      </c>
      <c r="H21" s="434" t="s">
        <v>97</v>
      </c>
      <c r="I21" s="434" t="s">
        <v>82</v>
      </c>
      <c r="J21" s="434" t="s">
        <v>96</v>
      </c>
      <c r="K21" s="434" t="s">
        <v>80</v>
      </c>
      <c r="L21" s="434" t="s">
        <v>79</v>
      </c>
      <c r="M21" s="434" t="s">
        <v>95</v>
      </c>
      <c r="N21" s="434" t="s">
        <v>78</v>
      </c>
      <c r="O21" s="1470"/>
      <c r="P21" s="1489" t="str">
        <f>K21&amp;" Weighting"</f>
        <v>Total Annual MWh Weighting</v>
      </c>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1488"/>
      <c r="AS21" s="397" t="s">
        <v>791</v>
      </c>
      <c r="AT21" s="386" t="s">
        <v>1164</v>
      </c>
      <c r="AU21" s="398" t="s">
        <v>752</v>
      </c>
    </row>
    <row r="22" spans="1:47" s="1470" customFormat="1" ht="31.2">
      <c r="A22" s="1468" t="s">
        <v>118</v>
      </c>
      <c r="B22" s="1521" t="s">
        <v>117</v>
      </c>
      <c r="C22" s="1467">
        <v>0</v>
      </c>
      <c r="D22" s="1467">
        <v>1847</v>
      </c>
      <c r="E22" s="1467">
        <f t="shared" si="0" ref="E22:E28">SUM(C22:D22)</f>
        <v>1847</v>
      </c>
      <c r="F22" s="1474" t="s">
        <v>116</v>
      </c>
      <c r="G22" s="1522">
        <v>200</v>
      </c>
      <c r="H22" s="175">
        <f>'10W LED Giveaway Savings'!$D$14</f>
        <v>27.962927999999998</v>
      </c>
      <c r="I22" s="1527">
        <f>'10W LED Giveaway Savings'!$D$16</f>
        <v>0.0032465836575875486</v>
      </c>
      <c r="J22" s="175">
        <f>'10W LED Giveaway Savings'!$D$13</f>
        <v>20</v>
      </c>
      <c r="K22" s="1356">
        <f t="shared" si="1" ref="K22:K28">(G22*H22)/1000</f>
        <v>5.5925855999999996</v>
      </c>
      <c r="L22" s="1356">
        <f t="shared" si="2" ref="L22:L28">J22*K22</f>
        <v>111.85171199999999</v>
      </c>
      <c r="M22" s="176">
        <f t="shared" si="3" ref="M22:M28">G22*I22</f>
        <v>0.64931673151750968</v>
      </c>
      <c r="N22" s="1490" t="s">
        <v>115</v>
      </c>
      <c r="O22" s="1470"/>
      <c r="P22" s="1491">
        <f t="shared" si="4" ref="P22:P28">K22/$K$29</f>
        <v>0.0084909663400238641</v>
      </c>
      <c r="S22" s="1492">
        <f>IFERROR(IF(G22/$G$29=0,0,G22/$G$29),"")</f>
        <v>0.00094288697849510524</v>
      </c>
      <c r="T22" s="1493" t="s">
        <v>836</v>
      </c>
      <c r="U22" s="1493" t="s">
        <v>835</v>
      </c>
      <c r="V22" s="1494">
        <v>0.90</v>
      </c>
      <c r="W22" s="1495">
        <f>IF($H22*$T$12=0,"",$H22*$T$12)</f>
        <v>3.419055359755713</v>
      </c>
      <c r="X22" s="1495">
        <f>IFERROR($W22*((1+$T$9)/(1+$T$8)*(1-((1+$T$9)/(1+$T$8))^$J22)/(1-((1+$T$9)/(1+$T$8)))),"")</f>
        <v>39.2162956183113</v>
      </c>
      <c r="Y22" s="1496">
        <f>IFERROR(D22/G22,"")</f>
        <v>9.2349999999999994</v>
      </c>
      <c r="Z22" s="1497">
        <v>5</v>
      </c>
      <c r="AA22" s="1498"/>
      <c r="AB22" s="1497">
        <f>IFERROR(($AS22*$H22*$V22*((1+$T$11)/(1+$T$8)*(1-((1+$T$11)/(1+$T$8))^$J22)/(1-((1+$T$11)/(1+$T$8)))))+($AT$22*$I22),"")</f>
        <v>16.486134392744322</v>
      </c>
      <c r="AC22" s="1497">
        <f>IFERROR((SUM($C22)/$G22)+($Z22*$V22),"")</f>
        <v>4.50</v>
      </c>
      <c r="AD22" s="1499">
        <f>IFERROR(IF(AB22="","",AB22-AC22),"")</f>
        <v>11.986134392744322</v>
      </c>
      <c r="AE22" s="1500">
        <f>IFERROR(AB22/AC22,"")</f>
        <v>3.6635854206098495</v>
      </c>
      <c r="AF22" s="1497">
        <f>IFERROR(($AS22*$H22*$V22*((1+$T$11)/(1+$T$8)*(1-((1+$T$11)/(1+$T$8))^$J22)/(1-((1+$T$11)/(1+$T$8)))))+($AT22*$I22),"")</f>
        <v>16.486134392744322</v>
      </c>
      <c r="AG22" s="1499">
        <f>IFERROR(-PV($T$8,1,($E22/$G22)),"")</f>
        <v>8.7122641509434029</v>
      </c>
      <c r="AH22" s="1499">
        <f>IFERROR(IF(AF22="","",AF22-AG22),"")</f>
        <v>7.7738702418009193</v>
      </c>
      <c r="AI22" s="1500">
        <f>IFERROR(AF22/AG22,"")</f>
        <v>1.8922904663030826</v>
      </c>
      <c r="AJ22" s="1499">
        <f>IFERROR(-PV($T$8,$J22,$W22)+($Y22),"")</f>
        <v>48.451295618311335</v>
      </c>
      <c r="AK22" s="1499">
        <f>IF(Z22="","",Z22)</f>
        <v>5</v>
      </c>
      <c r="AL22" s="1499">
        <f>IFERROR(IF(AJ22="","",AJ22-AK22),"")</f>
        <v>43.451295618311335</v>
      </c>
      <c r="AM22" s="1500">
        <f>IFERROR(AJ22/AK22,"")</f>
        <v>9.6902591236622673</v>
      </c>
      <c r="AN22" s="1499">
        <f>IFERROR(($AS22*$H22*$V22*((1+$T$11)/(1+$T$8)*(1-((1+$T$11)/(1+$T$8))^$J22)/(1-((1+$T$11)/(1+$T$8)))))+($AT22*$I22),"")</f>
        <v>16.486134392744322</v>
      </c>
      <c r="AO22" s="1501">
        <f>IFERROR((SUM($C22)/$G22)+X22+Y22,"")</f>
        <v>48.451295618311299</v>
      </c>
      <c r="AP22" s="1499">
        <f>IFERROR(IF(AN22="","",AN22-AO22),"")</f>
        <v>-31.965161225566977</v>
      </c>
      <c r="AQ22" s="1502">
        <f>IFERROR(AN22/AO22,"")</f>
        <v>0.34026199263314816</v>
      </c>
      <c r="AR22" s="1488"/>
      <c r="AS22" s="1503">
        <f>IFERROR(VLOOKUP(ROUND($J22,0),'Seminole Avoided Cost'!$B$15:$Y$41,8,FALSE),"")</f>
        <v>0.055449999999999999</v>
      </c>
      <c r="AT22" s="1504">
        <f>IFERROR(VLOOKUP(ROUND($J22,0),'Seminole Avoided Cost'!$B$15:$Y$41,24,FALSE),"")</f>
        <v>147.83999999999998</v>
      </c>
      <c r="AU22" s="1505">
        <f t="shared" si="5" ref="AU22:AU29">IFERROR(SUM(C22)/G22,"")</f>
        <v>0</v>
      </c>
    </row>
    <row r="23" spans="1:47" s="1506" customFormat="1" ht="46.8">
      <c r="A23" s="1468" t="s">
        <v>107</v>
      </c>
      <c r="B23" s="1521" t="s">
        <v>114</v>
      </c>
      <c r="C23" s="1467">
        <f t="shared" si="6" ref="C23:C28">$Q$9*P23</f>
        <v>16997.263859578372</v>
      </c>
      <c r="D23" s="1467">
        <f>'Clay Heat Pump Water Heaters'!$C$9</f>
        <v>8050</v>
      </c>
      <c r="E23" s="1348">
        <f t="shared" si="0"/>
        <v>25047.263859578372</v>
      </c>
      <c r="F23" s="1474" t="s">
        <v>112</v>
      </c>
      <c r="G23" s="1522">
        <f>'Clay Heat Pump Water Heaters'!$E$9</f>
        <v>46</v>
      </c>
      <c r="H23" s="175">
        <f>'Clay Heat Pump Water Heaters'!$D$36/$G23</f>
        <v>1598.3490501364065</v>
      </c>
      <c r="I23" s="1527">
        <f>('Clay Heat Pump Water Heaters'!$I$4)*$H$23</f>
        <v>-0.63173149898532777</v>
      </c>
      <c r="J23" s="175">
        <f>'Clay Heat Pump Water Heaters'!$I$3</f>
        <v>10</v>
      </c>
      <c r="K23" s="1355">
        <f t="shared" si="1"/>
        <v>73.524056306274701</v>
      </c>
      <c r="L23" s="1355">
        <f t="shared" si="2"/>
        <v>735.24056306274701</v>
      </c>
      <c r="M23" s="164">
        <f t="shared" si="3"/>
        <v>-29.059648953325077</v>
      </c>
      <c r="N23" s="1490" t="s">
        <v>104</v>
      </c>
      <c r="O23" s="1506"/>
      <c r="P23" s="1491">
        <f t="shared" si="4"/>
        <v>0.11162820418494762</v>
      </c>
      <c r="S23" s="1492">
        <f t="shared" si="7" ref="S23:S28">IFERROR(IF(G23/$G$29=0,0,G23/$G$29),"")</f>
        <v>0.00021686400505387419</v>
      </c>
      <c r="T23" s="1493" t="s">
        <v>836</v>
      </c>
      <c r="U23" s="1493" t="s">
        <v>835</v>
      </c>
      <c r="V23" s="1494">
        <v>0.90</v>
      </c>
      <c r="W23" s="1495">
        <f t="shared" si="8" ref="W23:W28">IF($H23*$T$12=0,"",$H23*$T$12)</f>
        <v>195.43174758484997</v>
      </c>
      <c r="X23" s="1495">
        <f t="shared" si="9" ref="X23:X28">IFERROR($W23*((1+$T$9)/(1+$T$8)*(1-((1+$T$9)/(1+$T$8))^$J23)/(1-((1+$T$9)/(1+$T$8)))),"")</f>
        <v>1438.3946748345991</v>
      </c>
      <c r="Y23" s="1496">
        <f t="shared" si="10" ref="Y23:Y28">IFERROR(D23/G23,"")</f>
        <v>175</v>
      </c>
      <c r="Z23" s="1497">
        <v>5</v>
      </c>
      <c r="AA23" s="1498"/>
      <c r="AB23" s="1497">
        <f t="shared" si="11" ref="AB23:AB28">IFERROR(($AS23*$H23*$V23*((1+$T$11)/(1+$T$8)*(1-((1+$T$11)/(1+$T$8))^$J23)/(1-((1+$T$11)/(1+$T$8)))))+($AT$22*$I23),"")</f>
        <v>314.75638396925439</v>
      </c>
      <c r="AC23" s="1497">
        <f t="shared" si="12" ref="AC23:AC28">IFERROR((SUM($C23)/$G23)+($Z23*$V23),"")</f>
        <v>374.00573607779069</v>
      </c>
      <c r="AD23" s="1499">
        <f t="shared" si="13" ref="AD23:AD28">IFERROR(IF(AB23="","",AB23-AC23),"")</f>
        <v>-59.2493521085363</v>
      </c>
      <c r="AE23" s="1500">
        <f t="shared" si="14" ref="AE23:AE28">IFERROR(AB23/AC23,"")</f>
        <v>0.84158170211535788</v>
      </c>
      <c r="AF23" s="1497">
        <f t="shared" si="15" ref="AF23:AF28">IFERROR(($AS23*$H23*$V23*((1+$T$11)/(1+$T$8)*(1-((1+$T$11)/(1+$T$8))^$J23)/(1-((1+$T$11)/(1+$T$8)))))+($AT23*$I23),"")</f>
        <v>338.63583463089975</v>
      </c>
      <c r="AG23" s="1499">
        <f t="shared" si="16" ref="AG23:AG28">IFERROR(-PV($T$8,1,($E23/$G23)),"")</f>
        <v>513.68465667716146</v>
      </c>
      <c r="AH23" s="1499">
        <f t="shared" si="17" ref="AH23:AH28">IFERROR(IF(AF23="","",AF23-AG23),"")</f>
        <v>-175.04882204626171</v>
      </c>
      <c r="AI23" s="1500">
        <f t="shared" si="18" ref="AI23:AI28">IFERROR(AF23/AG23,"")</f>
        <v>0.65922902354415525</v>
      </c>
      <c r="AJ23" s="1499">
        <f t="shared" si="19" ref="AJ23:AJ28">IFERROR(-PV($T$8,$J23,$W23)+($Y23),"")</f>
        <v>1613.3946748346009</v>
      </c>
      <c r="AK23" s="1499">
        <f t="shared" si="20" ref="AK23:AK28">IF(Z23="","",Z23)</f>
        <v>5</v>
      </c>
      <c r="AL23" s="1499">
        <f t="shared" si="21" ref="AL23:AL28">IFERROR(IF(AJ23="","",AJ23-AK23),"")</f>
        <v>1608.3946748346009</v>
      </c>
      <c r="AM23" s="1500">
        <f t="shared" si="22" ref="AM23:AM28">IFERROR(AJ23/AK23,"")</f>
        <v>322.67893496692017</v>
      </c>
      <c r="AN23" s="1499">
        <f t="shared" si="23" ref="AN23:AN28">IFERROR(($AS23*$H23*$V23*((1+$T$11)/(1+$T$8)*(1-((1+$T$11)/(1+$T$8))^$J23)/(1-((1+$T$11)/(1+$T$8)))))+($AT23*$I23),"")</f>
        <v>338.63583463089975</v>
      </c>
      <c r="AO23" s="1501">
        <f t="shared" si="24" ref="AO23:AO28">IFERROR((SUM($C23)/$G23)+X23+Y23,"")</f>
        <v>1982.9004109123898</v>
      </c>
      <c r="AP23" s="1499">
        <f t="shared" si="25" ref="AP23:AP28">IFERROR(IF(AN23="","",AN23-AO23),"")</f>
        <v>-1644.26457628149</v>
      </c>
      <c r="AQ23" s="1502">
        <f t="shared" si="26" ref="AQ23:AQ28">IFERROR(AN23/AO23,"")</f>
        <v>0.1707780344223559</v>
      </c>
      <c r="AR23" s="1488"/>
      <c r="AS23" s="1503">
        <f>IFERROR(VLOOKUP(ROUND($J23,0),'Seminole Avoided Cost'!$B$15:$Y$41,8,FALSE),"")</f>
        <v>0.038550000000000001</v>
      </c>
      <c r="AT23" s="1504">
        <f>IFERROR(VLOOKUP(ROUND($J23,0),'Seminole Avoided Cost'!$B$15:$Y$41,24,FALSE),"")</f>
        <v>110.03999999999999</v>
      </c>
      <c r="AU23" s="1505">
        <f t="shared" si="5"/>
        <v>369.50573607779069</v>
      </c>
    </row>
    <row r="24" spans="1:47" s="1506" customFormat="1" ht="46.8">
      <c r="A24" s="1468" t="s">
        <v>107</v>
      </c>
      <c r="B24" s="1521" t="s">
        <v>113</v>
      </c>
      <c r="C24" s="1467">
        <f t="shared" si="6"/>
        <v>4714.3305289437758</v>
      </c>
      <c r="D24" s="1467">
        <f>'Clay Solar Water Heaters'!$C$8</f>
        <v>6288</v>
      </c>
      <c r="E24" s="1348">
        <f t="shared" si="0"/>
        <v>11002.330528943776</v>
      </c>
      <c r="F24" s="1474" t="s">
        <v>112</v>
      </c>
      <c r="G24" s="1522">
        <f>'Clay Solar Water Heaters'!$E$8</f>
        <v>15</v>
      </c>
      <c r="H24" s="175">
        <f>'Clay Solar Water Heaters'!$D$8/$G24</f>
        <v>1359.50</v>
      </c>
      <c r="I24" s="1527">
        <f>'Clay Solar Water Heaters'!$I$15</f>
        <v>0.20</v>
      </c>
      <c r="J24" s="175">
        <f>'Clay Solar Water Heaters'!$I$13</f>
        <v>20</v>
      </c>
      <c r="K24" s="1355">
        <f t="shared" si="1"/>
        <v>20.392499999999998</v>
      </c>
      <c r="L24" s="1355">
        <f t="shared" si="2"/>
        <v>407.85</v>
      </c>
      <c r="M24" s="164">
        <f t="shared" si="3"/>
        <v>3</v>
      </c>
      <c r="N24" s="1490" t="s">
        <v>104</v>
      </c>
      <c r="O24" s="1506"/>
      <c r="P24" s="1491">
        <f t="shared" si="4"/>
        <v>0.030960997912832418</v>
      </c>
      <c r="S24" s="1492">
        <f t="shared" si="7"/>
        <v>7.0716523387132887E-05</v>
      </c>
      <c r="T24" s="1493" t="s">
        <v>836</v>
      </c>
      <c r="U24" s="1493" t="s">
        <v>835</v>
      </c>
      <c r="V24" s="1494">
        <v>0.90</v>
      </c>
      <c r="W24" s="1495">
        <f t="shared" si="8"/>
        <v>166.22743375042458</v>
      </c>
      <c r="X24" s="1495">
        <f t="shared" si="9"/>
        <v>1906.6155694816443</v>
      </c>
      <c r="Y24" s="1496">
        <f t="shared" si="10"/>
        <v>419.20</v>
      </c>
      <c r="Z24" s="1497">
        <v>5</v>
      </c>
      <c r="AA24" s="1498"/>
      <c r="AB24" s="1497">
        <f t="shared" si="11"/>
        <v>807.75452583179219</v>
      </c>
      <c r="AC24" s="1497">
        <f t="shared" si="12"/>
        <v>318.78870192958505</v>
      </c>
      <c r="AD24" s="1499">
        <f t="shared" si="13"/>
        <v>488.96582390220715</v>
      </c>
      <c r="AE24" s="1500">
        <f t="shared" si="14"/>
        <v>2.5338241943411512</v>
      </c>
      <c r="AF24" s="1497">
        <f t="shared" si="15"/>
        <v>807.75452583179219</v>
      </c>
      <c r="AG24" s="1499">
        <f t="shared" si="16"/>
        <v>691.97047351847709</v>
      </c>
      <c r="AH24" s="1499">
        <f t="shared" si="17"/>
        <v>115.7840523133151</v>
      </c>
      <c r="AI24" s="1500">
        <f t="shared" si="18"/>
        <v>1.1673251341557762</v>
      </c>
      <c r="AJ24" s="1499">
        <f t="shared" si="19"/>
        <v>2325.8155694816464</v>
      </c>
      <c r="AK24" s="1499">
        <f t="shared" si="20"/>
        <v>5</v>
      </c>
      <c r="AL24" s="1499">
        <f t="shared" si="21"/>
        <v>2320.8155694816464</v>
      </c>
      <c r="AM24" s="1500">
        <f t="shared" si="22"/>
        <v>465.16311389632926</v>
      </c>
      <c r="AN24" s="1499">
        <f t="shared" si="23"/>
        <v>807.75452583179219</v>
      </c>
      <c r="AO24" s="1501">
        <f t="shared" si="24"/>
        <v>2640.1042714112291</v>
      </c>
      <c r="AP24" s="1499">
        <f t="shared" si="25"/>
        <v>-1832.3497455794368</v>
      </c>
      <c r="AQ24" s="1502">
        <f t="shared" si="26"/>
        <v>0.30595553917270807</v>
      </c>
      <c r="AR24" s="1488"/>
      <c r="AS24" s="1503">
        <f>IFERROR(VLOOKUP(ROUND($J24,0),'Seminole Avoided Cost'!$B$15:$Y$41,8,FALSE),"")</f>
        <v>0.055449999999999999</v>
      </c>
      <c r="AT24" s="1504">
        <f>IFERROR(VLOOKUP(ROUND($J24,0),'Seminole Avoided Cost'!$B$15:$Y$41,24,FALSE),"")</f>
        <v>147.83999999999998</v>
      </c>
      <c r="AU24" s="1505">
        <f t="shared" si="5"/>
        <v>314.28870192958505</v>
      </c>
    </row>
    <row r="25" spans="1:47" s="1506" customFormat="1" ht="46.8">
      <c r="A25" s="1468" t="s">
        <v>107</v>
      </c>
      <c r="B25" s="1521" t="s">
        <v>111</v>
      </c>
      <c r="C25" s="1467">
        <f t="shared" si="6"/>
        <v>109485.17837565047</v>
      </c>
      <c r="D25" s="1467">
        <f>'Clay Heat Pumps'!$C$29</f>
        <v>150175</v>
      </c>
      <c r="E25" s="1348">
        <f t="shared" si="0"/>
        <v>259660.17837565049</v>
      </c>
      <c r="F25" s="1474" t="s">
        <v>110</v>
      </c>
      <c r="G25" s="1522">
        <f>'Clay Heat Pumps'!$E$29</f>
        <v>617</v>
      </c>
      <c r="H25" s="175">
        <f>'Clay Heat Pumps'!$G$56/$G25</f>
        <v>767.57462465739445</v>
      </c>
      <c r="I25" s="1527">
        <f>'Clay Heat Pumps'!$T$32*$H$25</f>
        <v>0.31491395373910425</v>
      </c>
      <c r="J25" s="175">
        <f>'Clay Heat Pumps'!$K$38</f>
        <v>12</v>
      </c>
      <c r="K25" s="1355">
        <f t="shared" si="1"/>
        <v>473.59354341361234</v>
      </c>
      <c r="L25" s="1355">
        <f t="shared" si="2"/>
        <v>5683.1225209633485</v>
      </c>
      <c r="M25" s="164">
        <f t="shared" si="3"/>
        <v>194.30190945702731</v>
      </c>
      <c r="N25" s="1490" t="s">
        <v>104</v>
      </c>
      <c r="O25" s="1506"/>
      <c r="P25" s="1491">
        <f t="shared" si="4"/>
        <v>0.71903536639253463</v>
      </c>
      <c r="S25" s="1492">
        <f t="shared" si="7"/>
        <v>0.0029088063286573998</v>
      </c>
      <c r="T25" s="1493" t="s">
        <v>836</v>
      </c>
      <c r="U25" s="1493" t="s">
        <v>835</v>
      </c>
      <c r="V25" s="1494">
        <v>0.90</v>
      </c>
      <c r="W25" s="1495">
        <f t="shared" si="8"/>
        <v>93.852122154280281</v>
      </c>
      <c r="X25" s="1495">
        <f t="shared" si="9"/>
        <v>786.8415456152776</v>
      </c>
      <c r="Y25" s="1496">
        <f t="shared" si="10"/>
        <v>243.39546191247973</v>
      </c>
      <c r="Z25" s="1497">
        <v>5</v>
      </c>
      <c r="AA25" s="1498"/>
      <c r="AB25" s="1497">
        <f t="shared" si="11"/>
        <v>284.07463039886625</v>
      </c>
      <c r="AC25" s="1497">
        <f t="shared" si="12"/>
        <v>181.94761487139462</v>
      </c>
      <c r="AD25" s="1499">
        <f t="shared" si="13"/>
        <v>102.12701552747163</v>
      </c>
      <c r="AE25" s="1500">
        <f t="shared" si="14"/>
        <v>1.5612990068578678</v>
      </c>
      <c r="AF25" s="1497">
        <f t="shared" si="15"/>
        <v>274.28710471665488</v>
      </c>
      <c r="AG25" s="1499">
        <f t="shared" si="16"/>
        <v>397.02177055082524</v>
      </c>
      <c r="AH25" s="1499">
        <f t="shared" si="17"/>
        <v>-122.73466583417036</v>
      </c>
      <c r="AI25" s="1500">
        <f t="shared" si="18"/>
        <v>0.69086162286796227</v>
      </c>
      <c r="AJ25" s="1499">
        <f t="shared" si="19"/>
        <v>1030.2370075277581</v>
      </c>
      <c r="AK25" s="1499">
        <f t="shared" si="20"/>
        <v>5</v>
      </c>
      <c r="AL25" s="1499">
        <f t="shared" si="21"/>
        <v>1025.2370075277581</v>
      </c>
      <c r="AM25" s="1500">
        <f t="shared" si="22"/>
        <v>206.04740150555162</v>
      </c>
      <c r="AN25" s="1499">
        <f t="shared" si="23"/>
        <v>274.28710471665488</v>
      </c>
      <c r="AO25" s="1501">
        <f t="shared" si="24"/>
        <v>1207.684622399152</v>
      </c>
      <c r="AP25" s="1499">
        <f t="shared" si="25"/>
        <v>-933.3975176824971</v>
      </c>
      <c r="AQ25" s="1502">
        <f t="shared" si="26"/>
        <v>0.22711815620518866</v>
      </c>
      <c r="AR25" s="1488"/>
      <c r="AS25" s="1503">
        <f>IFERROR(VLOOKUP(ROUND($J25,0),'Seminole Avoided Cost'!$B$15:$Y$41,8,FALSE),"")</f>
        <v>0.041009999999999998</v>
      </c>
      <c r="AT25" s="1504">
        <f>IFERROR(VLOOKUP(ROUND($J25,0),'Seminole Avoided Cost'!$B$15:$Y$41,24,FALSE),"")</f>
        <v>116.76</v>
      </c>
      <c r="AU25" s="1505">
        <f t="shared" si="5"/>
        <v>177.44761487139462</v>
      </c>
    </row>
    <row r="26" spans="1:47" s="1470" customFormat="1" ht="46.8">
      <c r="A26" s="1468" t="s">
        <v>107</v>
      </c>
      <c r="B26" s="1464" t="s">
        <v>109</v>
      </c>
      <c r="C26" s="1467">
        <f t="shared" si="6"/>
        <v>13389.923954219617</v>
      </c>
      <c r="D26" s="1348">
        <f>'Clay Insulation'!$C$8</f>
        <v>18543.580000000002</v>
      </c>
      <c r="E26" s="1348">
        <f t="shared" si="0"/>
        <v>31933.503954219617</v>
      </c>
      <c r="F26" s="1444" t="s">
        <v>105</v>
      </c>
      <c r="G26" s="1469">
        <f>'Clay Insulation'!$G$8</f>
        <v>170328</v>
      </c>
      <c r="H26" s="176">
        <f>'Clay Insulation'!$D$16/$G26</f>
        <v>0.34004978629467852</v>
      </c>
      <c r="I26" s="1527">
        <f>'Clay Insulation'!$I$16/$G26</f>
        <v>0.00030058079117937158</v>
      </c>
      <c r="J26" s="175">
        <f>'Clay Insulation'!$M$11</f>
        <v>20</v>
      </c>
      <c r="K26" s="1355">
        <f t="shared" si="1"/>
        <v>57.920000000000009</v>
      </c>
      <c r="L26" s="1355">
        <f t="shared" si="2"/>
        <v>1158.4000000000001</v>
      </c>
      <c r="M26" s="164">
        <f t="shared" si="3"/>
        <v>51.197324999999999</v>
      </c>
      <c r="N26" s="1507" t="s">
        <v>104</v>
      </c>
      <c r="O26" s="1470"/>
      <c r="P26" s="1491">
        <f t="shared" si="4"/>
        <v>0.087937280819480407</v>
      </c>
      <c r="S26" s="1492">
        <f t="shared" si="7"/>
        <v>0.80300026636557142</v>
      </c>
      <c r="T26" s="1493" t="s">
        <v>836</v>
      </c>
      <c r="U26" s="1493" t="s">
        <v>835</v>
      </c>
      <c r="V26" s="1494">
        <v>0.90</v>
      </c>
      <c r="W26" s="1495">
        <f t="shared" si="8"/>
        <v>0.04157822973383208</v>
      </c>
      <c r="X26" s="1495">
        <f t="shared" si="9"/>
        <v>0.47689901945446117</v>
      </c>
      <c r="Y26" s="1496">
        <f t="shared" si="10"/>
        <v>0.10886982762669674</v>
      </c>
      <c r="Z26" s="1497">
        <v>5</v>
      </c>
      <c r="AA26" s="1498"/>
      <c r="AB26" s="1497">
        <f t="shared" si="11"/>
        <v>0.23908454442283086</v>
      </c>
      <c r="AC26" s="1497">
        <f t="shared" si="12"/>
        <v>4.5786125825126796</v>
      </c>
      <c r="AD26" s="1499">
        <f t="shared" si="13"/>
        <v>-4.3395280380898491</v>
      </c>
      <c r="AE26" s="1500">
        <f t="shared" si="14"/>
        <v>0.05221768387567409</v>
      </c>
      <c r="AF26" s="1497">
        <f t="shared" si="15"/>
        <v>0.23908454442283086</v>
      </c>
      <c r="AG26" s="1499">
        <f t="shared" si="16"/>
        <v>0.17687019824469438</v>
      </c>
      <c r="AH26" s="1499">
        <f t="shared" si="17"/>
        <v>0.062214346178136481</v>
      </c>
      <c r="AI26" s="1500">
        <f t="shared" si="18"/>
        <v>1.3517514357736225</v>
      </c>
      <c r="AJ26" s="1499">
        <f t="shared" si="19"/>
        <v>0.58576884708115851</v>
      </c>
      <c r="AK26" s="1499">
        <f t="shared" si="20"/>
        <v>5</v>
      </c>
      <c r="AL26" s="1499">
        <f t="shared" si="21"/>
        <v>-4.4142311529188412</v>
      </c>
      <c r="AM26" s="1500">
        <f t="shared" si="22"/>
        <v>0.11715376941623171</v>
      </c>
      <c r="AN26" s="1499">
        <f t="shared" si="23"/>
        <v>0.23908454442283086</v>
      </c>
      <c r="AO26" s="1501">
        <f t="shared" si="24"/>
        <v>0.66438142959383706</v>
      </c>
      <c r="AP26" s="1499">
        <f t="shared" si="25"/>
        <v>-0.42529688517100617</v>
      </c>
      <c r="AQ26" s="1502">
        <f t="shared" si="26"/>
        <v>0.35986036600841298</v>
      </c>
      <c r="AR26" s="1488"/>
      <c r="AS26" s="1503">
        <f>IFERROR(VLOOKUP(ROUND($J26,0),'Seminole Avoided Cost'!$B$15:$Y$41,8,FALSE),"")</f>
        <v>0.055449999999999999</v>
      </c>
      <c r="AT26" s="1504">
        <f>IFERROR(VLOOKUP(ROUND($J26,0),'Seminole Avoided Cost'!$B$15:$Y$41,24,FALSE),"")</f>
        <v>147.83999999999998</v>
      </c>
      <c r="AU26" s="1505">
        <f t="shared" si="5"/>
        <v>0.078612582512679163</v>
      </c>
    </row>
    <row r="27" spans="1:47" s="1470" customFormat="1" ht="46.8">
      <c r="A27" s="1468" t="s">
        <v>107</v>
      </c>
      <c r="B27" s="1464" t="s">
        <v>108</v>
      </c>
      <c r="C27" s="1467">
        <f t="shared" si="6"/>
        <v>3476.7961723216281</v>
      </c>
      <c r="D27" s="1348">
        <f>'Clay Spray Foam Insulation'!$C$9</f>
        <v>7454.68</v>
      </c>
      <c r="E27" s="1348">
        <f t="shared" si="0"/>
        <v>10931.476172321629</v>
      </c>
      <c r="F27" s="1444" t="s">
        <v>105</v>
      </c>
      <c r="G27" s="1469">
        <f>'Clay Spray Foam Insulation'!$G$9</f>
        <v>33415</v>
      </c>
      <c r="H27" s="176">
        <f>'Clay Spray Foam Insulation'!$D$18/$G27</f>
        <v>0.45007843847899276</v>
      </c>
      <c r="I27" s="1527">
        <f>'Clay Spray Foam Insulation'!$I$18/$G27</f>
        <v>0.00043569633405693745</v>
      </c>
      <c r="J27" s="175">
        <f>'Clay Spray Foam Insulation'!$M$11</f>
        <v>20</v>
      </c>
      <c r="K27" s="1355">
        <f t="shared" si="1"/>
        <v>15.039371021775544</v>
      </c>
      <c r="L27" s="1355">
        <f t="shared" si="2"/>
        <v>300.78742043551085</v>
      </c>
      <c r="M27" s="164">
        <f t="shared" si="3"/>
        <v>14.558793002512564</v>
      </c>
      <c r="N27" s="1507" t="s">
        <v>104</v>
      </c>
      <c r="O27" s="1470"/>
      <c r="P27" s="1491">
        <f t="shared" si="4"/>
        <v>0.022833587584430798</v>
      </c>
      <c r="S27" s="1492">
        <f t="shared" si="7"/>
        <v>0.15753284193206971</v>
      </c>
      <c r="T27" s="1493" t="s">
        <v>836</v>
      </c>
      <c r="U27" s="1493" t="s">
        <v>835</v>
      </c>
      <c r="V27" s="1494">
        <v>0.90</v>
      </c>
      <c r="W27" s="1495">
        <f t="shared" si="8"/>
        <v>0.055031543813726595</v>
      </c>
      <c r="X27" s="1495">
        <f t="shared" si="9"/>
        <v>0.63120747207946593</v>
      </c>
      <c r="Y27" s="1496">
        <f t="shared" si="10"/>
        <v>0.2230938201406554</v>
      </c>
      <c r="Z27" s="1497">
        <v>5</v>
      </c>
      <c r="AA27" s="1498"/>
      <c r="AB27" s="1497">
        <f t="shared" si="11"/>
        <v>0.32204113300142806</v>
      </c>
      <c r="AC27" s="1497">
        <f t="shared" si="12"/>
        <v>4.604048965204897</v>
      </c>
      <c r="AD27" s="1499">
        <f t="shared" si="13"/>
        <v>-4.2820078322034689</v>
      </c>
      <c r="AE27" s="1500">
        <f t="shared" si="14"/>
        <v>0.069947373591213766</v>
      </c>
      <c r="AF27" s="1497">
        <f t="shared" si="15"/>
        <v>0.32204113300142806</v>
      </c>
      <c r="AG27" s="1499">
        <f t="shared" si="16"/>
        <v>0.30862526919391747</v>
      </c>
      <c r="AH27" s="1499">
        <f t="shared" si="17"/>
        <v>0.013415863807510586</v>
      </c>
      <c r="AI27" s="1500">
        <f t="shared" si="18"/>
        <v>1.0434697516588671</v>
      </c>
      <c r="AJ27" s="1499">
        <f t="shared" si="19"/>
        <v>0.85430129222012197</v>
      </c>
      <c r="AK27" s="1499">
        <f t="shared" si="20"/>
        <v>5</v>
      </c>
      <c r="AL27" s="1499">
        <f t="shared" si="21"/>
        <v>-4.1456987077798777</v>
      </c>
      <c r="AM27" s="1500">
        <f t="shared" si="22"/>
        <v>0.17086025844402439</v>
      </c>
      <c r="AN27" s="1499">
        <f t="shared" si="23"/>
        <v>0.32204113300142806</v>
      </c>
      <c r="AO27" s="1501">
        <f t="shared" si="24"/>
        <v>0.95835025742501812</v>
      </c>
      <c r="AP27" s="1499">
        <f t="shared" si="25"/>
        <v>-0.63630912442359011</v>
      </c>
      <c r="AQ27" s="1502">
        <f t="shared" si="26"/>
        <v>0.33603698700589618</v>
      </c>
      <c r="AR27" s="1488"/>
      <c r="AS27" s="1503">
        <f>IFERROR(VLOOKUP(ROUND($J27,0),'Seminole Avoided Cost'!$B$15:$Y$41,8,FALSE),"")</f>
        <v>0.055449999999999999</v>
      </c>
      <c r="AT27" s="1504">
        <f>IFERROR(VLOOKUP(ROUND($J27,0),'Seminole Avoided Cost'!$B$15:$Y$41,24,FALSE),"")</f>
        <v>147.83999999999998</v>
      </c>
      <c r="AU27" s="1505">
        <f t="shared" si="5"/>
        <v>0.10404896520489684</v>
      </c>
    </row>
    <row r="28" spans="1:47" s="1470" customFormat="1" ht="46.8">
      <c r="A28" s="1468" t="s">
        <v>107</v>
      </c>
      <c r="B28" s="1464" t="s">
        <v>106</v>
      </c>
      <c r="C28" s="1467">
        <f t="shared" si="6"/>
        <v>2910.3652603312967</v>
      </c>
      <c r="D28" s="1348">
        <f>'Clay Window Film'!$C$9</f>
        <v>3297.1400000000003</v>
      </c>
      <c r="E28" s="1348">
        <f t="shared" si="0"/>
        <v>6207.505260331297</v>
      </c>
      <c r="F28" s="1444" t="s">
        <v>105</v>
      </c>
      <c r="G28" s="1469">
        <f>'Clay Window Film'!$G$9</f>
        <v>7493.50</v>
      </c>
      <c r="H28" s="176">
        <f>'Clay Window Film'!$D$19/$G28</f>
        <v>1.6800152687320547</v>
      </c>
      <c r="I28" s="1527">
        <f>'Clay Window Film'!$I$19/$G28</f>
        <v>-0.0019922134549663659</v>
      </c>
      <c r="J28" s="175">
        <f>'Clay Window Film'!$L$8</f>
        <v>10</v>
      </c>
      <c r="K28" s="1355">
        <f t="shared" si="1"/>
        <v>12.589194416243652</v>
      </c>
      <c r="L28" s="1355">
        <f t="shared" si="2"/>
        <v>125.89194416243652</v>
      </c>
      <c r="M28" s="164">
        <f t="shared" si="3"/>
        <v>-14.928651524790462</v>
      </c>
      <c r="N28" s="1507" t="s">
        <v>104</v>
      </c>
      <c r="O28" s="1470"/>
      <c r="P28" s="1491">
        <f t="shared" si="4"/>
        <v>0.019113596765750217</v>
      </c>
      <c r="S28" s="1492">
        <f t="shared" si="7"/>
        <v>0.035327617866765353</v>
      </c>
      <c r="T28" s="1493" t="s">
        <v>836</v>
      </c>
      <c r="U28" s="1493" t="s">
        <v>835</v>
      </c>
      <c r="V28" s="1494">
        <v>0.90</v>
      </c>
      <c r="W28" s="1495">
        <f t="shared" si="8"/>
        <v>0.20541715835443866</v>
      </c>
      <c r="X28" s="1495">
        <f t="shared" si="9"/>
        <v>1.5118881673429057</v>
      </c>
      <c r="Y28" s="1496">
        <f t="shared" si="10"/>
        <v>0.44000000000000006</v>
      </c>
      <c r="Z28" s="1497">
        <v>5</v>
      </c>
      <c r="AA28" s="1498"/>
      <c r="AB28" s="1497">
        <f t="shared" si="11"/>
        <v>0.13447687183205459</v>
      </c>
      <c r="AC28" s="1497">
        <f t="shared" si="12"/>
        <v>4.8883853019725487</v>
      </c>
      <c r="AD28" s="1499">
        <f t="shared" si="13"/>
        <v>-4.7539084301404939</v>
      </c>
      <c r="AE28" s="1500">
        <f t="shared" si="14"/>
        <v>0.027509466526255782</v>
      </c>
      <c r="AF28" s="1497">
        <f t="shared" si="15"/>
        <v>0.2097825404297832</v>
      </c>
      <c r="AG28" s="1499">
        <f t="shared" si="16"/>
        <v>0.78149556789863195</v>
      </c>
      <c r="AH28" s="1499">
        <f t="shared" si="17"/>
        <v>-0.57171302746884878</v>
      </c>
      <c r="AI28" s="1500">
        <f t="shared" si="18"/>
        <v>0.26843727469097323</v>
      </c>
      <c r="AJ28" s="1499">
        <f t="shared" si="19"/>
        <v>1.9518881673429074</v>
      </c>
      <c r="AK28" s="1499">
        <f t="shared" si="20"/>
        <v>5</v>
      </c>
      <c r="AL28" s="1499">
        <f t="shared" si="21"/>
        <v>-3.0481118326570926</v>
      </c>
      <c r="AM28" s="1500">
        <f t="shared" si="22"/>
        <v>0.39037763346858145</v>
      </c>
      <c r="AN28" s="1499">
        <f t="shared" si="23"/>
        <v>0.2097825404297832</v>
      </c>
      <c r="AO28" s="1501">
        <f t="shared" si="24"/>
        <v>2.3402734693154548</v>
      </c>
      <c r="AP28" s="1499">
        <f t="shared" si="25"/>
        <v>-2.1304909288856715</v>
      </c>
      <c r="AQ28" s="1502">
        <f t="shared" si="26"/>
        <v>0.089640182303628801</v>
      </c>
      <c r="AR28" s="1488"/>
      <c r="AS28" s="1503">
        <f>IFERROR(VLOOKUP(ROUND($J28,0),'Seminole Avoided Cost'!$B$15:$Y$41,8,FALSE),"")</f>
        <v>0.038550000000000001</v>
      </c>
      <c r="AT28" s="1504">
        <f>IFERROR(VLOOKUP(ROUND($J28,0),'Seminole Avoided Cost'!$B$15:$Y$41,24,FALSE),"")</f>
        <v>110.03999999999999</v>
      </c>
      <c r="AU28" s="1505">
        <f t="shared" si="5"/>
        <v>0.38838530197254911</v>
      </c>
    </row>
    <row r="29" spans="1:47" s="1470" customFormat="1" ht="16.2" thickBot="1">
      <c r="A29" s="1442" t="s">
        <v>103</v>
      </c>
      <c r="B29" s="1442"/>
      <c r="C29" s="1446">
        <f>SUM(C23:C28)</f>
        <v>150973.85815104519</v>
      </c>
      <c r="D29" s="1446">
        <f>SUM(D23:D28)</f>
        <v>193808.40000000002</v>
      </c>
      <c r="E29" s="1446">
        <f>SUM(E23:E28)</f>
        <v>344782.25815104524</v>
      </c>
      <c r="F29" s="1438" t="s">
        <v>76</v>
      </c>
      <c r="G29" s="1455">
        <f>SUM(G22:G28)</f>
        <v>212114.50</v>
      </c>
      <c r="H29" s="1455">
        <f t="shared" si="27" ref="H29:I29">SUM(H22:H28)</f>
        <v>3755.8567462873066</v>
      </c>
      <c r="I29" s="1454">
        <f t="shared" si="27"/>
        <v>-0.11482689791836601</v>
      </c>
      <c r="J29" s="1447">
        <f>SUMPRODUCT(J22:J28,P22:P28)</f>
        <v>12.940299059352741</v>
      </c>
      <c r="K29" s="1452">
        <f>SUM(K22:K28)</f>
        <v>658.65125075790627</v>
      </c>
      <c r="L29" s="1452">
        <f>SUM(L22:L28)</f>
        <v>8523.1441606240423</v>
      </c>
      <c r="M29" s="1448">
        <f>SUM(M22:M28)</f>
        <v>219.71904371294184</v>
      </c>
      <c r="N29" s="1526"/>
      <c r="O29" s="1470"/>
      <c r="P29" s="1508">
        <f>SUM(P22:P28)</f>
        <v>0.99999999999999989</v>
      </c>
      <c r="S29" s="1509">
        <f>SUM(S22:S28)</f>
        <v>1</v>
      </c>
      <c r="T29" s="1510"/>
      <c r="U29" s="1510"/>
      <c r="V29" s="1510"/>
      <c r="W29" s="1511"/>
      <c r="X29" s="1511"/>
      <c r="Y29" s="1511"/>
      <c r="Z29" s="1512"/>
      <c r="AA29" s="1513"/>
      <c r="AB29" s="1512">
        <f>SUMPRODUCT(AB$22:AB$28,$S$22:$S$28)</f>
        <v>1.2147113213169307</v>
      </c>
      <c r="AC29" s="1512">
        <f>SUMPRODUCT(AC$22:AC$28,$S$22:$S$28)</f>
        <v>5.2117564247189385</v>
      </c>
      <c r="AD29" s="1512">
        <f>SUMPRODUCT(AD$22:AD$28,$S$22:$S$28)</f>
        <v>-3.9970451034020078</v>
      </c>
      <c r="AE29" s="1514">
        <f>IFERROR(AB29/AC29,"")</f>
        <v>0.23307139135583033</v>
      </c>
      <c r="AF29" s="1512">
        <f>SUMPRODUCT(AF$22:AF$28,$S$22:$S$28)</f>
        <v>1.19408026786301</v>
      </c>
      <c r="AG29" s="1512">
        <f>SUMPRODUCT(AG$22:AG$28,$S$22:$S$28)</f>
        <v>1.5416613862077315</v>
      </c>
      <c r="AH29" s="1512">
        <f>SUMPRODUCT(AH$22:AH$28,$S$22:$S$28)</f>
        <v>-0.34758111834472172</v>
      </c>
      <c r="AI29" s="1514">
        <f>IFERROR(AF29/AG29,"")</f>
        <v>0.77454120505688884</v>
      </c>
      <c r="AJ29" s="1512">
        <f>SUMPRODUCT(AJ$22:AJ$28,$S$22:$S$28)</f>
        <v>4.2307134552332082</v>
      </c>
      <c r="AK29" s="1512">
        <f>SUMPRODUCT(AK$22:AK$28,$S$22:$S$28)</f>
        <v>5.0000000000000009</v>
      </c>
      <c r="AL29" s="1512">
        <f>SUMPRODUCT(AL$22:AL$28,$S$22:$S$28)</f>
        <v>-0.76928654476679093</v>
      </c>
      <c r="AM29" s="1514">
        <f>IFERROR(AJ29/AK29,"")</f>
        <v>0.84614269104664153</v>
      </c>
      <c r="AN29" s="1512">
        <f>SUMPRODUCT(AN$22:AN$28,$S$22:$S$28)</f>
        <v>1.19408026786301</v>
      </c>
      <c r="AO29" s="1512">
        <f>SUMPRODUCT(AO$22:AO$28,$S$22:$S$28)</f>
        <v>4.9424698799521432</v>
      </c>
      <c r="AP29" s="1512">
        <f>SUMPRODUCT(AP$22:AP$28,$S$22:$S$28)</f>
        <v>-3.7483896120891331</v>
      </c>
      <c r="AQ29" s="1514">
        <f>IFERROR(AN29/AO29,"")</f>
        <v>0.24159586135395367</v>
      </c>
      <c r="AR29" s="1488"/>
      <c r="AS29" s="1515">
        <f>IFERROR(VLOOKUP(ROUND($J29,0),'Seminole Avoided Cost'!$B$15:$Y$41,8,FALSE),"")</f>
        <v>0.041939999999999998</v>
      </c>
      <c r="AT29" s="1516">
        <f>IFERROR(VLOOKUP(ROUND($J29,0),'Seminole Avoided Cost'!$B$15:$Y$41,24,FALSE),"")</f>
        <v>120.23999999999998</v>
      </c>
      <c r="AU29" s="1517">
        <f t="shared" si="5"/>
        <v>0.71175642471893807</v>
      </c>
    </row>
    <row r="30" spans="1:46" ht="15" thickBot="1">
      <c r="A30" s="380"/>
      <c r="B30" s="379"/>
      <c r="C30" s="1518"/>
      <c r="D30" s="1518"/>
      <c r="E30" s="1518"/>
      <c r="F30" s="1518"/>
      <c r="G30" s="1518"/>
      <c r="H30" s="1518"/>
      <c r="I30" s="1518"/>
      <c r="J30" s="1518"/>
      <c r="K30" s="1518"/>
      <c r="L30" s="1518"/>
      <c r="M30" s="1518"/>
      <c r="N30" s="1519"/>
      <c r="O30" s="267"/>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54"/>
      <c r="AT30" s="654"/>
    </row>
    <row r="31" spans="1:15" ht="63" thickBot="1">
      <c r="A31" s="130" t="s">
        <v>99</v>
      </c>
      <c r="B31" s="108" t="s">
        <v>89</v>
      </c>
      <c r="C31" s="107" t="s">
        <v>88</v>
      </c>
      <c r="D31" s="106" t="s">
        <v>87</v>
      </c>
      <c r="E31" s="105" t="s">
        <v>86</v>
      </c>
      <c r="F31" s="104" t="s">
        <v>85</v>
      </c>
      <c r="G31" s="104" t="s">
        <v>98</v>
      </c>
      <c r="H31" s="104" t="s">
        <v>97</v>
      </c>
      <c r="I31" s="104" t="s">
        <v>82</v>
      </c>
      <c r="J31" s="104" t="s">
        <v>96</v>
      </c>
      <c r="K31" s="152" t="s">
        <v>80</v>
      </c>
      <c r="L31" s="152" t="s">
        <v>79</v>
      </c>
      <c r="M31" s="152" t="s">
        <v>95</v>
      </c>
      <c r="N31" s="125" t="s">
        <v>78</v>
      </c>
      <c r="O31" s="267"/>
    </row>
    <row r="32" spans="1:15" ht="16.8" thickTop="1" thickBot="1">
      <c r="A32" s="848"/>
      <c r="B32" s="849"/>
      <c r="C32" s="100">
        <v>0</v>
      </c>
      <c r="D32" s="139">
        <v>0</v>
      </c>
      <c r="E32" s="149">
        <f>SUM(C32:C32)</f>
        <v>0</v>
      </c>
      <c r="F32" s="850"/>
      <c r="G32" s="99"/>
      <c r="H32" s="147"/>
      <c r="I32" s="145"/>
      <c r="J32" s="145"/>
      <c r="K32" s="146"/>
      <c r="L32" s="145"/>
      <c r="M32" s="144"/>
      <c r="N32" s="851"/>
      <c r="O32" s="267"/>
    </row>
    <row r="33" spans="1:46" s="628" customFormat="1" ht="16.2" thickTop="1" thickBot="1">
      <c r="A33" s="98" t="s">
        <v>102</v>
      </c>
      <c r="B33" s="97"/>
      <c r="C33" s="115">
        <f>SUM(C32)</f>
        <v>0</v>
      </c>
      <c r="D33" s="115">
        <f>SUM(D32)</f>
        <v>0</v>
      </c>
      <c r="E33" s="115">
        <f>SUM(E32)</f>
        <v>0</v>
      </c>
      <c r="F33" s="143" t="s">
        <v>76</v>
      </c>
      <c r="G33" s="113">
        <f>SUM(G32)</f>
        <v>0</v>
      </c>
      <c r="H33" s="113"/>
      <c r="I33" s="113"/>
      <c r="J33" s="159"/>
      <c r="K33" s="159">
        <f>SUM(K32)</f>
        <v>0</v>
      </c>
      <c r="L33" s="159">
        <f>SUM(L32)</f>
        <v>0</v>
      </c>
      <c r="M33" s="138">
        <f>SUM(M32)</f>
        <v>0</v>
      </c>
      <c r="N33" s="852"/>
      <c r="O33" s="628"/>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630"/>
      <c r="AT33" s="630"/>
    </row>
    <row r="34" spans="1:46" s="628" customFormat="1" ht="14.4">
      <c r="A34" s="133"/>
      <c r="B34" s="133"/>
      <c r="C34" s="133"/>
      <c r="D34" s="133"/>
      <c r="E34" s="133"/>
      <c r="F34" s="133"/>
      <c r="G34" s="133"/>
      <c r="H34" s="133"/>
      <c r="I34" s="133"/>
      <c r="J34" s="133"/>
      <c r="K34" s="133"/>
      <c r="L34" s="133"/>
      <c r="M34" s="133"/>
      <c r="N34" s="670"/>
      <c r="O34" s="628"/>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630"/>
      <c r="AT34" s="630"/>
    </row>
    <row r="35" spans="1:46" ht="21">
      <c r="A35" s="1699" t="s">
        <v>101</v>
      </c>
      <c r="B35" s="1699"/>
      <c r="C35" s="1699"/>
      <c r="D35" s="1699"/>
      <c r="E35" s="1699"/>
      <c r="F35" s="1699"/>
      <c r="G35" s="1699"/>
      <c r="H35" s="1699"/>
      <c r="I35" s="1699"/>
      <c r="J35" s="1699"/>
      <c r="K35" s="1699"/>
      <c r="L35" s="1699"/>
      <c r="M35" s="1699"/>
      <c r="N35" s="1699"/>
      <c r="O35" s="267"/>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8"/>
      <c r="AQ35" s="628"/>
      <c r="AR35" s="628"/>
      <c r="AS35" s="654"/>
      <c r="AT35" s="654"/>
    </row>
    <row r="36" spans="1:15" ht="62.4">
      <c r="A36" s="434" t="s">
        <v>90</v>
      </c>
      <c r="B36" s="1346" t="s">
        <v>89</v>
      </c>
      <c r="C36" s="434" t="s">
        <v>88</v>
      </c>
      <c r="D36" s="1346" t="s">
        <v>87</v>
      </c>
      <c r="E36" s="434" t="s">
        <v>86</v>
      </c>
      <c r="F36" s="434" t="s">
        <v>85</v>
      </c>
      <c r="G36" s="434" t="s">
        <v>84</v>
      </c>
      <c r="H36" s="434" t="s">
        <v>97</v>
      </c>
      <c r="I36" s="434" t="s">
        <v>82</v>
      </c>
      <c r="J36" s="434" t="s">
        <v>96</v>
      </c>
      <c r="K36" s="434" t="s">
        <v>80</v>
      </c>
      <c r="L36" s="434" t="s">
        <v>79</v>
      </c>
      <c r="M36" s="434" t="s">
        <v>95</v>
      </c>
      <c r="N36" s="434" t="s">
        <v>78</v>
      </c>
      <c r="O36" s="267"/>
    </row>
    <row r="37" spans="1:15" ht="31.2">
      <c r="A37" s="1468" t="s">
        <v>707</v>
      </c>
      <c r="B37" s="318" t="s">
        <v>1443</v>
      </c>
      <c r="C37" s="1348">
        <v>0</v>
      </c>
      <c r="D37" s="1348">
        <v>0</v>
      </c>
      <c r="E37" s="1348">
        <f>SUM(C37:C37)</f>
        <v>0</v>
      </c>
      <c r="F37" s="318" t="s">
        <v>116</v>
      </c>
      <c r="G37" s="1469">
        <v>5</v>
      </c>
      <c r="H37" s="1531">
        <f>'72W Streetlight'!$E$24-'72W Streetlight'!$E$51</f>
        <v>266.83799999999997</v>
      </c>
      <c r="I37" s="317">
        <v>0</v>
      </c>
      <c r="J37" s="317">
        <f>'72W Streetlight'!$E$40</f>
        <v>12.367054167697255</v>
      </c>
      <c r="K37" s="1355">
        <f>(G37*H37)/1000</f>
        <v>1.3341899999999998</v>
      </c>
      <c r="L37" s="1355">
        <f>J37*K37</f>
        <v>16.499999999999996</v>
      </c>
      <c r="M37" s="164">
        <f>G37*I37</f>
        <v>0</v>
      </c>
      <c r="N37" s="1507" t="s">
        <v>1444</v>
      </c>
      <c r="O37" s="267"/>
    </row>
    <row r="38" spans="1:46" ht="15.6">
      <c r="A38" s="1442" t="s">
        <v>100</v>
      </c>
      <c r="B38" s="1442"/>
      <c r="C38" s="1529">
        <f>SUM(C37)</f>
        <v>0</v>
      </c>
      <c r="D38" s="1529">
        <f>SUM(D37)</f>
        <v>0</v>
      </c>
      <c r="E38" s="1529">
        <f>SUM(E37)</f>
        <v>0</v>
      </c>
      <c r="F38" s="1438" t="s">
        <v>76</v>
      </c>
      <c r="G38" s="1442">
        <f>SUM(G37:G37)</f>
        <v>5</v>
      </c>
      <c r="H38" s="1455">
        <f t="shared" si="28" ref="H38:J38">SUM(H37:H37)</f>
        <v>266.83799999999997</v>
      </c>
      <c r="I38" s="1442">
        <f t="shared" si="28"/>
        <v>0</v>
      </c>
      <c r="J38" s="1455">
        <f t="shared" si="28"/>
        <v>12.367054167697255</v>
      </c>
      <c r="K38" s="1452">
        <f>SUM(K37:K37)</f>
        <v>1.3341899999999998</v>
      </c>
      <c r="L38" s="1452">
        <f>SUM(L37:L37)</f>
        <v>16.499999999999996</v>
      </c>
      <c r="M38" s="1448">
        <f>SUM(M37:M37)</f>
        <v>0</v>
      </c>
      <c r="N38" s="1532"/>
      <c r="O38" s="267"/>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54"/>
      <c r="AT38" s="654"/>
    </row>
    <row r="39" spans="1:46" s="628" customFormat="1" ht="15" thickBot="1">
      <c r="A39" s="137"/>
      <c r="B39" s="133"/>
      <c r="C39" s="135"/>
      <c r="D39" s="135"/>
      <c r="E39" s="135"/>
      <c r="F39" s="134"/>
      <c r="G39" s="133"/>
      <c r="H39" s="133"/>
      <c r="I39" s="133"/>
      <c r="J39" s="133"/>
      <c r="K39" s="132"/>
      <c r="L39" s="132"/>
      <c r="M39" s="132"/>
      <c r="N39" s="1528"/>
      <c r="O39" s="628"/>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630"/>
      <c r="AT39" s="630"/>
    </row>
    <row r="40" spans="1:15" ht="63" thickBot="1">
      <c r="A40" s="130" t="s">
        <v>99</v>
      </c>
      <c r="B40" s="108" t="s">
        <v>89</v>
      </c>
      <c r="C40" s="129" t="s">
        <v>88</v>
      </c>
      <c r="D40" s="128" t="s">
        <v>87</v>
      </c>
      <c r="E40" s="127" t="s">
        <v>86</v>
      </c>
      <c r="F40" s="126" t="s">
        <v>85</v>
      </c>
      <c r="G40" s="126" t="s">
        <v>98</v>
      </c>
      <c r="H40" s="126" t="s">
        <v>97</v>
      </c>
      <c r="I40" s="126" t="s">
        <v>82</v>
      </c>
      <c r="J40" s="126" t="s">
        <v>96</v>
      </c>
      <c r="K40" s="126" t="s">
        <v>80</v>
      </c>
      <c r="L40" s="126" t="s">
        <v>79</v>
      </c>
      <c r="M40" s="126" t="s">
        <v>95</v>
      </c>
      <c r="N40" s="125" t="s">
        <v>78</v>
      </c>
      <c r="O40" s="267"/>
    </row>
    <row r="41" spans="1:15" ht="16.8" thickTop="1" thickBot="1">
      <c r="A41" s="658"/>
      <c r="B41" s="854"/>
      <c r="C41" s="100">
        <v>0</v>
      </c>
      <c r="D41" s="139">
        <v>0</v>
      </c>
      <c r="E41" s="122">
        <f>SUM(C41:C41)</f>
        <v>0</v>
      </c>
      <c r="F41" s="855"/>
      <c r="G41" s="99"/>
      <c r="H41" s="120" t="s">
        <v>94</v>
      </c>
      <c r="I41" s="118"/>
      <c r="J41" s="118" t="s">
        <v>94</v>
      </c>
      <c r="K41" s="119"/>
      <c r="L41" s="118"/>
      <c r="M41" s="117"/>
      <c r="N41" s="851"/>
      <c r="O41" s="267"/>
    </row>
    <row r="42" spans="1:46" s="628" customFormat="1" ht="16.8" thickTop="1" thickBot="1">
      <c r="A42" s="98" t="s">
        <v>93</v>
      </c>
      <c r="B42" s="97"/>
      <c r="C42" s="115">
        <f>SUM(C41)</f>
        <v>0</v>
      </c>
      <c r="D42" s="115">
        <f>SUM(D41)</f>
        <v>0</v>
      </c>
      <c r="E42" s="115">
        <f>SUM(E41)</f>
        <v>0</v>
      </c>
      <c r="F42" s="114" t="s">
        <v>92</v>
      </c>
      <c r="G42" s="113">
        <f>SUM(G41:G41)</f>
        <v>0</v>
      </c>
      <c r="H42" s="113"/>
      <c r="I42" s="113"/>
      <c r="J42" s="159"/>
      <c r="K42" s="159">
        <f>SUM(K41)</f>
        <v>0</v>
      </c>
      <c r="L42" s="159">
        <f>SUM(L41)</f>
        <v>0</v>
      </c>
      <c r="M42" s="138">
        <f>SUM(M41)</f>
        <v>0</v>
      </c>
      <c r="N42" s="852"/>
      <c r="O42" s="628"/>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630"/>
      <c r="AT42" s="630"/>
    </row>
    <row r="43" spans="1:15" ht="14.4">
      <c r="A43" s="661"/>
      <c r="B43" s="662"/>
      <c r="C43" s="662"/>
      <c r="D43" s="662"/>
      <c r="E43" s="662"/>
      <c r="F43" s="662"/>
      <c r="G43" s="662"/>
      <c r="H43" s="662"/>
      <c r="I43" s="662"/>
      <c r="J43" s="662"/>
      <c r="K43" s="662"/>
      <c r="L43" s="662"/>
      <c r="M43" s="459"/>
      <c r="O43" s="267"/>
    </row>
    <row r="44" spans="1:15" ht="21">
      <c r="A44" s="1699" t="s">
        <v>91</v>
      </c>
      <c r="B44" s="1699"/>
      <c r="C44" s="1699"/>
      <c r="D44" s="1699"/>
      <c r="E44" s="1699"/>
      <c r="F44" s="1699"/>
      <c r="G44" s="1699"/>
      <c r="H44" s="1699"/>
      <c r="I44" s="1699"/>
      <c r="J44" s="1699"/>
      <c r="K44" s="1699"/>
      <c r="L44" s="1699"/>
      <c r="M44" s="1699"/>
      <c r="N44" s="1699"/>
      <c r="O44" s="267"/>
    </row>
    <row r="45" spans="1:15" ht="62.4">
      <c r="A45" s="434" t="s">
        <v>90</v>
      </c>
      <c r="B45" s="434" t="s">
        <v>89</v>
      </c>
      <c r="C45" s="434" t="s">
        <v>88</v>
      </c>
      <c r="D45" s="434" t="s">
        <v>87</v>
      </c>
      <c r="E45" s="434" t="s">
        <v>86</v>
      </c>
      <c r="F45" s="434" t="s">
        <v>85</v>
      </c>
      <c r="G45" s="434" t="s">
        <v>84</v>
      </c>
      <c r="H45" s="434" t="s">
        <v>83</v>
      </c>
      <c r="I45" s="434" t="s">
        <v>82</v>
      </c>
      <c r="J45" s="434" t="s">
        <v>81</v>
      </c>
      <c r="K45" s="434" t="s">
        <v>80</v>
      </c>
      <c r="L45" s="434" t="s">
        <v>79</v>
      </c>
      <c r="M45" s="434" t="s">
        <v>95</v>
      </c>
      <c r="N45" s="434" t="s">
        <v>78</v>
      </c>
      <c r="O45" s="267"/>
    </row>
    <row r="46" spans="1:15" ht="31.2">
      <c r="A46" s="1468" t="s">
        <v>1339</v>
      </c>
      <c r="B46" s="1521" t="s">
        <v>1446</v>
      </c>
      <c r="C46" s="1536">
        <v>0</v>
      </c>
      <c r="D46" s="1536">
        <v>0</v>
      </c>
      <c r="E46" s="1536">
        <f>SUM(C46:C46)</f>
        <v>0</v>
      </c>
      <c r="F46" s="1539" t="s">
        <v>1803</v>
      </c>
      <c r="G46" s="1537">
        <f>SUMIFS('General Lighting Calculations'!$S:$S,'General Lighting Calculations'!$AF:$AF,1,'General Lighting Calculations'!$B:$B,"Clay")</f>
        <v>136</v>
      </c>
      <c r="H46" s="1533">
        <f>SUMIFS('General Lighting Calculations'!$Y:$Y,'General Lighting Calculations'!$AF:$AF,1,'General Lighting Calculations'!$B:$B,"Clay")/$G46</f>
        <v>181.36777941176473</v>
      </c>
      <c r="I46" s="1534">
        <f>AVERAGEIFS('General Lighting Calculations'!$AE:$AE,'General Lighting Calculations'!$AF:$AF,1,'General Lighting Calculations'!$B:$B,"Clay")/$G46</f>
        <v>0.027313005176470596</v>
      </c>
      <c r="J46" s="1533">
        <f>AVERAGEIFS('General Lighting Calculations'!$Q:$Q,'General Lighting Calculations'!$AF:$AF,1,'General Lighting Calculations'!$B:$B,"Clay")</f>
        <v>20.309723280020311</v>
      </c>
      <c r="K46" s="1535">
        <f>(G46*H46)/1000</f>
        <v>24.666018000000005</v>
      </c>
      <c r="L46" s="1535">
        <f>J46*K46</f>
        <v>500.96000000000015</v>
      </c>
      <c r="M46" s="1535">
        <f>G46*I46</f>
        <v>3.7145687040000013</v>
      </c>
      <c r="N46" s="1490"/>
      <c r="O46" s="267"/>
    </row>
    <row r="47" spans="1:15" ht="140.4">
      <c r="A47" s="1468" t="s">
        <v>1295</v>
      </c>
      <c r="B47" s="1521" t="s">
        <v>1295</v>
      </c>
      <c r="C47" s="1536"/>
      <c r="D47" s="1536"/>
      <c r="E47" s="1536"/>
      <c r="F47" s="1539" t="s">
        <v>1781</v>
      </c>
      <c r="G47" s="1538">
        <f>'System Savings Questionnaire'!C80</f>
        <v>2997542048</v>
      </c>
      <c r="H47" s="1533">
        <f>G47*0.8%*2.6*(61/8760)</f>
        <v>434164.53772858455</v>
      </c>
      <c r="I47" s="1533">
        <f>268123*1.7*0.8%+411686*2.9*0.8%+122495*4.2*0.8%</f>
        <v>17313.419999999998</v>
      </c>
      <c r="J47" s="1533">
        <v>1</v>
      </c>
      <c r="K47" s="1535">
        <f>(H47)/1000</f>
        <v>434.16453772858455</v>
      </c>
      <c r="L47" s="1535">
        <f>J47*K47</f>
        <v>434.16453772858455</v>
      </c>
      <c r="M47" s="1533">
        <f>I47</f>
        <v>17313.419999999998</v>
      </c>
      <c r="N47" s="1540" t="s">
        <v>1789</v>
      </c>
      <c r="O47" s="267"/>
    </row>
    <row r="48" spans="1:15" ht="15.6">
      <c r="A48" s="1442" t="s">
        <v>77</v>
      </c>
      <c r="B48" s="1442"/>
      <c r="C48" s="1446">
        <f>SUM(C46)</f>
        <v>0</v>
      </c>
      <c r="D48" s="1529">
        <f>SUM(D46)</f>
        <v>0</v>
      </c>
      <c r="E48" s="1446">
        <f>SUM(D43:D46)</f>
        <v>0</v>
      </c>
      <c r="F48" s="1438" t="s">
        <v>76</v>
      </c>
      <c r="G48" s="1442">
        <f>SUM(G46:G47)</f>
        <v>2997542184</v>
      </c>
      <c r="H48" s="1442">
        <f t="shared" si="29" ref="H48:M48">SUM(H46:H47)</f>
        <v>434345.90550799633</v>
      </c>
      <c r="I48" s="1442">
        <f t="shared" si="29"/>
        <v>17313.447313005174</v>
      </c>
      <c r="J48" s="1442">
        <f t="shared" si="29"/>
        <v>21.309723280020311</v>
      </c>
      <c r="K48" s="1442">
        <f t="shared" si="29"/>
        <v>458.83055572858456</v>
      </c>
      <c r="L48" s="1442">
        <f t="shared" si="29"/>
        <v>935.12453772858476</v>
      </c>
      <c r="M48" s="1442">
        <f t="shared" si="29"/>
        <v>17317.134568703998</v>
      </c>
      <c r="N48" s="1526"/>
      <c r="O48" s="267"/>
    </row>
    <row r="49" spans="1:15" ht="16.2" thickBot="1">
      <c r="A49" s="93"/>
      <c r="B49" s="92"/>
      <c r="C49" s="92"/>
      <c r="D49" s="92"/>
      <c r="E49" s="92"/>
      <c r="F49" s="92"/>
      <c r="G49" s="92"/>
      <c r="H49" s="92"/>
      <c r="I49" s="92"/>
      <c r="J49" s="92"/>
      <c r="K49" s="92"/>
      <c r="L49" s="92"/>
      <c r="O49" s="267"/>
    </row>
    <row r="50" spans="1:15" ht="21.6" thickBot="1">
      <c r="A50" s="1679" t="s">
        <v>75</v>
      </c>
      <c r="B50" s="1680"/>
      <c r="C50" s="1681"/>
      <c r="H50" s="663"/>
      <c r="O50" s="267"/>
    </row>
    <row r="51" spans="1:15" ht="15.6">
      <c r="A51" s="91" t="s">
        <v>74</v>
      </c>
      <c r="B51" s="90" t="s">
        <v>73</v>
      </c>
      <c r="C51" s="89" t="s">
        <v>72</v>
      </c>
      <c r="O51" s="267"/>
    </row>
    <row r="52" spans="1:15" ht="14.4">
      <c r="A52" s="523" t="s">
        <v>61</v>
      </c>
      <c r="B52" s="601">
        <v>0</v>
      </c>
      <c r="C52" s="664">
        <v>0</v>
      </c>
      <c r="O52" s="267"/>
    </row>
    <row r="53" spans="1:15" ht="14.4">
      <c r="A53" s="523" t="s">
        <v>60</v>
      </c>
      <c r="B53" s="601">
        <v>0</v>
      </c>
      <c r="C53" s="664">
        <v>0</v>
      </c>
      <c r="O53" s="267"/>
    </row>
    <row r="54" spans="1:15" ht="14.4">
      <c r="A54" s="523" t="s">
        <v>59</v>
      </c>
      <c r="B54" s="601">
        <v>0</v>
      </c>
      <c r="C54" s="664">
        <v>0</v>
      </c>
      <c r="O54" s="267"/>
    </row>
    <row r="55" spans="1:15" ht="16.2" thickBot="1">
      <c r="A55" s="85" t="str">
        <f>"Total for "&amp;A50</f>
        <v>Total for Advanced Metering</v>
      </c>
      <c r="B55" s="84">
        <f>SUM(B52:B54)</f>
        <v>0</v>
      </c>
      <c r="C55" s="83">
        <f>SUM(C52:C54)</f>
        <v>0</v>
      </c>
      <c r="O55" s="267"/>
    </row>
  </sheetData>
  <mergeCells count="30">
    <mergeCell ref="A1:N1"/>
    <mergeCell ref="AS20:AT20"/>
    <mergeCell ref="P5:Q5"/>
    <mergeCell ref="A50:C50"/>
    <mergeCell ref="F20:L20"/>
    <mergeCell ref="A35:N35"/>
    <mergeCell ref="A44:N44"/>
    <mergeCell ref="F16:H16"/>
    <mergeCell ref="F10:H10"/>
    <mergeCell ref="F11:H11"/>
    <mergeCell ref="F12:H12"/>
    <mergeCell ref="F13:H13"/>
    <mergeCell ref="F14:H14"/>
    <mergeCell ref="F15:H15"/>
    <mergeCell ref="A19:N19"/>
    <mergeCell ref="S6:U6"/>
    <mergeCell ref="A4:N4"/>
    <mergeCell ref="F6:H6"/>
    <mergeCell ref="F7:H7"/>
    <mergeCell ref="F8:H8"/>
    <mergeCell ref="F9:H9"/>
    <mergeCell ref="AB18:AE18"/>
    <mergeCell ref="AJ18:AM18"/>
    <mergeCell ref="AB19:AQ19"/>
    <mergeCell ref="S20:AA20"/>
    <mergeCell ref="AB20:AE20"/>
    <mergeCell ref="AF20:AI20"/>
    <mergeCell ref="AJ20:AM20"/>
    <mergeCell ref="AN20:AQ20"/>
    <mergeCell ref="S19:AA19"/>
  </mergeCells>
  <pageMargins left="0.7" right="0.7" top="0.75" bottom="0.75" header="0.3" footer="0.3"/>
  <pageSetup orientation="portrait" r:id="rId2"/>
  <ignoredErrors>
    <ignoredError sqref="S8:AV21 S29:AV31 S22:AE22 AG22:AV22 S23:AE28 AG23:AV28" unlockedFormula="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24997"/>
  </sheetPr>
  <dimension ref="A1:AU55"/>
  <sheetViews>
    <sheetView zoomScale="70" zoomScaleNormal="70" workbookViewId="0" topLeftCell="F40">
      <selection pane="topLeft" activeCell="A1" sqref="A1"/>
    </sheetView>
  </sheetViews>
  <sheetFormatPr defaultColWidth="8.88888888888889" defaultRowHeight="14.4" outlineLevelCol="1"/>
  <cols>
    <col min="1" max="1" width="49.7777777777778" customWidth="1"/>
    <col min="2" max="2" width="33.7777777777778" customWidth="1"/>
    <col min="3" max="3" width="17.2222222222222" customWidth="1"/>
    <col min="4" max="4" width="19.2222222222222" customWidth="1"/>
    <col min="5" max="5" width="21" customWidth="1"/>
    <col min="6" max="6" width="20.2222222222222" customWidth="1"/>
    <col min="7" max="7" width="17.5555555555556" customWidth="1"/>
    <col min="8" max="8" width="16.7777777777778" customWidth="1"/>
    <col min="9" max="9" width="20.2222222222222" customWidth="1"/>
    <col min="10" max="10" width="15.7777777777778" customWidth="1"/>
    <col min="11" max="11" width="15" customWidth="1"/>
    <col min="12" max="12" width="15.2222222222222" customWidth="1"/>
    <col min="13" max="13" width="12.4444444444444" customWidth="1"/>
    <col min="14" max="14" width="91" bestFit="1" customWidth="1"/>
    <col min="15" max="15" width="10.5555555555556" hidden="1" customWidth="1"/>
    <col min="16" max="16" width="54.2222222222222" customWidth="1"/>
    <col min="17" max="17" width="35.7777777777778" customWidth="1"/>
    <col min="18" max="18" width="2.55555555555556" customWidth="1"/>
    <col min="19" max="19" width="33.7777777777778" bestFit="1" customWidth="1"/>
    <col min="20" max="20" width="13.2222222222222" bestFit="1" customWidth="1"/>
    <col min="21" max="21" width="40.2222222222222" bestFit="1" customWidth="1"/>
    <col min="22" max="23" width="10.7777777777778" customWidth="1"/>
    <col min="24" max="24" width="11.5555555555556" bestFit="1" customWidth="1"/>
    <col min="25" max="27" width="10.7777777777778" customWidth="1"/>
    <col min="28" max="31" width="10.7777777777778" customWidth="1" outlineLevel="1"/>
    <col min="32" max="32" width="10.7777777777778" customWidth="1" collapsed="1"/>
    <col min="33" max="35" width="10.7777777777778" customWidth="1"/>
    <col min="36" max="39" width="10.7777777777778" customWidth="1" outlineLevel="1"/>
    <col min="40" max="40" width="10.7777777777778" customWidth="1" collapsed="1"/>
    <col min="41" max="41" width="14.5555555555556" bestFit="1" customWidth="1"/>
    <col min="42" max="42" width="12" customWidth="1"/>
    <col min="43" max="43" width="10.7777777777778" customWidth="1"/>
    <col min="44" max="44" width="8.88888888888889" customWidth="1"/>
    <col min="45" max="46" width="11.2222222222222" style="241" customWidth="1"/>
    <col min="47" max="47" width="11.7777777777778" bestFit="1" customWidth="1"/>
  </cols>
  <sheetData>
    <row r="1" spans="1:39" ht="14.4">
      <c r="A1" s="1691" t="s">
        <v>1625</v>
      </c>
      <c r="B1" s="1760"/>
      <c r="C1" s="1760"/>
      <c r="D1" s="1760"/>
      <c r="E1" s="1760"/>
      <c r="F1" s="1760"/>
      <c r="G1" s="1760"/>
      <c r="H1" s="1761"/>
      <c r="I1" s="1761"/>
      <c r="J1" s="1761"/>
      <c r="K1" s="1761"/>
      <c r="L1" s="1761"/>
      <c r="M1" s="1761"/>
      <c r="N1" s="1761"/>
    </row>
    <row r="2" spans="15:39" ht="14.4"/>
    <row r="3" spans="15:39" ht="14.4"/>
    <row r="4" spans="1:39" ht="25.8">
      <c r="A4" s="1709" t="str">
        <f>"Clay "&amp;$T$4</f>
        <v>Clay 2015</v>
      </c>
      <c r="B4" s="1710"/>
      <c r="C4" s="1710"/>
      <c r="D4" s="1710"/>
      <c r="E4" s="1710"/>
      <c r="F4" s="1710"/>
      <c r="G4" s="1710"/>
      <c r="H4" s="1710"/>
      <c r="I4" s="1710"/>
      <c r="J4" s="1710"/>
      <c r="K4" s="1710"/>
      <c r="L4" s="1710"/>
      <c r="M4" s="1710"/>
      <c r="N4" s="1710"/>
      <c r="S4" s="490" t="s">
        <v>1160</v>
      </c>
      <c r="T4" s="490">
        <f>'Save Spend Summary'!$C$2</f>
        <v>2015</v>
      </c>
    </row>
    <row r="5" spans="1:46" s="24" customFormat="1" ht="15" customHeight="1" thickBot="1">
      <c r="A5" s="194"/>
      <c r="B5" s="194"/>
      <c r="C5" s="194"/>
      <c r="D5" s="194"/>
      <c r="E5" s="194"/>
      <c r="F5" s="194"/>
      <c r="G5" s="194"/>
      <c r="H5" s="194"/>
      <c r="I5" s="194"/>
      <c r="J5" s="194"/>
      <c r="K5" s="194"/>
      <c r="L5" s="194"/>
      <c r="O5" s="24"/>
      <c r="P5" s="1780" t="s">
        <v>140</v>
      </c>
      <c r="Q5" s="1780"/>
      <c r="R5" s="444"/>
      <c r="AB5" s="24"/>
      <c r="AC5" s="24"/>
      <c r="AD5" s="24"/>
      <c r="AE5" s="24"/>
      <c r="AJ5" s="24"/>
      <c r="AK5" s="24"/>
      <c r="AL5" s="24"/>
      <c r="AM5" s="24"/>
      <c r="AS5" s="395"/>
      <c r="AT5" s="395"/>
    </row>
    <row r="6" spans="1:46" s="24" customFormat="1" ht="47.1" customHeight="1" thickBot="1">
      <c r="A6" s="443" t="s">
        <v>139</v>
      </c>
      <c r="B6" s="251" t="s">
        <v>88</v>
      </c>
      <c r="C6" s="250" t="s">
        <v>87</v>
      </c>
      <c r="D6" s="249" t="s">
        <v>86</v>
      </c>
      <c r="F6" s="1711" t="s">
        <v>138</v>
      </c>
      <c r="G6" s="1712"/>
      <c r="H6" s="1712"/>
      <c r="I6" s="248" t="s">
        <v>80</v>
      </c>
      <c r="J6" s="248" t="s">
        <v>79</v>
      </c>
      <c r="K6" s="247" t="s">
        <v>95</v>
      </c>
      <c r="M6" s="246"/>
      <c r="O6" s="24"/>
      <c r="P6" s="241" t="s">
        <v>137</v>
      </c>
      <c r="Q6" s="240">
        <v>98225.77</v>
      </c>
      <c r="R6" s="240"/>
      <c r="S6" s="1673" t="s">
        <v>834</v>
      </c>
      <c r="T6" s="1674"/>
      <c r="U6" s="1675"/>
      <c r="AB6" s="24"/>
      <c r="AC6" s="24"/>
      <c r="AD6" s="24"/>
      <c r="AE6" s="24"/>
      <c r="AJ6" s="24"/>
      <c r="AK6" s="24"/>
      <c r="AL6" s="24"/>
      <c r="AM6" s="24"/>
      <c r="AS6" s="395"/>
      <c r="AT6" s="395"/>
    </row>
    <row r="7" spans="1:46" s="24" customFormat="1" ht="15" customHeight="1">
      <c r="A7" s="245" t="s">
        <v>136</v>
      </c>
      <c r="B7" s="244"/>
      <c r="C7" s="244"/>
      <c r="D7" s="243"/>
      <c r="F7" s="1676" t="s">
        <v>136</v>
      </c>
      <c r="G7" s="1677"/>
      <c r="H7" s="1678"/>
      <c r="I7" s="244"/>
      <c r="J7" s="244"/>
      <c r="K7" s="243"/>
      <c r="M7" s="242"/>
      <c r="O7" s="24"/>
      <c r="P7" s="241" t="s">
        <v>135</v>
      </c>
      <c r="Q7" s="240">
        <v>259625.97</v>
      </c>
      <c r="R7" s="240"/>
      <c r="S7" s="386" t="s">
        <v>196</v>
      </c>
      <c r="T7" s="386" t="s">
        <v>194</v>
      </c>
      <c r="U7" s="386" t="s">
        <v>78</v>
      </c>
      <c r="AB7" s="24"/>
      <c r="AC7" s="24"/>
      <c r="AD7" s="24"/>
      <c r="AE7" s="24"/>
      <c r="AJ7" s="24"/>
      <c r="AK7" s="24"/>
      <c r="AL7" s="24"/>
      <c r="AM7" s="24"/>
      <c r="AS7" s="395"/>
      <c r="AT7" s="395"/>
    </row>
    <row r="8" spans="1:46" s="24" customFormat="1" ht="15" customHeight="1">
      <c r="A8" s="209" t="s">
        <v>134</v>
      </c>
      <c r="B8" s="235">
        <f>$C$29</f>
        <v>149950.14236791324</v>
      </c>
      <c r="C8" s="207">
        <f>D29</f>
        <v>193808.40000000002</v>
      </c>
      <c r="D8" s="206">
        <f>SUM(B8:C8)</f>
        <v>343758.54236791329</v>
      </c>
      <c r="F8" s="1669" t="s">
        <v>134</v>
      </c>
      <c r="G8" s="1647"/>
      <c r="H8" s="1648"/>
      <c r="I8" s="239">
        <f>K29</f>
        <v>367.59130964345673</v>
      </c>
      <c r="J8" s="211">
        <f>L29</f>
        <v>5044.0448157203336</v>
      </c>
      <c r="K8" s="210">
        <f>M29</f>
        <v>105.79097212833885</v>
      </c>
      <c r="O8" s="24"/>
      <c r="P8" s="241" t="s">
        <v>133</v>
      </c>
      <c r="Q8" s="240">
        <v>205584.99</v>
      </c>
      <c r="R8" s="240"/>
      <c r="S8" s="382" t="s">
        <v>833</v>
      </c>
      <c r="T8" s="385">
        <f>'Seminole Avoided Cost'!$C$8</f>
        <v>0.06</v>
      </c>
      <c r="U8" s="438" t="s">
        <v>1120</v>
      </c>
      <c r="AB8" s="24"/>
      <c r="AC8" s="24"/>
      <c r="AD8" s="24"/>
      <c r="AE8" s="24"/>
      <c r="AJ8" s="24"/>
      <c r="AK8" s="24"/>
      <c r="AL8" s="24"/>
      <c r="AM8" s="24"/>
      <c r="AS8" s="395"/>
      <c r="AT8" s="395"/>
    </row>
    <row r="9" spans="1:46" s="24" customFormat="1" ht="15" customHeight="1">
      <c r="A9" s="209" t="s">
        <v>132</v>
      </c>
      <c r="B9" s="235">
        <f>C38</f>
        <v>0</v>
      </c>
      <c r="C9" s="207">
        <f>D38</f>
        <v>0</v>
      </c>
      <c r="D9" s="206">
        <f>SUM(B9:C9)</f>
        <v>0</v>
      </c>
      <c r="F9" s="1669" t="s">
        <v>132</v>
      </c>
      <c r="G9" s="1647"/>
      <c r="H9" s="1648"/>
      <c r="I9" s="239">
        <f>K38</f>
        <v>1.3341899999999998</v>
      </c>
      <c r="J9" s="239">
        <f>L38</f>
        <v>16.499999999999996</v>
      </c>
      <c r="K9" s="333">
        <f>M38</f>
        <v>0</v>
      </c>
      <c r="O9" s="24"/>
      <c r="P9" s="238" t="s">
        <v>131</v>
      </c>
      <c r="Q9" s="237">
        <f>Q6+Q7-Q8</f>
        <v>152266.75</v>
      </c>
      <c r="R9" s="237"/>
      <c r="S9" s="382" t="s">
        <v>832</v>
      </c>
      <c r="T9" s="384">
        <v>0</v>
      </c>
      <c r="U9" s="438" t="s">
        <v>857</v>
      </c>
      <c r="AB9" s="24"/>
      <c r="AC9" s="24"/>
      <c r="AD9" s="24"/>
      <c r="AE9" s="24"/>
      <c r="AJ9" s="24"/>
      <c r="AK9" s="24"/>
      <c r="AL9" s="24"/>
      <c r="AM9" s="24"/>
      <c r="AS9" s="395"/>
      <c r="AT9" s="395"/>
    </row>
    <row r="10" spans="1:46" s="24" customFormat="1" ht="15" customHeight="1" thickBot="1">
      <c r="A10" s="236" t="s">
        <v>130</v>
      </c>
      <c r="B10" s="235">
        <f>C46</f>
        <v>0</v>
      </c>
      <c r="C10" s="207">
        <f>D46</f>
        <v>0</v>
      </c>
      <c r="D10" s="229">
        <f>SUM(B10:C10)</f>
        <v>0</v>
      </c>
      <c r="F10" s="1670" t="s">
        <v>130</v>
      </c>
      <c r="G10" s="1671"/>
      <c r="H10" s="1672"/>
      <c r="I10" s="234">
        <f>K48</f>
        <v>458.83055572858456</v>
      </c>
      <c r="J10" s="233">
        <f>L48</f>
        <v>935.12453772858476</v>
      </c>
      <c r="K10" s="232">
        <f>M48</f>
        <v>17317.134568703998</v>
      </c>
      <c r="O10" s="24"/>
      <c r="S10" s="382" t="s">
        <v>831</v>
      </c>
      <c r="T10" s="384">
        <v>0</v>
      </c>
      <c r="U10" s="438" t="s">
        <v>857</v>
      </c>
      <c r="AB10" s="24"/>
      <c r="AC10" s="24"/>
      <c r="AD10" s="24"/>
      <c r="AE10" s="24"/>
      <c r="AJ10" s="24"/>
      <c r="AK10" s="24"/>
      <c r="AL10" s="24"/>
      <c r="AM10" s="24"/>
      <c r="AS10" s="395"/>
      <c r="AT10" s="395"/>
    </row>
    <row r="11" spans="1:46" s="24" customFormat="1" ht="15" customHeight="1" thickTop="1" thickBot="1">
      <c r="A11" s="231" t="s">
        <v>129</v>
      </c>
      <c r="B11" s="230">
        <v>0</v>
      </c>
      <c r="C11" s="208"/>
      <c r="D11" s="229">
        <f>SUM(B11:C11)</f>
        <v>0</v>
      </c>
      <c r="F11" s="1665" t="s">
        <v>128</v>
      </c>
      <c r="G11" s="1666"/>
      <c r="H11" s="1667"/>
      <c r="I11" s="228">
        <f>SUM(I8:I10)</f>
        <v>827.75605537204126</v>
      </c>
      <c r="J11" s="228">
        <f>SUM(J8:J10)</f>
        <v>5995.6693534489186</v>
      </c>
      <c r="K11" s="227">
        <f>SUM(K8:K10)</f>
        <v>17422.925540832337</v>
      </c>
      <c r="O11" s="24"/>
      <c r="S11" s="382" t="s">
        <v>830</v>
      </c>
      <c r="T11" s="384">
        <v>0</v>
      </c>
      <c r="U11" s="438" t="s">
        <v>857</v>
      </c>
      <c r="AB11" s="24"/>
      <c r="AC11" s="24"/>
      <c r="AD11" s="24"/>
      <c r="AE11" s="24"/>
      <c r="AJ11" s="24"/>
      <c r="AK11" s="24"/>
      <c r="AL11" s="24"/>
      <c r="AM11" s="24"/>
      <c r="AS11" s="395"/>
      <c r="AT11" s="395"/>
    </row>
    <row r="12" spans="1:46" s="46" customFormat="1" ht="15" customHeight="1" thickTop="1">
      <c r="A12" s="226" t="s">
        <v>128</v>
      </c>
      <c r="B12" s="225">
        <f>SUM(B8:B11)</f>
        <v>149950.14236791324</v>
      </c>
      <c r="C12" s="224">
        <f>SUM(C8:C11)</f>
        <v>193808.40000000002</v>
      </c>
      <c r="D12" s="223">
        <f>SUM(D8:D11)</f>
        <v>343758.54236791329</v>
      </c>
      <c r="F12" s="1668" t="s">
        <v>127</v>
      </c>
      <c r="G12" s="1662"/>
      <c r="H12" s="1663"/>
      <c r="I12" s="222"/>
      <c r="J12" s="222"/>
      <c r="K12" s="221"/>
      <c r="O12" s="46"/>
      <c r="S12" s="382" t="s">
        <v>829</v>
      </c>
      <c r="T12" s="383">
        <f>VLOOKUP($U12,'2015 Annual Sales and Revenue '!$B$3:$H$29,7,FALSE)</f>
        <v>0.12227100680428435</v>
      </c>
      <c r="U12" s="438" t="s">
        <v>1148</v>
      </c>
      <c r="AB12" s="46"/>
      <c r="AC12" s="46"/>
      <c r="AD12" s="46"/>
      <c r="AE12" s="46"/>
      <c r="AJ12" s="46"/>
      <c r="AK12" s="46"/>
      <c r="AL12" s="46"/>
      <c r="AM12" s="46"/>
      <c r="AS12" s="396"/>
      <c r="AT12" s="396"/>
    </row>
    <row r="13" spans="1:46" s="24" customFormat="1" ht="15" customHeight="1">
      <c r="A13" s="220" t="s">
        <v>127</v>
      </c>
      <c r="B13" s="219"/>
      <c r="C13" s="219"/>
      <c r="D13" s="218"/>
      <c r="F13" s="1669" t="s">
        <v>126</v>
      </c>
      <c r="G13" s="1647"/>
      <c r="H13" s="1648"/>
      <c r="I13" s="217">
        <f>K33</f>
        <v>0</v>
      </c>
      <c r="J13" s="217">
        <f>L33</f>
        <v>0</v>
      </c>
      <c r="K13" s="216">
        <f>M33</f>
        <v>0</v>
      </c>
      <c r="O13" s="24"/>
      <c r="S13" s="382" t="s">
        <v>856</v>
      </c>
      <c r="T13" s="383">
        <f>VLOOKUP($U13,'2015 Annual Sales and Revenue '!$B$3:$H$29,7,FALSE)</f>
        <v>0.11601786528653454</v>
      </c>
      <c r="U13" s="438" t="s">
        <v>1149</v>
      </c>
      <c r="AB13" s="24"/>
      <c r="AC13" s="24"/>
      <c r="AD13" s="24"/>
      <c r="AE13" s="24"/>
      <c r="AJ13" s="24"/>
      <c r="AK13" s="24"/>
      <c r="AL13" s="24"/>
      <c r="AM13" s="24"/>
      <c r="AS13" s="395"/>
      <c r="AT13" s="395"/>
    </row>
    <row r="14" spans="1:42" s="24" customFormat="1" ht="15" customHeight="1" thickBot="1">
      <c r="A14" s="215" t="s">
        <v>126</v>
      </c>
      <c r="B14" s="214">
        <f>C33</f>
        <v>0</v>
      </c>
      <c r="C14" s="213">
        <f>D33</f>
        <v>0</v>
      </c>
      <c r="D14" s="212">
        <f>SUM(B14:C14)</f>
        <v>0</v>
      </c>
      <c r="F14" s="1670" t="s">
        <v>125</v>
      </c>
      <c r="G14" s="1671"/>
      <c r="H14" s="1672"/>
      <c r="I14" s="211">
        <f>K41</f>
        <v>0</v>
      </c>
      <c r="J14" s="211">
        <f>L41</f>
        <v>0</v>
      </c>
      <c r="K14" s="210">
        <f>M41</f>
        <v>0</v>
      </c>
      <c r="O14" s="24"/>
      <c r="AB14" s="24"/>
      <c r="AC14" s="24"/>
      <c r="AD14" s="24"/>
      <c r="AE14" s="24"/>
      <c r="AJ14" s="24"/>
      <c r="AK14" s="24"/>
      <c r="AL14" s="24"/>
      <c r="AM14" s="24"/>
      <c r="AO14" s="395"/>
      <c r="AP14" s="395"/>
    </row>
    <row r="15" spans="1:42" s="24" customFormat="1" ht="15" customHeight="1" thickBot="1">
      <c r="A15" s="209" t="s">
        <v>124</v>
      </c>
      <c r="B15" s="208">
        <f>C42</f>
        <v>0</v>
      </c>
      <c r="C15" s="207">
        <f>D42</f>
        <v>0</v>
      </c>
      <c r="D15" s="206">
        <f>SUM(B15:C15)</f>
        <v>0</v>
      </c>
      <c r="F15" s="1706" t="s">
        <v>123</v>
      </c>
      <c r="G15" s="1707"/>
      <c r="H15" s="1708"/>
      <c r="I15" s="205">
        <f>SUM(I13:I14)</f>
        <v>0</v>
      </c>
      <c r="J15" s="205">
        <f>SUM(J13:J14)</f>
        <v>0</v>
      </c>
      <c r="K15" s="204">
        <f>SUM(K13:K14)</f>
        <v>0</v>
      </c>
      <c r="O15" s="24"/>
      <c r="AB15" s="24"/>
      <c r="AC15" s="24"/>
      <c r="AD15" s="24"/>
      <c r="AE15" s="24"/>
      <c r="AJ15" s="24"/>
      <c r="AK15" s="24"/>
      <c r="AL15" s="24"/>
      <c r="AM15" s="24"/>
      <c r="AO15" s="395"/>
      <c r="AP15" s="395"/>
    </row>
    <row r="16" spans="1:46" s="24" customFormat="1" ht="15" customHeight="1" thickBot="1">
      <c r="A16" s="203" t="s">
        <v>123</v>
      </c>
      <c r="B16" s="202">
        <f>SUM(B14:B15)</f>
        <v>0</v>
      </c>
      <c r="C16" s="202">
        <f>SUM(C14:C15)</f>
        <v>0</v>
      </c>
      <c r="D16" s="201">
        <f>SUM(D14:D15)</f>
        <v>0</v>
      </c>
      <c r="F16" s="1762" t="s">
        <v>656</v>
      </c>
      <c r="G16" s="1763"/>
      <c r="H16" s="1764"/>
      <c r="I16" s="200">
        <f>SUM(I11,I15)</f>
        <v>827.75605537204126</v>
      </c>
      <c r="J16" s="200">
        <f>SUM(J11,J15)</f>
        <v>5995.6693534489186</v>
      </c>
      <c r="K16" s="199">
        <f>SUM(K11,K15)</f>
        <v>17422.925540832337</v>
      </c>
      <c r="O16" s="24"/>
      <c r="AB16" s="24"/>
      <c r="AC16" s="24"/>
      <c r="AD16" s="24"/>
      <c r="AE16" s="24"/>
      <c r="AJ16" s="24"/>
      <c r="AK16" s="24"/>
      <c r="AL16" s="24"/>
      <c r="AM16" s="24"/>
      <c r="AS16" s="395"/>
      <c r="AT16" s="395"/>
    </row>
    <row r="17" spans="1:46" s="24" customFormat="1" ht="15" customHeight="1" thickBot="1">
      <c r="A17" s="198" t="s">
        <v>656</v>
      </c>
      <c r="B17" s="197">
        <f>SUM(B12,B16)</f>
        <v>149950.14236791324</v>
      </c>
      <c r="C17" s="197">
        <f>SUM(C12,C16)</f>
        <v>193808.40000000002</v>
      </c>
      <c r="D17" s="196">
        <f>SUM(D12,D16)</f>
        <v>343758.54236791329</v>
      </c>
      <c r="O17" s="24"/>
      <c r="AB17" s="24"/>
      <c r="AC17" s="24"/>
      <c r="AD17" s="24"/>
      <c r="AE17" s="24"/>
      <c r="AJ17" s="24"/>
      <c r="AK17" s="24"/>
      <c r="AL17" s="24"/>
      <c r="AM17" s="24"/>
      <c r="AS17" s="395"/>
      <c r="AT17" s="395"/>
    </row>
    <row r="18" spans="1:46" s="24" customFormat="1" ht="15" customHeight="1" thickBot="1">
      <c r="A18" s="195"/>
      <c r="B18" s="195"/>
      <c r="C18" s="194"/>
      <c r="D18" s="194"/>
      <c r="E18" s="194"/>
      <c r="F18" s="194"/>
      <c r="G18" s="194"/>
      <c r="H18" s="194"/>
      <c r="I18" s="194"/>
      <c r="J18" s="194"/>
      <c r="K18" s="194"/>
      <c r="O18" s="24"/>
      <c r="AB18" s="1627" t="s">
        <v>1161</v>
      </c>
      <c r="AC18" s="1627"/>
      <c r="AD18" s="1627"/>
      <c r="AE18" s="1627"/>
      <c r="AJ18" s="1627" t="s">
        <v>1161</v>
      </c>
      <c r="AK18" s="1627"/>
      <c r="AL18" s="1627"/>
      <c r="AM18" s="1627"/>
      <c r="AS18" s="395"/>
      <c r="AT18" s="395"/>
    </row>
    <row r="19" spans="1:45" ht="37.5" customHeight="1" thickBot="1">
      <c r="A19" s="1696" t="s">
        <v>122</v>
      </c>
      <c r="B19" s="1697"/>
      <c r="C19" s="1697"/>
      <c r="D19" s="1697"/>
      <c r="E19" s="1697"/>
      <c r="F19" s="1697"/>
      <c r="G19" s="1697"/>
      <c r="H19" s="1697"/>
      <c r="I19" s="1697"/>
      <c r="J19" s="1697"/>
      <c r="K19" s="1697"/>
      <c r="L19" s="1697"/>
      <c r="M19" s="1697"/>
      <c r="N19" s="1698"/>
      <c r="S19" s="1777" t="s">
        <v>855</v>
      </c>
      <c r="T19" s="1768"/>
      <c r="U19" s="1768"/>
      <c r="V19" s="1768"/>
      <c r="W19" s="1768"/>
      <c r="X19" s="1768"/>
      <c r="Y19" s="1768"/>
      <c r="Z19" s="1768"/>
      <c r="AA19" s="1778"/>
      <c r="AB19" s="1767" t="s">
        <v>854</v>
      </c>
      <c r="AC19" s="1768"/>
      <c r="AD19" s="1768"/>
      <c r="AE19" s="1768"/>
      <c r="AF19" s="1768"/>
      <c r="AG19" s="1768"/>
      <c r="AH19" s="1768"/>
      <c r="AI19" s="1768"/>
      <c r="AJ19" s="1768"/>
      <c r="AK19" s="1768"/>
      <c r="AL19" s="1768"/>
      <c r="AM19" s="1768"/>
      <c r="AN19" s="1768"/>
      <c r="AO19" s="1768"/>
      <c r="AP19" s="1768"/>
      <c r="AQ19" s="1769"/>
      <c r="AR19" s="291"/>
      <c r="AS19" s="46"/>
    </row>
    <row r="20" spans="1:47" ht="15.6">
      <c r="A20" s="193"/>
      <c r="B20" s="192"/>
      <c r="C20" s="191" t="s">
        <v>121</v>
      </c>
      <c r="D20" s="190"/>
      <c r="E20" s="189"/>
      <c r="F20" s="1685" t="s">
        <v>120</v>
      </c>
      <c r="G20" s="1686"/>
      <c r="H20" s="1686"/>
      <c r="I20" s="1686"/>
      <c r="J20" s="1686"/>
      <c r="K20" s="1686"/>
      <c r="L20" s="1687"/>
      <c r="M20" s="188"/>
      <c r="N20" s="187"/>
      <c r="S20" s="1770"/>
      <c r="T20" s="1771"/>
      <c r="U20" s="1771"/>
      <c r="V20" s="1771"/>
      <c r="W20" s="1771"/>
      <c r="X20" s="1771"/>
      <c r="Y20" s="1771"/>
      <c r="Z20" s="1771"/>
      <c r="AA20" s="1772"/>
      <c r="AB20" s="1773" t="s">
        <v>853</v>
      </c>
      <c r="AC20" s="1774"/>
      <c r="AD20" s="1774"/>
      <c r="AE20" s="1775"/>
      <c r="AF20" s="1773" t="s">
        <v>852</v>
      </c>
      <c r="AG20" s="1774"/>
      <c r="AH20" s="1774"/>
      <c r="AI20" s="1775"/>
      <c r="AJ20" s="1773" t="s">
        <v>851</v>
      </c>
      <c r="AK20" s="1774"/>
      <c r="AL20" s="1774"/>
      <c r="AM20" s="1775"/>
      <c r="AN20" s="1773" t="s">
        <v>850</v>
      </c>
      <c r="AO20" s="1774"/>
      <c r="AP20" s="1774"/>
      <c r="AQ20" s="1776"/>
      <c r="AR20" s="291"/>
      <c r="AS20" s="1779" t="s">
        <v>849</v>
      </c>
      <c r="AT20" s="1775"/>
      <c r="AU20" s="408" t="s">
        <v>858</v>
      </c>
    </row>
    <row r="21" spans="1:47" ht="63" thickBot="1">
      <c r="A21" s="186" t="s">
        <v>119</v>
      </c>
      <c r="B21" s="142" t="s">
        <v>89</v>
      </c>
      <c r="C21" s="107" t="s">
        <v>88</v>
      </c>
      <c r="D21" s="106" t="s">
        <v>87</v>
      </c>
      <c r="E21" s="105" t="s">
        <v>86</v>
      </c>
      <c r="F21" s="185" t="s">
        <v>85</v>
      </c>
      <c r="G21" s="185" t="s">
        <v>84</v>
      </c>
      <c r="H21" s="185" t="s">
        <v>97</v>
      </c>
      <c r="I21" s="185" t="s">
        <v>82</v>
      </c>
      <c r="J21" s="185" t="s">
        <v>96</v>
      </c>
      <c r="K21" s="185" t="s">
        <v>80</v>
      </c>
      <c r="L21" s="185" t="s">
        <v>79</v>
      </c>
      <c r="M21" s="185" t="s">
        <v>95</v>
      </c>
      <c r="N21" s="184" t="s">
        <v>78</v>
      </c>
      <c r="P21" s="183" t="str">
        <f>K21&amp;" Weighting"</f>
        <v>Total Annual MWh Weighting</v>
      </c>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291"/>
      <c r="AS21" s="397" t="s">
        <v>791</v>
      </c>
      <c r="AT21" s="386" t="s">
        <v>1164</v>
      </c>
      <c r="AU21" s="398" t="s">
        <v>752</v>
      </c>
    </row>
    <row r="22" spans="1:47" ht="16.8" thickTop="1" thickBot="1">
      <c r="A22" s="172" t="s">
        <v>118</v>
      </c>
      <c r="B22" s="180" t="s">
        <v>117</v>
      </c>
      <c r="C22" s="170">
        <v>0</v>
      </c>
      <c r="D22" s="179">
        <v>1847</v>
      </c>
      <c r="E22" s="182">
        <f t="shared" si="0" ref="E22:E28">SUM(C22:D22)</f>
        <v>1847</v>
      </c>
      <c r="F22" s="178" t="s">
        <v>116</v>
      </c>
      <c r="G22" s="177">
        <v>200</v>
      </c>
      <c r="H22" s="175">
        <f>'10W LED Giveaway Savings'!$D$14</f>
        <v>27.962927999999998</v>
      </c>
      <c r="I22" s="181">
        <f>'10W LED Giveaway Savings'!$D$16</f>
        <v>0.0032465836575875486</v>
      </c>
      <c r="J22" s="175">
        <f>'10W LED Giveaway Savings'!$D$13</f>
        <v>20</v>
      </c>
      <c r="K22" s="176">
        <f t="shared" si="1" ref="K22:K28">(G22*H22)/1000</f>
        <v>5.5925855999999996</v>
      </c>
      <c r="L22" s="176">
        <f t="shared" si="2" ref="L22:L28">J22*K22</f>
        <v>111.85171199999999</v>
      </c>
      <c r="M22" s="176">
        <f t="shared" si="3" ref="M22:M28">G22*I22</f>
        <v>0.64931673151750968</v>
      </c>
      <c r="N22" s="174" t="s">
        <v>115</v>
      </c>
      <c r="P22" s="162">
        <f t="shared" si="4" ref="P22:P28">K22/$K$29</f>
        <v>0.015214139870239313</v>
      </c>
      <c r="S22" s="399">
        <f>IFERROR(IF(G22/$G$29=0,0,G22/$G$29),"")</f>
        <v>0.00094288697849510524</v>
      </c>
      <c r="T22" s="393" t="s">
        <v>836</v>
      </c>
      <c r="U22" s="393" t="s">
        <v>835</v>
      </c>
      <c r="V22" s="394">
        <v>0.90</v>
      </c>
      <c r="W22" s="392">
        <f>IF($H22*$T$12=0,"",$H22*$T$12)</f>
        <v>3.419055359755713</v>
      </c>
      <c r="X22" s="392">
        <f>IFERROR($W22*((1+$T$9)/(1+$T$8)*(1-((1+$T$9)/(1+$T$8))^$J22)/(1-((1+$T$9)/(1+$T$8)))),"")</f>
        <v>39.2162956183113</v>
      </c>
      <c r="Y22" s="391">
        <f>IFERROR(D22/G22,"")</f>
        <v>9.2349999999999994</v>
      </c>
      <c r="Z22" s="437">
        <v>5</v>
      </c>
      <c r="AA22" s="390"/>
      <c r="AB22" s="437">
        <f>IFERROR(($AS22*$H22*$V22*((1+$T$11)/(1+$T$8)*(1-((1+$T$11)/(1+$T$8))^$J22)/(1-((1+$T$11)/(1+$T$8)))))+($AT$22*$I22),"")</f>
        <v>16.486134392744322</v>
      </c>
      <c r="AC22" s="437">
        <f>IFERROR((SUM($C22)/$G22)+($Z22*$V22),"")</f>
        <v>4.50</v>
      </c>
      <c r="AD22" s="388">
        <f>IFERROR(IF(AB22="","",AB22-AC22),"")</f>
        <v>11.986134392744322</v>
      </c>
      <c r="AE22" s="387">
        <f>IFERROR(AB22/AC22,"")</f>
        <v>3.6635854206098495</v>
      </c>
      <c r="AF22" s="437">
        <f>IFERROR(($AS22*$H22*$V22*((1+$T$11)/(1+$T$8)*(1-((1+$T$11)/(1+$T$8))^$J22)/(1-((1+$T$11)/(1+$T$8)))))+($AT22*$I22),"")</f>
        <v>16.486134392744322</v>
      </c>
      <c r="AG22" s="388">
        <f>IFERROR(-PV($T$8,1,($E22/$G22)),"")</f>
        <v>8.7122641509434029</v>
      </c>
      <c r="AH22" s="388">
        <f>IFERROR(IF(AF22="","",AF22-AG22),"")</f>
        <v>7.7738702418009193</v>
      </c>
      <c r="AI22" s="387">
        <f>IFERROR(AF22/AG22,"")</f>
        <v>1.8922904663030826</v>
      </c>
      <c r="AJ22" s="388">
        <f>IFERROR(-PV($T$8,$J22,$W22)+($Y22),"")</f>
        <v>48.451295618311335</v>
      </c>
      <c r="AK22" s="388">
        <f>IF(Z22="","",Z22)</f>
        <v>5</v>
      </c>
      <c r="AL22" s="388">
        <f>IFERROR(IF(AJ22="","",AJ22-AK22),"")</f>
        <v>43.451295618311335</v>
      </c>
      <c r="AM22" s="387">
        <f>IFERROR(AJ22/AK22,"")</f>
        <v>9.6902591236622673</v>
      </c>
      <c r="AN22" s="388">
        <f>IFERROR(($AS22*$H22*$V22*((1+$T$11)/(1+$T$8)*(1-((1+$T$11)/(1+$T$8))^$J22)/(1-((1+$T$11)/(1+$T$8)))))+($AT22*$I22),"")</f>
        <v>16.486134392744322</v>
      </c>
      <c r="AO22" s="389">
        <f>IFERROR((SUM($C22)/$G22)+X22+Y22,"")</f>
        <v>48.451295618311299</v>
      </c>
      <c r="AP22" s="388">
        <f>IFERROR(IF(AN22="","",AN22-AO22),"")</f>
        <v>-31.965161225566977</v>
      </c>
      <c r="AQ22" s="400">
        <f t="shared" si="5" ref="AQ22:AQ28">IFERROR(AN22/AO22,"")</f>
        <v>0.34026199263314816</v>
      </c>
      <c r="AR22" s="291"/>
      <c r="AS22" s="409">
        <f>IFERROR(VLOOKUP(ROUND($J22,0),'Seminole Avoided Cost'!$B$15:$Y$41,8,FALSE),"")</f>
        <v>0.055449999999999999</v>
      </c>
      <c r="AT22" s="439">
        <f>IFERROR(VLOOKUP(ROUND($J22,0),'Seminole Avoided Cost'!$B$15:$Y$41,24,FALSE),"")</f>
        <v>147.83999999999998</v>
      </c>
      <c r="AU22" s="410">
        <f t="shared" si="6" ref="AU22:AU29">IFERROR(SUM(C22)/G22,"")</f>
        <v>0</v>
      </c>
    </row>
    <row r="23" spans="1:47" s="173" customFormat="1" ht="16.8" thickTop="1" thickBot="1">
      <c r="A23" s="172" t="s">
        <v>107</v>
      </c>
      <c r="B23" s="180" t="s">
        <v>114</v>
      </c>
      <c r="C23" s="170">
        <f t="shared" si="7" ref="C23:C28">$Q$9*P23</f>
        <v>27634.865650396667</v>
      </c>
      <c r="D23" s="179">
        <f>'Clay Heat Pump Water Heaters'!$C$9</f>
        <v>8050</v>
      </c>
      <c r="E23" s="168">
        <f t="shared" si="0"/>
        <v>35684.865650396663</v>
      </c>
      <c r="F23" s="178" t="s">
        <v>112</v>
      </c>
      <c r="G23" s="177">
        <f>'Clay Heat Pump Water Heaters'!$E$9</f>
        <v>46</v>
      </c>
      <c r="H23" s="175">
        <f>'Clay Heat Pump Water Heaters'!$D$18/$G23</f>
        <v>1450.3061319876617</v>
      </c>
      <c r="I23" s="176">
        <f>('Clay Heat Pump Water Heaters'!$I$4)*$H$23</f>
        <v>-0.57321901412584908</v>
      </c>
      <c r="J23" s="175">
        <f>'Clay Heat Pump Water Heaters'!$I$3</f>
        <v>10</v>
      </c>
      <c r="K23" s="164">
        <f t="shared" si="1"/>
        <v>66.714082071432443</v>
      </c>
      <c r="L23" s="164">
        <f t="shared" si="2"/>
        <v>667.14082071432449</v>
      </c>
      <c r="M23" s="164">
        <f>G23*I23</f>
        <v>-26.368074649789058</v>
      </c>
      <c r="N23" s="174" t="s">
        <v>104</v>
      </c>
      <c r="O23" s="173"/>
      <c r="P23" s="162">
        <f t="shared" si="4"/>
        <v>0.18148982394644048</v>
      </c>
      <c r="S23" s="399">
        <f t="shared" si="8" ref="S23:S28">IFERROR(IF(G23/$G$29=0,0,G23/$G$29),"")</f>
        <v>0.00021686400505387419</v>
      </c>
      <c r="T23" s="393" t="s">
        <v>836</v>
      </c>
      <c r="U23" s="393" t="s">
        <v>835</v>
      </c>
      <c r="V23" s="394">
        <v>0.90</v>
      </c>
      <c r="W23" s="392">
        <f t="shared" si="9" ref="W23:W28">IF($H23*$T$12=0,"",$H23*$T$12)</f>
        <v>177.33039093255871</v>
      </c>
      <c r="X23" s="392">
        <f t="shared" si="10" ref="X23:X28">IFERROR($W23*((1+$T$9)/(1+$T$8)*(1-((1+$T$9)/(1+$T$8))^$J23)/(1-((1+$T$9)/(1+$T$8)))),"")</f>
        <v>1305.1671141250311</v>
      </c>
      <c r="Y23" s="391">
        <f t="shared" si="11" ref="Y23:Y28">IFERROR(D23/G23,"")</f>
        <v>175</v>
      </c>
      <c r="Z23" s="437">
        <v>5</v>
      </c>
      <c r="AA23" s="390"/>
      <c r="AB23" s="437">
        <f t="shared" si="12" ref="AB23:AB28">IFERROR(($AS23*$H23*$V23*((1+$T$11)/(1+$T$8)*(1-((1+$T$11)/(1+$T$8))^$J23)/(1-((1+$T$11)/(1+$T$8)))))+($AT$22*$I23),"")</f>
        <v>285.60289363197262</v>
      </c>
      <c r="AC23" s="437">
        <f t="shared" si="13" ref="AC23:AC28">IFERROR((SUM($C23)/$G23)+($Z23*$V23),"")</f>
        <v>605.25794892166664</v>
      </c>
      <c r="AD23" s="388">
        <f t="shared" si="14" ref="AD23:AD28">IFERROR(IF(AB23="","",AB23-AC23),"")</f>
        <v>-319.65505528969402</v>
      </c>
      <c r="AE23" s="387">
        <f t="shared" si="15" ref="AE23:AE28">IFERROR(AB23/AC23,"")</f>
        <v>0.47186971132028166</v>
      </c>
      <c r="AF23" s="437">
        <f t="shared" si="16" ref="AF23:AF28">IFERROR(($AS23*$H23*$V23*((1+$T$11)/(1+$T$8)*(1-((1+$T$11)/(1+$T$8))^$J23)/(1-((1+$T$11)/(1+$T$8)))))+($AT23*$I23),"")</f>
        <v>307.27057236592975</v>
      </c>
      <c r="AG23" s="388">
        <f t="shared" si="17" ref="AG23:AG28">IFERROR(-PV($T$8,1,($E23/$G23)),"")</f>
        <v>731.84712162421442</v>
      </c>
      <c r="AH23" s="388">
        <f t="shared" si="18" ref="AH23:AH28">IFERROR(IF(AF23="","",AF23-AG23),"")</f>
        <v>-424.57654925828467</v>
      </c>
      <c r="AI23" s="387">
        <f t="shared" si="19" ref="AI23:AI28">IFERROR(AF23/AG23,"")</f>
        <v>0.41985622855767091</v>
      </c>
      <c r="AJ23" s="388">
        <f t="shared" si="20" ref="AJ23:AJ28">IFERROR(-PV($T$8,$J23,$W23)+($Y23),"")</f>
        <v>1480.1671141250326</v>
      </c>
      <c r="AK23" s="388">
        <f t="shared" si="21" ref="AK23:AK28">IF(Z23="","",Z23)</f>
        <v>5</v>
      </c>
      <c r="AL23" s="388">
        <f t="shared" si="22" ref="AL23:AL28">IFERROR(IF(AJ23="","",AJ23-AK23),"")</f>
        <v>1475.1671141250326</v>
      </c>
      <c r="AM23" s="387">
        <f t="shared" si="23" ref="AM23:AM28">IFERROR(AJ23/AK23,"")</f>
        <v>296.03342282500654</v>
      </c>
      <c r="AN23" s="388">
        <f t="shared" si="24" ref="AN23:AN28">IFERROR(($AS23*$H23*$V23*((1+$T$11)/(1+$T$8)*(1-((1+$T$11)/(1+$T$8))^$J23)/(1-((1+$T$11)/(1+$T$8)))))+($AT23*$I23),"")</f>
        <v>307.27057236592975</v>
      </c>
      <c r="AO23" s="389">
        <f t="shared" si="25" ref="AO23:AO28">IFERROR((SUM($C23)/$G23)+X23+Y23,"")</f>
        <v>2080.9250630466977</v>
      </c>
      <c r="AP23" s="388">
        <f t="shared" si="26" ref="AP23:AP28">IFERROR(IF(AN23="","",AN23-AO23),"")</f>
        <v>-1773.6544906807681</v>
      </c>
      <c r="AQ23" s="400">
        <f t="shared" si="5"/>
        <v>0.14766056588123969</v>
      </c>
      <c r="AR23" s="291"/>
      <c r="AS23" s="409">
        <f>IFERROR(VLOOKUP(ROUND($J23,0),'Seminole Avoided Cost'!$B$15:$Y$41,8,FALSE),"")</f>
        <v>0.038550000000000001</v>
      </c>
      <c r="AT23" s="439">
        <f>IFERROR(VLOOKUP(ROUND($J23,0),'Seminole Avoided Cost'!$B$15:$Y$41,24,FALSE),"")</f>
        <v>110.03999999999999</v>
      </c>
      <c r="AU23" s="410">
        <f t="shared" si="6"/>
        <v>600.75794892166664</v>
      </c>
    </row>
    <row r="24" spans="1:47" s="173" customFormat="1" ht="16.8" thickTop="1" thickBot="1">
      <c r="A24" s="172" t="s">
        <v>107</v>
      </c>
      <c r="B24" s="180" t="s">
        <v>113</v>
      </c>
      <c r="C24" s="170">
        <f t="shared" si="7"/>
        <v>8447.1520896040092</v>
      </c>
      <c r="D24" s="179">
        <f>'Clay Solar Water Heaters'!$C$8</f>
        <v>6288</v>
      </c>
      <c r="E24" s="168">
        <f t="shared" si="0"/>
        <v>14735.152089604009</v>
      </c>
      <c r="F24" s="178" t="s">
        <v>112</v>
      </c>
      <c r="G24" s="177">
        <f>'Clay Solar Water Heaters'!$E$8</f>
        <v>15</v>
      </c>
      <c r="H24" s="175">
        <f>'Clay Solar Water Heaters'!$D$8/$G24</f>
        <v>1359.50</v>
      </c>
      <c r="I24" s="176">
        <f>'Clay Solar Water Heaters'!$I$15</f>
        <v>0.20</v>
      </c>
      <c r="J24" s="175">
        <f>'Clay Solar Water Heaters'!$I$13</f>
        <v>20</v>
      </c>
      <c r="K24" s="164">
        <f t="shared" si="1"/>
        <v>20.392499999999998</v>
      </c>
      <c r="L24" s="164">
        <f t="shared" si="2"/>
        <v>407.85</v>
      </c>
      <c r="M24" s="164">
        <f t="shared" si="3"/>
        <v>3</v>
      </c>
      <c r="N24" s="174" t="s">
        <v>104</v>
      </c>
      <c r="O24" s="173"/>
      <c r="P24" s="162">
        <f t="shared" si="4"/>
        <v>0.055476012258776186</v>
      </c>
      <c r="S24" s="399">
        <f t="shared" si="8"/>
        <v>7.0716523387132887E-05</v>
      </c>
      <c r="T24" s="393" t="s">
        <v>836</v>
      </c>
      <c r="U24" s="393" t="s">
        <v>835</v>
      </c>
      <c r="V24" s="394">
        <v>0.90</v>
      </c>
      <c r="W24" s="392">
        <f t="shared" si="9"/>
        <v>166.22743375042458</v>
      </c>
      <c r="X24" s="392">
        <f t="shared" si="10"/>
        <v>1906.6155694816443</v>
      </c>
      <c r="Y24" s="391">
        <f t="shared" si="11"/>
        <v>419.20</v>
      </c>
      <c r="Z24" s="437">
        <v>5</v>
      </c>
      <c r="AA24" s="390"/>
      <c r="AB24" s="437">
        <f t="shared" si="12"/>
        <v>807.75452583179219</v>
      </c>
      <c r="AC24" s="437">
        <f t="shared" si="13"/>
        <v>567.6434726402673</v>
      </c>
      <c r="AD24" s="388">
        <f t="shared" si="14"/>
        <v>240.11105319152489</v>
      </c>
      <c r="AE24" s="387">
        <f t="shared" si="15"/>
        <v>1.4229962375409722</v>
      </c>
      <c r="AF24" s="437">
        <f t="shared" si="16"/>
        <v>807.75452583179219</v>
      </c>
      <c r="AG24" s="388">
        <f t="shared" si="17"/>
        <v>926.73912513232835</v>
      </c>
      <c r="AH24" s="388">
        <f t="shared" si="18"/>
        <v>-118.98459930053616</v>
      </c>
      <c r="AI24" s="387">
        <f t="shared" si="19"/>
        <v>0.87160939246678892</v>
      </c>
      <c r="AJ24" s="388">
        <f t="shared" si="20"/>
        <v>2325.8155694816464</v>
      </c>
      <c r="AK24" s="388">
        <f t="shared" si="21"/>
        <v>5</v>
      </c>
      <c r="AL24" s="388">
        <f t="shared" si="22"/>
        <v>2320.8155694816464</v>
      </c>
      <c r="AM24" s="387">
        <f t="shared" si="23"/>
        <v>465.16311389632926</v>
      </c>
      <c r="AN24" s="388">
        <f t="shared" si="24"/>
        <v>807.75452583179219</v>
      </c>
      <c r="AO24" s="389">
        <f t="shared" si="25"/>
        <v>2888.9590421219114</v>
      </c>
      <c r="AP24" s="388">
        <f t="shared" si="26"/>
        <v>-2081.204516290119</v>
      </c>
      <c r="AQ24" s="400">
        <f t="shared" si="5"/>
        <v>0.27960054609791374</v>
      </c>
      <c r="AR24" s="291"/>
      <c r="AS24" s="409">
        <f>IFERROR(VLOOKUP(ROUND($J24,0),'Seminole Avoided Cost'!$B$15:$Y$41,8,FALSE),"")</f>
        <v>0.055449999999999999</v>
      </c>
      <c r="AT24" s="439">
        <f>IFERROR(VLOOKUP(ROUND($J24,0),'Seminole Avoided Cost'!$B$15:$Y$41,24,FALSE),"")</f>
        <v>147.83999999999998</v>
      </c>
      <c r="AU24" s="410">
        <f t="shared" si="6"/>
        <v>563.1434726402673</v>
      </c>
    </row>
    <row r="25" spans="1:47" s="173" customFormat="1" ht="16.8" thickTop="1" thickBot="1">
      <c r="A25" s="172" t="s">
        <v>107</v>
      </c>
      <c r="B25" s="180" t="s">
        <v>111</v>
      </c>
      <c r="C25" s="170">
        <f t="shared" si="7"/>
        <v>78431.481582558175</v>
      </c>
      <c r="D25" s="179">
        <f>'Clay Heat Pumps'!$C$29</f>
        <v>150175</v>
      </c>
      <c r="E25" s="168">
        <f t="shared" si="0"/>
        <v>228606.48158255819</v>
      </c>
      <c r="F25" s="178" t="s">
        <v>110</v>
      </c>
      <c r="G25" s="177">
        <f>'Clay Heat Pumps'!$E$29</f>
        <v>617</v>
      </c>
      <c r="H25" s="175">
        <f>'Clay Heat Pumps'!$G$38/$G25</f>
        <v>306.87775775365492</v>
      </c>
      <c r="I25" s="176">
        <f>'Clay Heat Pumps'!$T$32*$H$25</f>
        <v>0.12590318244552398</v>
      </c>
      <c r="J25" s="175">
        <f>'Clay Heat Pumps'!$K$38</f>
        <v>12</v>
      </c>
      <c r="K25" s="164">
        <f t="shared" si="1"/>
        <v>189.34357653400508</v>
      </c>
      <c r="L25" s="164">
        <f t="shared" si="2"/>
        <v>2272.1229184080612</v>
      </c>
      <c r="M25" s="164">
        <f t="shared" si="3"/>
        <v>77.682263568888303</v>
      </c>
      <c r="N25" s="174" t="s">
        <v>104</v>
      </c>
      <c r="O25" s="173"/>
      <c r="P25" s="162">
        <f t="shared" si="4"/>
        <v>0.51509263567100616</v>
      </c>
      <c r="S25" s="399">
        <f t="shared" si="8"/>
        <v>0.0029088063286573998</v>
      </c>
      <c r="T25" s="393" t="s">
        <v>836</v>
      </c>
      <c r="U25" s="393" t="s">
        <v>835</v>
      </c>
      <c r="V25" s="394">
        <v>0.90</v>
      </c>
      <c r="W25" s="392">
        <f t="shared" si="9"/>
        <v>37.522252406380666</v>
      </c>
      <c r="X25" s="392">
        <f t="shared" si="10"/>
        <v>314.58070846676787</v>
      </c>
      <c r="Y25" s="391">
        <f t="shared" si="11"/>
        <v>243.39546191247973</v>
      </c>
      <c r="Z25" s="437">
        <v>5</v>
      </c>
      <c r="AA25" s="390"/>
      <c r="AB25" s="437">
        <f t="shared" si="12"/>
        <v>113.57356380874792</v>
      </c>
      <c r="AC25" s="437">
        <f t="shared" si="13"/>
        <v>131.61747420187709</v>
      </c>
      <c r="AD25" s="388">
        <f t="shared" si="14"/>
        <v>-18.043910393129167</v>
      </c>
      <c r="AE25" s="387">
        <f t="shared" si="15"/>
        <v>0.86290642255105798</v>
      </c>
      <c r="AF25" s="437">
        <f t="shared" si="16"/>
        <v>109.66049289834103</v>
      </c>
      <c r="AG25" s="388">
        <f t="shared" si="17"/>
        <v>349.54050576826148</v>
      </c>
      <c r="AH25" s="388">
        <f t="shared" si="18"/>
        <v>-239.88001286992045</v>
      </c>
      <c r="AI25" s="387">
        <f t="shared" si="19"/>
        <v>0.31372756830375415</v>
      </c>
      <c r="AJ25" s="388">
        <f t="shared" si="20"/>
        <v>557.97617037924795</v>
      </c>
      <c r="AK25" s="388">
        <f t="shared" si="21"/>
        <v>5</v>
      </c>
      <c r="AL25" s="388">
        <f t="shared" si="22"/>
        <v>552.97617037924795</v>
      </c>
      <c r="AM25" s="387">
        <f t="shared" si="23"/>
        <v>111.59523407584959</v>
      </c>
      <c r="AN25" s="388">
        <f t="shared" si="24"/>
        <v>109.66049289834103</v>
      </c>
      <c r="AO25" s="389">
        <f t="shared" si="25"/>
        <v>685.09364458112464</v>
      </c>
      <c r="AP25" s="388">
        <f t="shared" si="26"/>
        <v>-575.43315168278355</v>
      </c>
      <c r="AQ25" s="400">
        <f t="shared" si="5"/>
        <v>0.1600664285323927</v>
      </c>
      <c r="AR25" s="291"/>
      <c r="AS25" s="409">
        <f>IFERROR(VLOOKUP(ROUND($J25,0),'Seminole Avoided Cost'!$B$15:$Y$41,8,FALSE),"")</f>
        <v>0.041009999999999998</v>
      </c>
      <c r="AT25" s="439">
        <f>IFERROR(VLOOKUP(ROUND($J25,0),'Seminole Avoided Cost'!$B$15:$Y$41,24,FALSE),"")</f>
        <v>116.76</v>
      </c>
      <c r="AU25" s="410">
        <f t="shared" si="6"/>
        <v>127.1174742018771</v>
      </c>
    </row>
    <row r="26" spans="1:47" ht="16.8" thickTop="1" thickBot="1">
      <c r="A26" s="172" t="s">
        <v>107</v>
      </c>
      <c r="B26" s="171" t="s">
        <v>109</v>
      </c>
      <c r="C26" s="170">
        <f t="shared" si="7"/>
        <v>23992.107344850527</v>
      </c>
      <c r="D26" s="169">
        <f>'Clay Insulation'!$C$8</f>
        <v>18543.580000000002</v>
      </c>
      <c r="E26" s="168">
        <f t="shared" si="0"/>
        <v>42535.687344850528</v>
      </c>
      <c r="F26" s="167" t="s">
        <v>105</v>
      </c>
      <c r="G26" s="166">
        <f>'Clay Insulation'!$G$8</f>
        <v>170328</v>
      </c>
      <c r="H26" s="176">
        <f>'Clay Insulation'!$D$16/$G26</f>
        <v>0.34004978629467852</v>
      </c>
      <c r="I26" s="857">
        <f>'Clay Insulation'!$I$16/$G26</f>
        <v>0.00030058079117937158</v>
      </c>
      <c r="J26" s="165">
        <f>'Clay Insulation'!$M$11</f>
        <v>20</v>
      </c>
      <c r="K26" s="164">
        <f t="shared" si="1"/>
        <v>57.920000000000009</v>
      </c>
      <c r="L26" s="164">
        <f t="shared" si="2"/>
        <v>1158.4000000000001</v>
      </c>
      <c r="M26" s="164">
        <f t="shared" si="3"/>
        <v>51.197324999999999</v>
      </c>
      <c r="N26" s="163" t="s">
        <v>104</v>
      </c>
      <c r="P26" s="162">
        <f t="shared" si="4"/>
        <v>0.15756629300126604</v>
      </c>
      <c r="S26" s="399">
        <f t="shared" si="8"/>
        <v>0.80300026636557142</v>
      </c>
      <c r="T26" s="393" t="s">
        <v>836</v>
      </c>
      <c r="U26" s="393" t="s">
        <v>835</v>
      </c>
      <c r="V26" s="394">
        <v>0.90</v>
      </c>
      <c r="W26" s="392">
        <f t="shared" si="9"/>
        <v>0.04157822973383208</v>
      </c>
      <c r="X26" s="392">
        <f t="shared" si="10"/>
        <v>0.47689901945446117</v>
      </c>
      <c r="Y26" s="391">
        <f t="shared" si="11"/>
        <v>0.10886982762669674</v>
      </c>
      <c r="Z26" s="437">
        <v>5</v>
      </c>
      <c r="AA26" s="390"/>
      <c r="AB26" s="437">
        <f t="shared" si="12"/>
        <v>0.23908454442283086</v>
      </c>
      <c r="AC26" s="437">
        <f t="shared" si="13"/>
        <v>4.640858269602476</v>
      </c>
      <c r="AD26" s="388">
        <f t="shared" si="14"/>
        <v>-4.4017737251796456</v>
      </c>
      <c r="AE26" s="387">
        <f t="shared" si="15"/>
        <v>0.051517312215464454</v>
      </c>
      <c r="AF26" s="437">
        <f t="shared" si="16"/>
        <v>0.23908454442283086</v>
      </c>
      <c r="AG26" s="388">
        <f t="shared" si="17"/>
        <v>0.23559254455582351</v>
      </c>
      <c r="AH26" s="388">
        <f t="shared" si="18"/>
        <v>0.0034919998670073504</v>
      </c>
      <c r="AI26" s="387">
        <f t="shared" si="19"/>
        <v>1.0148222002253553</v>
      </c>
      <c r="AJ26" s="388">
        <f t="shared" si="20"/>
        <v>0.58576884708115851</v>
      </c>
      <c r="AK26" s="388">
        <f t="shared" si="21"/>
        <v>5</v>
      </c>
      <c r="AL26" s="388">
        <f t="shared" si="22"/>
        <v>-4.4142311529188412</v>
      </c>
      <c r="AM26" s="387">
        <f t="shared" si="23"/>
        <v>0.11715376941623171</v>
      </c>
      <c r="AN26" s="388">
        <f t="shared" si="24"/>
        <v>0.23908454442283086</v>
      </c>
      <c r="AO26" s="389">
        <f t="shared" si="25"/>
        <v>0.72662711668363389</v>
      </c>
      <c r="AP26" s="388">
        <f t="shared" si="26"/>
        <v>-0.487542572260803</v>
      </c>
      <c r="AQ26" s="400">
        <f t="shared" si="5"/>
        <v>0.32903333626472114</v>
      </c>
      <c r="AR26" s="291"/>
      <c r="AS26" s="409">
        <f>IFERROR(VLOOKUP(ROUND($J26,0),'Seminole Avoided Cost'!$B$15:$Y$41,8,FALSE),"")</f>
        <v>0.055449999999999999</v>
      </c>
      <c r="AT26" s="439">
        <f>IFERROR(VLOOKUP(ROUND($J26,0),'Seminole Avoided Cost'!$B$15:$Y$41,24,FALSE),"")</f>
        <v>147.83999999999998</v>
      </c>
      <c r="AU26" s="410">
        <f t="shared" si="6"/>
        <v>0.14085826960247597</v>
      </c>
    </row>
    <row r="27" spans="1:47" ht="16.8" thickTop="1" thickBot="1">
      <c r="A27" s="172" t="s">
        <v>107</v>
      </c>
      <c r="B27" s="171" t="s">
        <v>108</v>
      </c>
      <c r="C27" s="170">
        <f t="shared" si="7"/>
        <v>6229.7341842795777</v>
      </c>
      <c r="D27" s="169">
        <f>'Clay Spray Foam Insulation'!$C$9</f>
        <v>7454.68</v>
      </c>
      <c r="E27" s="168">
        <f t="shared" si="0"/>
        <v>13684.414184279578</v>
      </c>
      <c r="F27" s="167" t="s">
        <v>105</v>
      </c>
      <c r="G27" s="166">
        <f>'Clay Spray Foam Insulation'!$G$9</f>
        <v>33415</v>
      </c>
      <c r="H27" s="176">
        <f>'Clay Spray Foam Insulation'!$D$18/$G27</f>
        <v>0.45007843847899276</v>
      </c>
      <c r="I27" s="857">
        <f>'Clay Spray Foam Insulation'!$I$18/$G27</f>
        <v>0.00043569633405693745</v>
      </c>
      <c r="J27" s="165">
        <f>'Clay Spray Foam Insulation'!$M$11</f>
        <v>20</v>
      </c>
      <c r="K27" s="164">
        <f t="shared" si="1"/>
        <v>15.039371021775544</v>
      </c>
      <c r="L27" s="164">
        <f t="shared" si="2"/>
        <v>300.78742043551085</v>
      </c>
      <c r="M27" s="164">
        <f t="shared" si="3"/>
        <v>14.558793002512564</v>
      </c>
      <c r="N27" s="163" t="s">
        <v>104</v>
      </c>
      <c r="P27" s="162">
        <f t="shared" si="4"/>
        <v>0.04091329317976234</v>
      </c>
      <c r="S27" s="399">
        <f t="shared" si="8"/>
        <v>0.15753284193206971</v>
      </c>
      <c r="T27" s="393" t="s">
        <v>836</v>
      </c>
      <c r="U27" s="393" t="s">
        <v>835</v>
      </c>
      <c r="V27" s="394">
        <v>0.90</v>
      </c>
      <c r="W27" s="392">
        <f t="shared" si="9"/>
        <v>0.055031543813726595</v>
      </c>
      <c r="X27" s="392">
        <f t="shared" si="10"/>
        <v>0.63120747207946593</v>
      </c>
      <c r="Y27" s="391">
        <f t="shared" si="11"/>
        <v>0.2230938201406554</v>
      </c>
      <c r="Z27" s="437">
        <v>5</v>
      </c>
      <c r="AA27" s="390"/>
      <c r="AB27" s="437">
        <f t="shared" si="12"/>
        <v>0.32204113300142806</v>
      </c>
      <c r="AC27" s="437">
        <f t="shared" si="13"/>
        <v>4.6864352591434857</v>
      </c>
      <c r="AD27" s="388">
        <f t="shared" si="14"/>
        <v>-4.3643941261420576</v>
      </c>
      <c r="AE27" s="387">
        <f t="shared" si="15"/>
        <v>0.068717717240008511</v>
      </c>
      <c r="AF27" s="437">
        <f t="shared" si="16"/>
        <v>0.32204113300142806</v>
      </c>
      <c r="AG27" s="388">
        <f t="shared" si="17"/>
        <v>0.38634818800390713</v>
      </c>
      <c r="AH27" s="388">
        <f t="shared" si="18"/>
        <v>-0.064307055002479074</v>
      </c>
      <c r="AI27" s="387">
        <f t="shared" si="19"/>
        <v>0.83355155530888958</v>
      </c>
      <c r="AJ27" s="388">
        <f t="shared" si="20"/>
        <v>0.85430129222012197</v>
      </c>
      <c r="AK27" s="388">
        <f t="shared" si="21"/>
        <v>5</v>
      </c>
      <c r="AL27" s="388">
        <f t="shared" si="22"/>
        <v>-4.1456987077798777</v>
      </c>
      <c r="AM27" s="387">
        <f t="shared" si="23"/>
        <v>0.17086025844402439</v>
      </c>
      <c r="AN27" s="388">
        <f t="shared" si="24"/>
        <v>0.32204113300142806</v>
      </c>
      <c r="AO27" s="389">
        <f t="shared" si="25"/>
        <v>1.0407365513636071</v>
      </c>
      <c r="AP27" s="388">
        <f t="shared" si="26"/>
        <v>-0.71869541836217898</v>
      </c>
      <c r="AQ27" s="400">
        <f t="shared" si="5"/>
        <v>0.30943578620303019</v>
      </c>
      <c r="AR27" s="291"/>
      <c r="AS27" s="409">
        <f>IFERROR(VLOOKUP(ROUND($J27,0),'Seminole Avoided Cost'!$B$15:$Y$41,8,FALSE),"")</f>
        <v>0.055449999999999999</v>
      </c>
      <c r="AT27" s="439">
        <f>IFERROR(VLOOKUP(ROUND($J27,0),'Seminole Avoided Cost'!$B$15:$Y$41,24,FALSE),"")</f>
        <v>147.83999999999998</v>
      </c>
      <c r="AU27" s="410">
        <f t="shared" si="6"/>
        <v>0.1864352591434858</v>
      </c>
    </row>
    <row r="28" spans="1:47" ht="16.8" thickTop="1" thickBot="1">
      <c r="A28" s="172" t="s">
        <v>107</v>
      </c>
      <c r="B28" s="171" t="s">
        <v>106</v>
      </c>
      <c r="C28" s="170">
        <f t="shared" si="7"/>
        <v>5214.8015162242837</v>
      </c>
      <c r="D28" s="169">
        <f>'Clay Window Film'!$C$9</f>
        <v>3297.1400000000003</v>
      </c>
      <c r="E28" s="168">
        <f t="shared" si="0"/>
        <v>8511.941516224284</v>
      </c>
      <c r="F28" s="167" t="s">
        <v>105</v>
      </c>
      <c r="G28" s="166">
        <f>'Clay Window Film'!$G$9</f>
        <v>7493.50</v>
      </c>
      <c r="H28" s="176">
        <f>'Clay Window Film'!$D$19/$G28</f>
        <v>1.6800152687320547</v>
      </c>
      <c r="I28" s="857">
        <f>'Clay Window Film'!$I$19/$G28</f>
        <v>-0.0019922134549663659</v>
      </c>
      <c r="J28" s="165">
        <f>'Clay Window Film'!$L$8</f>
        <v>10</v>
      </c>
      <c r="K28" s="164">
        <f t="shared" si="1"/>
        <v>12.589194416243652</v>
      </c>
      <c r="L28" s="164">
        <f t="shared" si="2"/>
        <v>125.89194416243652</v>
      </c>
      <c r="M28" s="164">
        <f t="shared" si="3"/>
        <v>-14.928651524790462</v>
      </c>
      <c r="N28" s="163" t="s">
        <v>104</v>
      </c>
      <c r="P28" s="162">
        <f t="shared" si="4"/>
        <v>0.034247802072509485</v>
      </c>
      <c r="S28" s="399">
        <f t="shared" si="8"/>
        <v>0.035327617866765353</v>
      </c>
      <c r="T28" s="393" t="s">
        <v>836</v>
      </c>
      <c r="U28" s="393" t="s">
        <v>835</v>
      </c>
      <c r="V28" s="394">
        <v>0.90</v>
      </c>
      <c r="W28" s="392">
        <f t="shared" si="9"/>
        <v>0.20541715835443866</v>
      </c>
      <c r="X28" s="392">
        <f t="shared" si="10"/>
        <v>1.5118881673429057</v>
      </c>
      <c r="Y28" s="391">
        <f t="shared" si="11"/>
        <v>0.44000000000000006</v>
      </c>
      <c r="Z28" s="437">
        <v>5</v>
      </c>
      <c r="AA28" s="390"/>
      <c r="AB28" s="437">
        <f t="shared" si="12"/>
        <v>0.13447687183205459</v>
      </c>
      <c r="AC28" s="437">
        <f t="shared" si="13"/>
        <v>5.1959099908219502</v>
      </c>
      <c r="AD28" s="388">
        <f t="shared" si="14"/>
        <v>-5.0614331189898953</v>
      </c>
      <c r="AE28" s="387">
        <f t="shared" si="15"/>
        <v>0.025881293569287072</v>
      </c>
      <c r="AF28" s="437">
        <f t="shared" si="16"/>
        <v>0.2097825404297832</v>
      </c>
      <c r="AG28" s="388">
        <f t="shared" si="17"/>
        <v>1.0716131988886333</v>
      </c>
      <c r="AH28" s="388">
        <f t="shared" si="18"/>
        <v>-0.8618306584588501</v>
      </c>
      <c r="AI28" s="387">
        <f t="shared" si="19"/>
        <v>0.19576330400497868</v>
      </c>
      <c r="AJ28" s="388">
        <f t="shared" si="20"/>
        <v>1.9518881673429074</v>
      </c>
      <c r="AK28" s="388">
        <f t="shared" si="21"/>
        <v>5</v>
      </c>
      <c r="AL28" s="388">
        <f t="shared" si="22"/>
        <v>-3.0481118326570926</v>
      </c>
      <c r="AM28" s="387">
        <f t="shared" si="23"/>
        <v>0.39037763346858145</v>
      </c>
      <c r="AN28" s="388">
        <f t="shared" si="24"/>
        <v>0.2097825404297832</v>
      </c>
      <c r="AO28" s="389">
        <f t="shared" si="25"/>
        <v>2.6477981581648558</v>
      </c>
      <c r="AP28" s="388">
        <f t="shared" si="26"/>
        <v>-2.4380156177350725</v>
      </c>
      <c r="AQ28" s="400">
        <f t="shared" si="5"/>
        <v>0.079229052933241687</v>
      </c>
      <c r="AR28" s="291"/>
      <c r="AS28" s="409">
        <f>IFERROR(VLOOKUP(ROUND($J28,0),'Seminole Avoided Cost'!$B$15:$Y$41,8,FALSE),"")</f>
        <v>0.038550000000000001</v>
      </c>
      <c r="AT28" s="439">
        <f>IFERROR(VLOOKUP(ROUND($J28,0),'Seminole Avoided Cost'!$B$15:$Y$41,24,FALSE),"")</f>
        <v>110.03999999999999</v>
      </c>
      <c r="AU28" s="410">
        <f t="shared" si="6"/>
        <v>0.69590999082195015</v>
      </c>
    </row>
    <row r="29" spans="1:47" ht="22.5" customHeight="1" thickTop="1" thickBot="1">
      <c r="A29" s="161" t="s">
        <v>103</v>
      </c>
      <c r="B29" s="160"/>
      <c r="C29" s="96">
        <f>SUM(C23:C28)</f>
        <v>149950.14236791324</v>
      </c>
      <c r="D29" s="96">
        <f>SUM(D23:D28)</f>
        <v>193808.40000000002</v>
      </c>
      <c r="E29" s="96">
        <f>SUM(E23:E28)</f>
        <v>343758.54236791324</v>
      </c>
      <c r="F29" s="95" t="s">
        <v>76</v>
      </c>
      <c r="G29" s="315">
        <f>SUM(G22:G28)</f>
        <v>212114.50</v>
      </c>
      <c r="H29" s="94"/>
      <c r="I29" s="94"/>
      <c r="J29" s="159">
        <f>SUMPRODUCT(J22:J28,P22:P28)</f>
        <v>13.721882654442451</v>
      </c>
      <c r="K29" s="159">
        <f>SUM(K22:K28)</f>
        <v>367.59130964345673</v>
      </c>
      <c r="L29" s="159">
        <f>SUM(L22:L28)</f>
        <v>5044.0448157203336</v>
      </c>
      <c r="M29" s="138">
        <f>SUM(M22:M28)</f>
        <v>105.79097212833885</v>
      </c>
      <c r="N29" s="158"/>
      <c r="P29" s="157">
        <f>SUM(P22:P28)</f>
        <v>0.99999999999999989</v>
      </c>
      <c r="S29" s="401">
        <f>SUM(S22:S28)</f>
        <v>1</v>
      </c>
      <c r="T29" s="402"/>
      <c r="U29" s="402"/>
      <c r="V29" s="402"/>
      <c r="W29" s="403"/>
      <c r="X29" s="403"/>
      <c r="Y29" s="403"/>
      <c r="Z29" s="404"/>
      <c r="AA29" s="405"/>
      <c r="AB29" s="404">
        <f>SUMPRODUCT(AB$22:AB$28,$S$22:$S$28)</f>
        <v>0.71243439710091538</v>
      </c>
      <c r="AC29" s="404">
        <f>SUMPRODUCT(AC$22:AC$28,$S$22:$S$28)</f>
        <v>5.2069301833109618</v>
      </c>
      <c r="AD29" s="404">
        <f>SUMPRODUCT(AD$22:AD$28,$S$22:$S$28)</f>
        <v>-4.4944957862100479</v>
      </c>
      <c r="AE29" s="406">
        <f>IFERROR(AB29/AC29,"")</f>
        <v>0.13682426535780734</v>
      </c>
      <c r="AF29" s="404">
        <f>SUMPRODUCT(AF$22:AF$28,$S$22:$S$28)</f>
        <v>0.70841134114612703</v>
      </c>
      <c r="AG29" s="404">
        <f>SUMPRODUCT(AG$22:AG$28,$S$22:$S$28)</f>
        <v>1.5371083282756797</v>
      </c>
      <c r="AH29" s="404">
        <f>SUMPRODUCT(AH$22:AH$28,$S$22:$S$28)</f>
        <v>-0.82869698712955253</v>
      </c>
      <c r="AI29" s="406">
        <f>IFERROR(AF29/AG29,"")</f>
        <v>0.4608727492491172</v>
      </c>
      <c r="AJ29" s="404">
        <f>SUMPRODUCT(AJ$22:AJ$28,$S$22:$S$28)</f>
        <v>2.8281058809595452</v>
      </c>
      <c r="AK29" s="404">
        <f>SUMPRODUCT(AK$22:AK$28,$S$22:$S$28)</f>
        <v>5.0000000000000009</v>
      </c>
      <c r="AL29" s="404">
        <f>SUMPRODUCT(AL$22:AL$28,$S$22:$S$28)</f>
        <v>-2.1718941190404539</v>
      </c>
      <c r="AM29" s="406">
        <f>IFERROR(AJ29/AK29,"")</f>
        <v>0.56562117619190888</v>
      </c>
      <c r="AN29" s="404">
        <f>SUMPRODUCT(AN$22:AN$28,$S$22:$S$28)</f>
        <v>0.70841134114612703</v>
      </c>
      <c r="AO29" s="404">
        <f>SUMPRODUCT(AO$22:AO$28,$S$22:$S$28)</f>
        <v>3.5350360642705061</v>
      </c>
      <c r="AP29" s="404">
        <f>SUMPRODUCT(AP$22:AP$28,$S$22:$S$28)</f>
        <v>-2.8266247231243784</v>
      </c>
      <c r="AQ29" s="406">
        <f>IFERROR(AN29/AO29,"")</f>
        <v>0.20039720338533959</v>
      </c>
      <c r="AR29" s="291"/>
      <c r="AS29" s="411">
        <f>IFERROR(VLOOKUP(ROUND($J29,0),'Seminole Avoided Cost'!$B$15:$Y$41,8,FALSE),"")</f>
        <v>0.04299</v>
      </c>
      <c r="AT29" s="491">
        <f>IFERROR(VLOOKUP(ROUND($J29,0),'Seminole Avoided Cost'!$B$15:$Y$41,24,FALSE),"")</f>
        <v>123.96000000000001</v>
      </c>
      <c r="AU29" s="412">
        <f t="shared" si="6"/>
        <v>0.70693018331096291</v>
      </c>
    </row>
    <row r="30" spans="1:46" ht="17.25" customHeight="1" thickBot="1">
      <c r="A30" s="156"/>
      <c r="B30" s="155"/>
      <c r="C30" s="154"/>
      <c r="D30" s="154"/>
      <c r="E30" s="154"/>
      <c r="F30" s="154"/>
      <c r="G30" s="154"/>
      <c r="H30" s="154"/>
      <c r="I30" s="154"/>
      <c r="J30" s="154"/>
      <c r="K30" s="154"/>
      <c r="L30" s="154"/>
      <c r="M30" s="154"/>
      <c r="N30" s="15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395"/>
      <c r="AT30" s="395"/>
    </row>
    <row r="31" spans="1:15" ht="63" thickBot="1">
      <c r="A31" s="130" t="s">
        <v>99</v>
      </c>
      <c r="B31" s="108" t="s">
        <v>89</v>
      </c>
      <c r="C31" s="107" t="s">
        <v>88</v>
      </c>
      <c r="D31" s="106" t="s">
        <v>87</v>
      </c>
      <c r="E31" s="105" t="s">
        <v>86</v>
      </c>
      <c r="F31" s="104" t="s">
        <v>85</v>
      </c>
      <c r="G31" s="104" t="s">
        <v>98</v>
      </c>
      <c r="H31" s="104" t="s">
        <v>97</v>
      </c>
      <c r="I31" s="104" t="s">
        <v>82</v>
      </c>
      <c r="J31" s="104" t="s">
        <v>96</v>
      </c>
      <c r="K31" s="152" t="s">
        <v>80</v>
      </c>
      <c r="L31" s="152" t="s">
        <v>79</v>
      </c>
      <c r="M31" s="152" t="s">
        <v>95</v>
      </c>
      <c r="N31" s="125" t="s">
        <v>78</v>
      </c>
    </row>
    <row r="32" spans="1:15" ht="16.8" thickTop="1" thickBot="1">
      <c r="A32" s="151"/>
      <c r="B32" s="150"/>
      <c r="C32" s="100">
        <v>0</v>
      </c>
      <c r="D32" s="139">
        <v>0</v>
      </c>
      <c r="E32" s="149">
        <f>SUM(C32:C32)</f>
        <v>0</v>
      </c>
      <c r="F32" s="148"/>
      <c r="G32" s="99"/>
      <c r="H32" s="147"/>
      <c r="I32" s="145"/>
      <c r="J32" s="145"/>
      <c r="K32" s="146"/>
      <c r="L32" s="145"/>
      <c r="M32" s="144"/>
      <c r="N32" s="116"/>
    </row>
    <row r="33" spans="1:46" s="24" customFormat="1" ht="22.5" customHeight="1" thickTop="1" thickBot="1">
      <c r="A33" s="98" t="s">
        <v>102</v>
      </c>
      <c r="B33" s="97"/>
      <c r="C33" s="115">
        <f>SUM(C32)</f>
        <v>0</v>
      </c>
      <c r="D33" s="115">
        <f>SUM(D32)</f>
        <v>0</v>
      </c>
      <c r="E33" s="115">
        <f>SUM(E32)</f>
        <v>0</v>
      </c>
      <c r="F33" s="143" t="s">
        <v>76</v>
      </c>
      <c r="G33" s="113">
        <f>SUM(G32)</f>
        <v>0</v>
      </c>
      <c r="H33" s="113"/>
      <c r="I33" s="113"/>
      <c r="J33" s="159"/>
      <c r="K33" s="159">
        <f>SUM(K32)</f>
        <v>0</v>
      </c>
      <c r="L33" s="159">
        <f>SUM(L32)</f>
        <v>0</v>
      </c>
      <c r="M33" s="138">
        <f>SUM(M32)</f>
        <v>0</v>
      </c>
      <c r="N33" s="111"/>
      <c r="O33" s="24"/>
      <c r="S33"/>
      <c r="T33"/>
      <c r="U33"/>
      <c r="V33"/>
      <c r="W33"/>
      <c r="X33"/>
      <c r="Y33"/>
      <c r="Z33"/>
      <c r="AA33"/>
      <c r="AB33"/>
      <c r="AC33"/>
      <c r="AD33"/>
      <c r="AE33"/>
      <c r="AF33"/>
      <c r="AG33"/>
      <c r="AH33"/>
      <c r="AI33"/>
      <c r="AJ33"/>
      <c r="AK33"/>
      <c r="AL33"/>
      <c r="AM33"/>
      <c r="AN33"/>
      <c r="AO33"/>
      <c r="AP33"/>
      <c r="AQ33"/>
      <c r="AR33"/>
      <c r="AS33" s="241"/>
      <c r="AT33" s="241"/>
    </row>
    <row r="34" spans="1:46" s="24" customFormat="1" ht="22.5" customHeight="1" thickBot="1">
      <c r="A34" s="133"/>
      <c r="B34" s="133"/>
      <c r="C34" s="133"/>
      <c r="D34" s="133"/>
      <c r="E34" s="133"/>
      <c r="F34" s="133"/>
      <c r="G34" s="133"/>
      <c r="H34" s="133"/>
      <c r="I34" s="133"/>
      <c r="J34" s="133"/>
      <c r="K34" s="133"/>
      <c r="L34" s="133"/>
      <c r="M34" s="133"/>
      <c r="N34" s="133"/>
      <c r="O34" s="24"/>
      <c r="S34"/>
      <c r="T34"/>
      <c r="U34"/>
      <c r="V34"/>
      <c r="W34"/>
      <c r="X34"/>
      <c r="Y34"/>
      <c r="Z34"/>
      <c r="AA34"/>
      <c r="AB34"/>
      <c r="AC34"/>
      <c r="AD34"/>
      <c r="AE34"/>
      <c r="AF34"/>
      <c r="AG34"/>
      <c r="AH34"/>
      <c r="AI34"/>
      <c r="AJ34"/>
      <c r="AK34"/>
      <c r="AL34"/>
      <c r="AM34"/>
      <c r="AN34"/>
      <c r="AO34"/>
      <c r="AP34"/>
      <c r="AQ34"/>
      <c r="AR34"/>
      <c r="AS34" s="241"/>
      <c r="AT34" s="241"/>
    </row>
    <row r="35" spans="1:46" ht="37.5" customHeight="1" thickBot="1">
      <c r="A35" s="1696" t="s">
        <v>101</v>
      </c>
      <c r="B35" s="1697"/>
      <c r="C35" s="1697"/>
      <c r="D35" s="1697"/>
      <c r="E35" s="1781"/>
      <c r="F35" s="1697"/>
      <c r="G35" s="1697"/>
      <c r="H35" s="1697"/>
      <c r="I35" s="1697"/>
      <c r="J35" s="1697"/>
      <c r="K35" s="1697"/>
      <c r="L35" s="1697"/>
      <c r="M35" s="1697"/>
      <c r="N35" s="1698"/>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395"/>
      <c r="AT35" s="395"/>
    </row>
    <row r="36" spans="1:15" ht="63" thickBot="1">
      <c r="A36" s="91" t="s">
        <v>90</v>
      </c>
      <c r="B36" s="142" t="s">
        <v>89</v>
      </c>
      <c r="C36" s="107" t="s">
        <v>88</v>
      </c>
      <c r="D36" s="106" t="s">
        <v>87</v>
      </c>
      <c r="E36" s="434" t="s">
        <v>86</v>
      </c>
      <c r="F36" s="104" t="s">
        <v>85</v>
      </c>
      <c r="G36" s="103" t="s">
        <v>84</v>
      </c>
      <c r="H36" s="90" t="s">
        <v>97</v>
      </c>
      <c r="I36" s="90" t="s">
        <v>82</v>
      </c>
      <c r="J36" s="90" t="s">
        <v>96</v>
      </c>
      <c r="K36" s="90" t="s">
        <v>80</v>
      </c>
      <c r="L36" s="90" t="s">
        <v>79</v>
      </c>
      <c r="M36" s="90" t="s">
        <v>95</v>
      </c>
      <c r="N36" s="141" t="s">
        <v>78</v>
      </c>
    </row>
    <row r="37" spans="1:15" ht="16.8" thickTop="1" thickBot="1">
      <c r="A37" s="140" t="s">
        <v>707</v>
      </c>
      <c r="B37" s="322" t="s">
        <v>1443</v>
      </c>
      <c r="C37" s="100">
        <v>0</v>
      </c>
      <c r="D37" s="169">
        <v>0</v>
      </c>
      <c r="E37" s="320">
        <f>SUM(C37:C37)</f>
        <v>0</v>
      </c>
      <c r="F37" s="318"/>
      <c r="G37" s="166">
        <v>5</v>
      </c>
      <c r="H37" s="319">
        <f>'72W Streetlight'!$E$24-'72W Streetlight'!$E$51</f>
        <v>266.83799999999997</v>
      </c>
      <c r="I37" s="318">
        <v>0</v>
      </c>
      <c r="J37" s="317">
        <f>'72W Streetlight'!$E$40</f>
        <v>12.367054167697255</v>
      </c>
      <c r="K37" s="164">
        <f>(G37*H37)/1000</f>
        <v>1.3341899999999998</v>
      </c>
      <c r="L37" s="164">
        <f>J37*K37</f>
        <v>16.499999999999996</v>
      </c>
      <c r="M37" s="164">
        <f>G37*I37</f>
        <v>0</v>
      </c>
      <c r="N37" s="316" t="s">
        <v>1444</v>
      </c>
    </row>
    <row r="38" spans="1:46" ht="22.5" customHeight="1" thickTop="1" thickBot="1">
      <c r="A38" s="98" t="s">
        <v>100</v>
      </c>
      <c r="B38" s="97"/>
      <c r="C38" s="96">
        <f>SUM(C37)</f>
        <v>0</v>
      </c>
      <c r="D38" s="96">
        <f>SUM(D37)</f>
        <v>0</v>
      </c>
      <c r="E38" s="96">
        <f>SUM(E37)</f>
        <v>0</v>
      </c>
      <c r="F38" s="95" t="s">
        <v>76</v>
      </c>
      <c r="G38" s="94">
        <f>SUM(G37:G37)</f>
        <v>5</v>
      </c>
      <c r="H38" s="94"/>
      <c r="I38" s="94"/>
      <c r="J38" s="159"/>
      <c r="K38" s="159">
        <f>SUM(K37:K37)</f>
        <v>1.3341899999999998</v>
      </c>
      <c r="L38" s="159">
        <f>SUM(L37:L37)</f>
        <v>16.499999999999996</v>
      </c>
      <c r="M38" s="138">
        <f>SUM(M37:M37)</f>
        <v>0</v>
      </c>
      <c r="N38" s="111"/>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395"/>
      <c r="AT38" s="395"/>
    </row>
    <row r="39" spans="1:46" s="24" customFormat="1" ht="22.5" customHeight="1" thickBot="1">
      <c r="A39" s="137"/>
      <c r="B39" s="136"/>
      <c r="C39" s="135"/>
      <c r="D39" s="135"/>
      <c r="E39" s="135"/>
      <c r="F39" s="134"/>
      <c r="G39" s="133"/>
      <c r="H39" s="133"/>
      <c r="I39" s="133"/>
      <c r="J39" s="133"/>
      <c r="K39" s="132"/>
      <c r="L39" s="132"/>
      <c r="M39" s="132"/>
      <c r="N39" s="131"/>
      <c r="O39" s="24"/>
      <c r="S39"/>
      <c r="T39"/>
      <c r="U39"/>
      <c r="V39"/>
      <c r="W39"/>
      <c r="X39"/>
      <c r="Y39"/>
      <c r="Z39"/>
      <c r="AA39"/>
      <c r="AB39"/>
      <c r="AC39"/>
      <c r="AD39"/>
      <c r="AE39"/>
      <c r="AF39"/>
      <c r="AG39"/>
      <c r="AH39"/>
      <c r="AI39"/>
      <c r="AJ39"/>
      <c r="AK39"/>
      <c r="AL39"/>
      <c r="AM39"/>
      <c r="AN39"/>
      <c r="AO39"/>
      <c r="AP39"/>
      <c r="AQ39"/>
      <c r="AR39"/>
      <c r="AS39" s="241"/>
      <c r="AT39" s="241"/>
    </row>
    <row r="40" spans="1:15" ht="63" thickBot="1">
      <c r="A40" s="130" t="s">
        <v>99</v>
      </c>
      <c r="B40" s="108" t="s">
        <v>89</v>
      </c>
      <c r="C40" s="129" t="s">
        <v>88</v>
      </c>
      <c r="D40" s="128" t="s">
        <v>87</v>
      </c>
      <c r="E40" s="127" t="s">
        <v>86</v>
      </c>
      <c r="F40" s="126" t="s">
        <v>85</v>
      </c>
      <c r="G40" s="126" t="s">
        <v>98</v>
      </c>
      <c r="H40" s="126" t="s">
        <v>97</v>
      </c>
      <c r="I40" s="126" t="s">
        <v>82</v>
      </c>
      <c r="J40" s="126" t="s">
        <v>96</v>
      </c>
      <c r="K40" s="126" t="s">
        <v>80</v>
      </c>
      <c r="L40" s="126" t="s">
        <v>79</v>
      </c>
      <c r="M40" s="126" t="s">
        <v>95</v>
      </c>
      <c r="N40" s="125" t="s">
        <v>78</v>
      </c>
    </row>
    <row r="41" spans="1:15" ht="16.8" thickTop="1" thickBot="1">
      <c r="A41" s="124"/>
      <c r="B41" s="123"/>
      <c r="C41" s="100">
        <v>0</v>
      </c>
      <c r="D41" s="139">
        <v>0</v>
      </c>
      <c r="E41" s="122">
        <f>SUM(C41:C41)</f>
        <v>0</v>
      </c>
      <c r="F41" s="121"/>
      <c r="G41" s="99"/>
      <c r="H41" s="120" t="s">
        <v>94</v>
      </c>
      <c r="I41" s="118"/>
      <c r="J41" s="118" t="s">
        <v>94</v>
      </c>
      <c r="K41" s="119"/>
      <c r="L41" s="118"/>
      <c r="M41" s="117"/>
      <c r="N41" s="116"/>
    </row>
    <row r="42" spans="1:46" s="24" customFormat="1" ht="22.5" customHeight="1" thickTop="1" thickBot="1">
      <c r="A42" s="98" t="s">
        <v>93</v>
      </c>
      <c r="B42" s="97"/>
      <c r="C42" s="115">
        <f>SUM(C41)</f>
        <v>0</v>
      </c>
      <c r="D42" s="115">
        <f>SUM(D41)</f>
        <v>0</v>
      </c>
      <c r="E42" s="115">
        <f>SUM(E41)</f>
        <v>0</v>
      </c>
      <c r="F42" s="114" t="s">
        <v>92</v>
      </c>
      <c r="G42" s="113">
        <f>SUM(G41:G41)</f>
        <v>0</v>
      </c>
      <c r="H42" s="113"/>
      <c r="I42" s="113"/>
      <c r="J42" s="159"/>
      <c r="K42" s="159">
        <f>SUM(K41)</f>
        <v>0</v>
      </c>
      <c r="L42" s="159">
        <f>SUM(L41)</f>
        <v>0</v>
      </c>
      <c r="M42" s="138">
        <f>SUM(M41)</f>
        <v>0</v>
      </c>
      <c r="N42" s="111"/>
      <c r="O42" s="24"/>
      <c r="S42"/>
      <c r="T42"/>
      <c r="U42"/>
      <c r="V42"/>
      <c r="W42"/>
      <c r="X42"/>
      <c r="Y42"/>
      <c r="Z42"/>
      <c r="AA42"/>
      <c r="AB42"/>
      <c r="AC42"/>
      <c r="AD42"/>
      <c r="AE42"/>
      <c r="AF42"/>
      <c r="AG42"/>
      <c r="AH42"/>
      <c r="AI42"/>
      <c r="AJ42"/>
      <c r="AK42"/>
      <c r="AL42"/>
      <c r="AM42"/>
      <c r="AN42"/>
      <c r="AO42"/>
      <c r="AP42"/>
      <c r="AQ42"/>
      <c r="AR42"/>
      <c r="AS42" s="241"/>
      <c r="AT42" s="241"/>
    </row>
    <row r="43" spans="1:15" ht="15.75" customHeight="1" thickBot="1">
      <c r="A43" s="110"/>
      <c r="B43" s="109"/>
      <c r="C43" s="109"/>
      <c r="D43" s="109"/>
      <c r="E43" s="109"/>
      <c r="F43" s="109"/>
      <c r="G43" s="109"/>
      <c r="H43" s="109"/>
      <c r="I43" s="109"/>
      <c r="J43" s="109"/>
      <c r="K43" s="109"/>
      <c r="L43" s="109"/>
      <c r="M43" s="79"/>
    </row>
    <row r="44" spans="1:15" ht="37.5" customHeight="1" thickBot="1">
      <c r="A44" s="1696" t="s">
        <v>91</v>
      </c>
      <c r="B44" s="1697"/>
      <c r="C44" s="1697"/>
      <c r="D44" s="1697"/>
      <c r="E44" s="1697"/>
      <c r="F44" s="1697"/>
      <c r="G44" s="1697"/>
      <c r="H44" s="1697"/>
      <c r="I44" s="1697"/>
      <c r="J44" s="1697"/>
      <c r="K44" s="1697"/>
      <c r="L44" s="1697"/>
      <c r="M44" s="1697"/>
      <c r="N44" s="1698"/>
    </row>
    <row r="45" spans="1:15" ht="63" thickBot="1">
      <c r="A45" s="91" t="s">
        <v>90</v>
      </c>
      <c r="B45" s="108" t="s">
        <v>89</v>
      </c>
      <c r="C45" s="107" t="s">
        <v>88</v>
      </c>
      <c r="D45" s="106" t="s">
        <v>87</v>
      </c>
      <c r="E45" s="105" t="s">
        <v>86</v>
      </c>
      <c r="F45" s="104" t="s">
        <v>85</v>
      </c>
      <c r="G45" s="103" t="s">
        <v>84</v>
      </c>
      <c r="H45" s="90" t="s">
        <v>83</v>
      </c>
      <c r="I45" s="90" t="s">
        <v>82</v>
      </c>
      <c r="J45" s="90" t="s">
        <v>81</v>
      </c>
      <c r="K45" s="90" t="s">
        <v>80</v>
      </c>
      <c r="L45" s="90" t="s">
        <v>79</v>
      </c>
      <c r="M45" s="126" t="s">
        <v>95</v>
      </c>
      <c r="N45" s="125" t="s">
        <v>78</v>
      </c>
    </row>
    <row r="46" spans="1:15" ht="16.8" thickTop="1" thickBot="1">
      <c r="A46" s="172" t="s">
        <v>1339</v>
      </c>
      <c r="B46" s="180" t="s">
        <v>1446</v>
      </c>
      <c r="C46" s="170">
        <v>0</v>
      </c>
      <c r="D46" s="179">
        <v>0</v>
      </c>
      <c r="E46" s="327">
        <f>SUM(C46:C46)</f>
        <v>0</v>
      </c>
      <c r="F46" s="178"/>
      <c r="G46" s="367">
        <f>SUMIFS('General Lighting Calculations'!$S:$S,'General Lighting Calculations'!$AF:$AF,1,'General Lighting Calculations'!$B:$B,"Clay")</f>
        <v>136</v>
      </c>
      <c r="H46" s="175">
        <f>SUMIFS('General Lighting Calculations'!$Y:$Y,'General Lighting Calculations'!$AF:$AF,1,'General Lighting Calculations'!$B:$B,"Clay")/$G46</f>
        <v>181.36777941176473</v>
      </c>
      <c r="I46" s="181">
        <f>AVERAGEIFS('General Lighting Calculations'!$AE:$AE,'General Lighting Calculations'!$AF:$AF,1,'General Lighting Calculations'!$B:$B,"Clay")/$G46</f>
        <v>0.027313005176470596</v>
      </c>
      <c r="J46" s="175">
        <f>AVERAGEIFS('General Lighting Calculations'!$Q:$Q,'General Lighting Calculations'!$AF:$AF,1,'General Lighting Calculations'!$B:$B,"Clay")</f>
        <v>20.309723280020311</v>
      </c>
      <c r="K46" s="176">
        <f>(G46*H46)/1000</f>
        <v>24.666018000000005</v>
      </c>
      <c r="L46" s="176">
        <f>J46*K46</f>
        <v>500.96000000000015</v>
      </c>
      <c r="M46" s="176">
        <f>G46*I46</f>
        <v>3.7145687040000013</v>
      </c>
      <c r="N46" s="326"/>
    </row>
    <row r="47" spans="1:15" ht="44.4" thickTop="1" thickBot="1">
      <c r="A47" s="1294" t="s">
        <v>1295</v>
      </c>
      <c r="B47" s="194" t="s">
        <v>1295</v>
      </c>
      <c r="C47" s="1295"/>
      <c r="D47" s="1295"/>
      <c r="E47" s="1296"/>
      <c r="F47" s="1297" t="s">
        <v>1781</v>
      </c>
      <c r="G47" s="1302">
        <f>'Clay 2015 without Resizing'!G47</f>
        <v>2997542048</v>
      </c>
      <c r="H47" s="1302">
        <f>'Clay 2015 without Resizing'!H47</f>
        <v>434164.53772858455</v>
      </c>
      <c r="I47" s="1302">
        <f>'Clay 2015 without Resizing'!I47</f>
        <v>17313.419999999998</v>
      </c>
      <c r="J47" s="1302">
        <f>'Clay 2015 without Resizing'!J47</f>
        <v>1</v>
      </c>
      <c r="K47" s="1302">
        <f>'Clay 2015 without Resizing'!K47</f>
        <v>434.16453772858455</v>
      </c>
      <c r="L47" s="1302">
        <f>'Clay 2015 without Resizing'!L47</f>
        <v>434.16453772858455</v>
      </c>
      <c r="M47" s="1302">
        <f>'Clay 2015 without Resizing'!M47</f>
        <v>17313.419999999998</v>
      </c>
      <c r="N47" s="929" t="str">
        <f>'Clay 2015 without Resizing'!N47</f>
        <v>54 feeders, 1.7% VR, Adjusted to 268,123 Load; 83 Feeders, 2.9% VR, Adjusted to 411,686 Load, 37 Feeders, 4.2%VR, 122,495 Load; CEC activates voltage reduction at peak times of the month for a total of approximately 61 hours per year; Calculated weighted average of 2.6% voltage reduction </v>
      </c>
    </row>
    <row r="48" spans="1:15" ht="22.5" customHeight="1" thickBot="1">
      <c r="A48" s="98" t="s">
        <v>77</v>
      </c>
      <c r="B48" s="430"/>
      <c r="C48" s="431">
        <f>SUM(C46)</f>
        <v>0</v>
      </c>
      <c r="D48" s="115">
        <f>SUM(D46)</f>
        <v>0</v>
      </c>
      <c r="E48" s="431">
        <f>SUM(D43:D46)</f>
        <v>0</v>
      </c>
      <c r="F48" s="432" t="s">
        <v>76</v>
      </c>
      <c r="G48" s="433">
        <f>SUM(G46:G47)</f>
        <v>2997542184</v>
      </c>
      <c r="H48" s="433">
        <f t="shared" si="27" ref="H48:M48">SUM(H46:H47)</f>
        <v>434345.90550799633</v>
      </c>
      <c r="I48" s="433">
        <f t="shared" si="27"/>
        <v>17313.447313005174</v>
      </c>
      <c r="J48" s="433">
        <f t="shared" si="27"/>
        <v>21.309723280020311</v>
      </c>
      <c r="K48" s="433">
        <f t="shared" si="27"/>
        <v>458.83055572858456</v>
      </c>
      <c r="L48" s="433">
        <f t="shared" si="27"/>
        <v>935.12453772858476</v>
      </c>
      <c r="M48" s="433">
        <f t="shared" si="27"/>
        <v>17317.134568703998</v>
      </c>
      <c r="N48" s="111"/>
    </row>
    <row r="49" spans="1:15" ht="15.75" customHeight="1" thickBot="1">
      <c r="A49" s="93"/>
      <c r="B49" s="92"/>
      <c r="C49" s="92"/>
      <c r="D49" s="92"/>
      <c r="E49" s="92"/>
      <c r="F49" s="92"/>
      <c r="G49" s="92"/>
      <c r="H49" s="92"/>
      <c r="I49" s="92"/>
      <c r="J49" s="92"/>
      <c r="K49" s="92"/>
      <c r="L49" s="92"/>
    </row>
    <row r="50" spans="1:15" ht="21.6" thickBot="1">
      <c r="A50" s="1679" t="s">
        <v>75</v>
      </c>
      <c r="B50" s="1680"/>
      <c r="C50" s="1681"/>
    </row>
    <row r="51" spans="1:15" ht="15.6">
      <c r="A51" s="91" t="s">
        <v>74</v>
      </c>
      <c r="B51" s="90" t="s">
        <v>73</v>
      </c>
      <c r="C51" s="89" t="s">
        <v>72</v>
      </c>
    </row>
    <row r="52" spans="1:15" ht="14.4">
      <c r="A52" s="88" t="s">
        <v>61</v>
      </c>
      <c r="B52" s="446">
        <v>0</v>
      </c>
      <c r="C52" s="86">
        <v>0</v>
      </c>
    </row>
    <row r="53" spans="1:15" ht="14.4">
      <c r="A53" s="88" t="s">
        <v>60</v>
      </c>
      <c r="B53" s="446">
        <v>0</v>
      </c>
      <c r="C53" s="86">
        <v>0</v>
      </c>
    </row>
    <row r="54" spans="1:15" ht="14.4">
      <c r="A54" s="88" t="s">
        <v>59</v>
      </c>
      <c r="B54" s="446">
        <v>0</v>
      </c>
      <c r="C54" s="86">
        <v>0</v>
      </c>
    </row>
    <row r="55" spans="1:15" ht="16.2" thickBot="1">
      <c r="A55" s="85" t="str">
        <f>"Total for "&amp;A50</f>
        <v>Total for Advanced Metering</v>
      </c>
      <c r="B55" s="84">
        <f>SUM(B52:B54)</f>
        <v>0</v>
      </c>
      <c r="C55" s="83">
        <f>SUM(C52:C54)</f>
        <v>0</v>
      </c>
    </row>
  </sheetData>
  <mergeCells count="30">
    <mergeCell ref="AB20:AE20"/>
    <mergeCell ref="AF20:AI20"/>
    <mergeCell ref="A1:N1"/>
    <mergeCell ref="AS20:AT20"/>
    <mergeCell ref="AN20:AQ20"/>
    <mergeCell ref="AJ20:AM20"/>
    <mergeCell ref="F15:H15"/>
    <mergeCell ref="F16:H16"/>
    <mergeCell ref="A19:N19"/>
    <mergeCell ref="S19:AA19"/>
    <mergeCell ref="AB19:AQ19"/>
    <mergeCell ref="AB18:AE18"/>
    <mergeCell ref="AJ18:AM18"/>
    <mergeCell ref="F14:H14"/>
    <mergeCell ref="A4:N4"/>
    <mergeCell ref="P5:Q5"/>
    <mergeCell ref="S6:U6"/>
    <mergeCell ref="F7:H7"/>
    <mergeCell ref="F8:H8"/>
    <mergeCell ref="F9:H9"/>
    <mergeCell ref="A50:C50"/>
    <mergeCell ref="F20:L20"/>
    <mergeCell ref="S20:AA20"/>
    <mergeCell ref="A35:N35"/>
    <mergeCell ref="A44:N44"/>
    <mergeCell ref="F10:H10"/>
    <mergeCell ref="F11:H11"/>
    <mergeCell ref="F12:H12"/>
    <mergeCell ref="F13:H13"/>
    <mergeCell ref="F6:H6"/>
  </mergeCells>
  <conditionalFormatting sqref="C23:D28">
    <cfRule type="expression" priority="73" dxfId="9">
      <formula>ISBLANK(C23)</formula>
    </cfRule>
    <cfRule type="expression" priority="74">
      <formula>NOT(ISBLANK(C23))</formula>
    </cfRule>
  </conditionalFormatting>
  <conditionalFormatting sqref="G32">
    <cfRule type="expression" priority="71" dxfId="9">
      <formula>ISBLANK(G32)</formula>
    </cfRule>
    <cfRule type="expression" priority="72">
      <formula>NOT(ISBLANK(G32))</formula>
    </cfRule>
  </conditionalFormatting>
  <conditionalFormatting sqref="C32">
    <cfRule type="expression" priority="69" dxfId="9">
      <formula>ISBLANK(C32)</formula>
    </cfRule>
    <cfRule type="expression" priority="70">
      <formula>NOT(ISBLANK(C32))</formula>
    </cfRule>
  </conditionalFormatting>
  <conditionalFormatting sqref="B11">
    <cfRule type="expression" priority="59" dxfId="9">
      <formula>ISBLANK(B11)</formula>
    </cfRule>
    <cfRule type="expression" priority="60">
      <formula>NOT(ISBLANK(B11))</formula>
    </cfRule>
  </conditionalFormatting>
  <conditionalFormatting sqref="G41">
    <cfRule type="expression" priority="63" dxfId="9">
      <formula>ISBLANK(G41)</formula>
    </cfRule>
    <cfRule type="expression" priority="64">
      <formula>NOT(ISBLANK(G41))</formula>
    </cfRule>
  </conditionalFormatting>
  <conditionalFormatting sqref="C41">
    <cfRule type="expression" priority="61" dxfId="9">
      <formula>ISBLANK(C41)</formula>
    </cfRule>
    <cfRule type="expression" priority="62">
      <formula>NOT(ISBLANK(C41))</formula>
    </cfRule>
  </conditionalFormatting>
  <conditionalFormatting sqref="C23:C28">
    <cfRule type="expression" priority="57" dxfId="8">
      <formula>ISBLANK(C23)</formula>
    </cfRule>
    <cfRule type="expression" priority="58">
      <formula>NOT(ISBLANK(C23))</formula>
    </cfRule>
  </conditionalFormatting>
  <conditionalFormatting sqref="D22">
    <cfRule type="expression" priority="55" dxfId="9">
      <formula>ISBLANK(D22)</formula>
    </cfRule>
    <cfRule type="expression" priority="56">
      <formula>NOT(ISBLANK(D22))</formula>
    </cfRule>
  </conditionalFormatting>
  <conditionalFormatting sqref="C22">
    <cfRule type="expression" priority="51" dxfId="9">
      <formula>ISBLANK(C22)</formula>
    </cfRule>
    <cfRule type="expression" priority="52">
      <formula>NOT(ISBLANK(C22))</formula>
    </cfRule>
  </conditionalFormatting>
  <conditionalFormatting sqref="C22">
    <cfRule type="expression" priority="53" dxfId="8">
      <formula>ISBLANK(C22)</formula>
    </cfRule>
    <cfRule type="expression" priority="54">
      <formula>NOT(ISBLANK(C22))</formula>
    </cfRule>
  </conditionalFormatting>
  <conditionalFormatting sqref="G22">
    <cfRule type="expression" priority="47" dxfId="9">
      <formula>ISBLANK(G22)</formula>
    </cfRule>
    <cfRule type="expression" priority="48">
      <formula>NOT(ISBLANK(G22))</formula>
    </cfRule>
  </conditionalFormatting>
  <conditionalFormatting sqref="G23:G28">
    <cfRule type="expression" priority="49" dxfId="9">
      <formula>ISBLANK(G23)</formula>
    </cfRule>
    <cfRule type="expression" priority="50">
      <formula>NOT(ISBLANK(G23))</formula>
    </cfRule>
  </conditionalFormatting>
  <conditionalFormatting sqref="D41">
    <cfRule type="expression" priority="45" dxfId="9">
      <formula>ISBLANK(D41)</formula>
    </cfRule>
    <cfRule type="expression" priority="46">
      <formula>NOT(ISBLANK(D41))</formula>
    </cfRule>
  </conditionalFormatting>
  <conditionalFormatting sqref="D32">
    <cfRule type="expression" priority="41" dxfId="9">
      <formula>ISBLANK(D32)</formula>
    </cfRule>
    <cfRule type="expression" priority="42">
      <formula>NOT(ISBLANK(D32))</formula>
    </cfRule>
  </conditionalFormatting>
  <conditionalFormatting sqref="AE29">
    <cfRule type="cellIs" priority="28" dxfId="0" operator="lessThan">
      <formula>1</formula>
    </cfRule>
  </conditionalFormatting>
  <conditionalFormatting sqref="AI29">
    <cfRule type="cellIs" priority="27" dxfId="0" operator="lessThan">
      <formula>1</formula>
    </cfRule>
  </conditionalFormatting>
  <conditionalFormatting sqref="AM29">
    <cfRule type="cellIs" priority="26" dxfId="0" operator="lessThan">
      <formula>1</formula>
    </cfRule>
  </conditionalFormatting>
  <conditionalFormatting sqref="AQ29">
    <cfRule type="cellIs" priority="25" dxfId="0" operator="lessThan">
      <formula>1</formula>
    </cfRule>
  </conditionalFormatting>
  <conditionalFormatting sqref="AE22:AE28">
    <cfRule type="colorScale" priority="17">
      <colorScale>
        <cfvo type="min" val="0"/>
        <cfvo type="percentile" val="50"/>
        <cfvo type="max" val="0"/>
        <color rgb="FFF8696B"/>
        <color rgb="FFFFEB84"/>
        <color rgb="FF63BE7B"/>
      </colorScale>
    </cfRule>
    <cfRule type="cellIs" priority="18" dxfId="0" operator="lessThan">
      <formula>1</formula>
    </cfRule>
  </conditionalFormatting>
  <conditionalFormatting sqref="AI22:AI28">
    <cfRule type="colorScale" priority="19">
      <colorScale>
        <cfvo type="min" val="0"/>
        <cfvo type="percentile" val="50"/>
        <cfvo type="max" val="0"/>
        <color rgb="FFF8696B"/>
        <color rgb="FFFFEB84"/>
        <color rgb="FF63BE7B"/>
      </colorScale>
    </cfRule>
    <cfRule type="cellIs" priority="20" dxfId="0" operator="lessThan">
      <formula>1</formula>
    </cfRule>
  </conditionalFormatting>
  <conditionalFormatting sqref="AM22:AM28">
    <cfRule type="colorScale" priority="21">
      <colorScale>
        <cfvo type="min" val="0"/>
        <cfvo type="percentile" val="50"/>
        <cfvo type="max" val="0"/>
        <color rgb="FFF8696B"/>
        <color rgb="FFFFEB84"/>
        <color rgb="FF63BE7B"/>
      </colorScale>
    </cfRule>
    <cfRule type="cellIs" priority="22" dxfId="0" operator="lessThan">
      <formula>1</formula>
    </cfRule>
  </conditionalFormatting>
  <conditionalFormatting sqref="AQ22:AQ28">
    <cfRule type="colorScale" priority="23">
      <colorScale>
        <cfvo type="min" val="0"/>
        <cfvo type="percentile" val="50"/>
        <cfvo type="max" val="0"/>
        <color rgb="FFF8696B"/>
        <color rgb="FFFFEB84"/>
        <color rgb="FF63BE7B"/>
      </colorScale>
    </cfRule>
    <cfRule type="cellIs" priority="24" dxfId="0" operator="lessThan">
      <formula>1</formula>
    </cfRule>
  </conditionalFormatting>
  <conditionalFormatting sqref="C46:C47">
    <cfRule type="expression" priority="11" dxfId="9">
      <formula>ISBLANK(C46)</formula>
    </cfRule>
    <cfRule type="expression" priority="12">
      <formula>NOT(ISBLANK(C46))</formula>
    </cfRule>
  </conditionalFormatting>
  <conditionalFormatting sqref="G46">
    <cfRule type="expression" priority="9" dxfId="9">
      <formula>ISBLANK(G46)</formula>
    </cfRule>
    <cfRule type="expression" priority="10">
      <formula>NOT(ISBLANK(G46))</formula>
    </cfRule>
  </conditionalFormatting>
  <conditionalFormatting sqref="D46:D47">
    <cfRule type="expression" priority="15" dxfId="9">
      <formula>ISBLANK(D46)</formula>
    </cfRule>
    <cfRule type="expression" priority="16">
      <formula>NOT(ISBLANK(D46))</formula>
    </cfRule>
  </conditionalFormatting>
  <conditionalFormatting sqref="C46:C47">
    <cfRule type="expression" priority="13" dxfId="8">
      <formula>ISBLANK(C46)</formula>
    </cfRule>
    <cfRule type="expression" priority="14">
      <formula>NOT(ISBLANK(C46))</formula>
    </cfRule>
  </conditionalFormatting>
  <conditionalFormatting sqref="C37">
    <cfRule type="expression" priority="3" dxfId="8">
      <formula>ISBLANK(C37)</formula>
    </cfRule>
    <cfRule type="expression" priority="4">
      <formula>NOT(ISBLANK(C37))</formula>
    </cfRule>
  </conditionalFormatting>
  <conditionalFormatting sqref="C37:D37">
    <cfRule type="expression" priority="5" dxfId="9">
      <formula>ISBLANK(C37)</formula>
    </cfRule>
    <cfRule type="expression" priority="6">
      <formula>NOT(ISBLANK(C37))</formula>
    </cfRule>
  </conditionalFormatting>
  <conditionalFormatting sqref="G37">
    <cfRule type="expression" priority="7" dxfId="9">
      <formula>ISBLANK(G37)</formula>
    </cfRule>
    <cfRule type="expression" priority="8">
      <formula>NOT(ISBLANK(G37))</formula>
    </cfRule>
  </conditionalFormatting>
  <conditionalFormatting sqref="G47:M47">
    <cfRule type="expression" priority="1" dxfId="9">
      <formula>ISBLANK(G47)</formula>
    </cfRule>
    <cfRule type="expression" priority="2">
      <formula>NOT(ISBLANK(G47))</formula>
    </cfRule>
  </conditionalFormatting>
  <pageMargins left="0.7" right="0.7" top="0.75" bottom="0.75" header="0.3" footer="0.3"/>
  <pageSetup orientation="portrait" r:id="rId2"/>
  <ignoredErrors>
    <ignoredError sqref="S8:AU21 S29:AU44 S22:AE22 AG22:AU22 S23:AE28 AG23:AU28" unlockedFormula="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tint="-0.24997"/>
  </sheetPr>
  <dimension ref="A1:AU52"/>
  <sheetViews>
    <sheetView zoomScale="70" zoomScaleNormal="70" workbookViewId="0" topLeftCell="A22">
      <selection pane="topLeft" activeCell="A1" sqref="A1"/>
    </sheetView>
  </sheetViews>
  <sheetFormatPr defaultColWidth="8.88888888888889" defaultRowHeight="14.4" outlineLevelCol="1"/>
  <cols>
    <col min="1" max="2" width="22.6666666666667" customWidth="1"/>
    <col min="3" max="5" width="16.6666666666667" customWidth="1"/>
    <col min="6" max="13" width="12.6666666666667" customWidth="1"/>
    <col min="14" max="14" width="36.6666666666667" style="586" customWidth="1"/>
    <col min="15" max="15" width="10.5555555555556" customWidth="1"/>
    <col min="16" max="16" width="35.7777777777778" customWidth="1"/>
    <col min="17" max="17" width="35.7777777777778" hidden="1" customWidth="1"/>
    <col min="18" max="18" width="2.55555555555556" customWidth="1"/>
    <col min="19" max="19" width="33.7777777777778" bestFit="1" customWidth="1"/>
    <col min="20" max="20" width="13.2222222222222" bestFit="1" customWidth="1"/>
    <col min="21" max="21" width="40.2222222222222" bestFit="1" customWidth="1"/>
    <col min="22" max="27" width="10.7777777777778" customWidth="1"/>
    <col min="28" max="31" width="10.7777777777778" customWidth="1" outlineLevel="1"/>
    <col min="32" max="32" width="10.7777777777778" customWidth="1" collapsed="1"/>
    <col min="33" max="35" width="10.7777777777778" customWidth="1"/>
    <col min="36" max="39" width="10.7777777777778" customWidth="1" outlineLevel="1"/>
    <col min="40" max="40" width="10.7777777777778" customWidth="1" collapsed="1"/>
    <col min="41" max="41" width="10.7777777777778" customWidth="1"/>
    <col min="42" max="42" width="12" customWidth="1"/>
    <col min="43" max="43" width="10.7777777777778" customWidth="1"/>
    <col min="44" max="44" width="8.88888888888889" customWidth="1"/>
    <col min="45" max="46" width="11.2222222222222" style="241" customWidth="1"/>
    <col min="47" max="47" width="8.88888888888889" customWidth="1"/>
  </cols>
  <sheetData>
    <row r="1" spans="1:39" ht="14.4">
      <c r="A1" s="1782" t="s">
        <v>1626</v>
      </c>
      <c r="B1" s="1783"/>
      <c r="C1" s="1783"/>
      <c r="D1" s="1783"/>
      <c r="E1" s="1783"/>
      <c r="F1" s="1783"/>
      <c r="G1" s="1783"/>
      <c r="H1" s="1784"/>
      <c r="I1" s="1784"/>
      <c r="J1" s="1784"/>
      <c r="K1" s="1784"/>
      <c r="L1" s="1784"/>
      <c r="M1" s="1784"/>
      <c r="N1" s="1784"/>
    </row>
    <row r="2" spans="1:39" ht="14.4">
      <c r="A2" s="1784"/>
      <c r="B2" s="1784"/>
      <c r="C2" s="1784"/>
      <c r="D2" s="1784"/>
      <c r="E2" s="1784"/>
      <c r="F2" s="1784"/>
      <c r="G2" s="1784"/>
      <c r="H2" s="1784"/>
      <c r="I2" s="1784"/>
      <c r="J2" s="1784"/>
      <c r="K2" s="1784"/>
      <c r="L2" s="1784"/>
      <c r="M2" s="1784"/>
      <c r="N2" s="1784"/>
    </row>
    <row r="3" spans="15:39" ht="14.4"/>
    <row r="4" spans="1:39" ht="25.8">
      <c r="A4" s="1709" t="str">
        <f>"Central Florida "&amp;$T$4</f>
        <v>Central Florida 2015</v>
      </c>
      <c r="B4" s="1710"/>
      <c r="C4" s="1710"/>
      <c r="D4" s="1710"/>
      <c r="E4" s="1710"/>
      <c r="F4" s="1710"/>
      <c r="G4" s="1710"/>
      <c r="H4" s="1710"/>
      <c r="I4" s="1710"/>
      <c r="J4" s="1710"/>
      <c r="K4" s="1710"/>
      <c r="L4" s="1710"/>
      <c r="M4" s="1710"/>
      <c r="N4" s="1710"/>
      <c r="S4" s="490" t="s">
        <v>1160</v>
      </c>
      <c r="T4" s="490">
        <f>'Save Spend Summary'!$C$2</f>
        <v>2015</v>
      </c>
    </row>
    <row r="5" spans="1:46" s="24" customFormat="1" ht="15" customHeight="1" thickBot="1">
      <c r="A5" s="194"/>
      <c r="B5" s="194"/>
      <c r="C5" s="194"/>
      <c r="D5" s="194"/>
      <c r="E5" s="194"/>
      <c r="F5" s="194"/>
      <c r="G5" s="194"/>
      <c r="H5" s="194"/>
      <c r="I5" s="194"/>
      <c r="J5" s="194"/>
      <c r="K5" s="194"/>
      <c r="L5" s="194"/>
      <c r="N5" s="665"/>
      <c r="O5" s="24"/>
      <c r="P5" s="24"/>
      <c r="Q5" s="24"/>
      <c r="AB5" s="24"/>
      <c r="AC5" s="24"/>
      <c r="AD5" s="24"/>
      <c r="AE5" s="24"/>
      <c r="AJ5" s="24"/>
      <c r="AK5" s="24"/>
      <c r="AL5" s="24"/>
      <c r="AM5" s="24"/>
      <c r="AS5" s="395"/>
      <c r="AT5" s="395"/>
    </row>
    <row r="6" spans="1:46" s="24" customFormat="1" ht="84.6" thickBot="1">
      <c r="A6" s="313" t="s">
        <v>139</v>
      </c>
      <c r="B6" s="251" t="s">
        <v>88</v>
      </c>
      <c r="C6" s="250" t="s">
        <v>87</v>
      </c>
      <c r="D6" s="249" t="s">
        <v>86</v>
      </c>
      <c r="F6" s="1711" t="s">
        <v>138</v>
      </c>
      <c r="G6" s="1712"/>
      <c r="H6" s="1712"/>
      <c r="I6" s="248" t="s">
        <v>80</v>
      </c>
      <c r="J6" s="248" t="s">
        <v>79</v>
      </c>
      <c r="K6" s="247" t="s">
        <v>95</v>
      </c>
      <c r="N6" s="665"/>
      <c r="O6" s="24"/>
      <c r="P6" s="24"/>
      <c r="Q6" s="24"/>
      <c r="S6" s="1673" t="s">
        <v>834</v>
      </c>
      <c r="T6" s="1674"/>
      <c r="U6" s="1675"/>
      <c r="AB6" s="24"/>
      <c r="AC6" s="24"/>
      <c r="AD6" s="24"/>
      <c r="AE6" s="24"/>
      <c r="AJ6" s="24"/>
      <c r="AK6" s="24"/>
      <c r="AL6" s="24"/>
      <c r="AM6" s="24"/>
      <c r="AS6" s="395"/>
      <c r="AT6" s="395"/>
    </row>
    <row r="7" spans="1:46" s="24" customFormat="1" ht="15" customHeight="1">
      <c r="A7" s="245" t="s">
        <v>136</v>
      </c>
      <c r="B7" s="244"/>
      <c r="C7" s="244"/>
      <c r="D7" s="243"/>
      <c r="F7" s="1676" t="s">
        <v>136</v>
      </c>
      <c r="G7" s="1677"/>
      <c r="H7" s="1678"/>
      <c r="I7" s="335"/>
      <c r="J7" s="335"/>
      <c r="K7" s="334"/>
      <c r="N7" s="665"/>
      <c r="O7" s="24"/>
      <c r="P7" s="24"/>
      <c r="Q7" s="24"/>
      <c r="S7" s="386" t="s">
        <v>196</v>
      </c>
      <c r="T7" s="386" t="s">
        <v>194</v>
      </c>
      <c r="U7" s="386" t="s">
        <v>78</v>
      </c>
      <c r="AB7" s="24"/>
      <c r="AC7" s="24"/>
      <c r="AD7" s="24"/>
      <c r="AE7" s="24"/>
      <c r="AJ7" s="24"/>
      <c r="AK7" s="24"/>
      <c r="AL7" s="24"/>
      <c r="AM7" s="24"/>
      <c r="AS7" s="395"/>
      <c r="AT7" s="395"/>
    </row>
    <row r="8" spans="1:46" s="24" customFormat="1" ht="15" customHeight="1">
      <c r="A8" s="209" t="s">
        <v>134</v>
      </c>
      <c r="B8" s="207">
        <f>C26</f>
        <v>0</v>
      </c>
      <c r="C8" s="208">
        <f>D26</f>
        <v>4817</v>
      </c>
      <c r="D8" s="206">
        <f>SUM(B8:C8)</f>
        <v>4817</v>
      </c>
      <c r="F8" s="1669" t="s">
        <v>134</v>
      </c>
      <c r="G8" s="1647"/>
      <c r="H8" s="1648"/>
      <c r="I8" s="239">
        <f>K26</f>
        <v>548.99403492822557</v>
      </c>
      <c r="J8" s="211">
        <f>L26</f>
        <v>889.15311038022548</v>
      </c>
      <c r="K8" s="210">
        <f>M26</f>
        <v>23.783922472881386</v>
      </c>
      <c r="N8" s="665"/>
      <c r="O8" s="24"/>
      <c r="P8" s="24"/>
      <c r="Q8" s="24"/>
      <c r="S8" s="382" t="s">
        <v>833</v>
      </c>
      <c r="T8" s="385">
        <f>'Seminole Avoided Cost'!$C$8</f>
        <v>0.06</v>
      </c>
      <c r="U8" s="438" t="s">
        <v>1120</v>
      </c>
      <c r="AB8" s="24"/>
      <c r="AC8" s="24"/>
      <c r="AD8" s="24"/>
      <c r="AE8" s="24"/>
      <c r="AJ8" s="24"/>
      <c r="AK8" s="24"/>
      <c r="AL8" s="24"/>
      <c r="AM8" s="24"/>
      <c r="AS8" s="395"/>
      <c r="AT8" s="395"/>
    </row>
    <row r="9" spans="1:46" s="24" customFormat="1" ht="15" customHeight="1">
      <c r="A9" s="209" t="s">
        <v>132</v>
      </c>
      <c r="B9" s="207">
        <f>C35</f>
        <v>0</v>
      </c>
      <c r="C9" s="208">
        <f>D35</f>
        <v>0</v>
      </c>
      <c r="D9" s="206">
        <f>SUM(B9:C9)</f>
        <v>0</v>
      </c>
      <c r="F9" s="1669" t="s">
        <v>132</v>
      </c>
      <c r="G9" s="1647"/>
      <c r="H9" s="1648"/>
      <c r="I9" s="239">
        <f>K35</f>
        <v>0</v>
      </c>
      <c r="J9" s="239">
        <f>L35</f>
        <v>0</v>
      </c>
      <c r="K9" s="333">
        <f>M35</f>
        <v>0</v>
      </c>
      <c r="N9" s="665"/>
      <c r="O9" s="24"/>
      <c r="P9" s="24"/>
      <c r="Q9" s="24"/>
      <c r="S9" s="382" t="s">
        <v>832</v>
      </c>
      <c r="T9" s="384">
        <v>0</v>
      </c>
      <c r="U9" s="438" t="s">
        <v>857</v>
      </c>
      <c r="AB9" s="24"/>
      <c r="AC9" s="24"/>
      <c r="AD9" s="24"/>
      <c r="AE9" s="24"/>
      <c r="AJ9" s="24"/>
      <c r="AK9" s="24"/>
      <c r="AL9" s="24"/>
      <c r="AM9" s="24"/>
      <c r="AS9" s="395"/>
      <c r="AT9" s="395"/>
    </row>
    <row r="10" spans="1:46" s="24" customFormat="1" ht="15" customHeight="1" thickBot="1">
      <c r="A10" s="236" t="s">
        <v>130</v>
      </c>
      <c r="B10" s="207">
        <f>C44</f>
        <v>0</v>
      </c>
      <c r="C10" s="208">
        <f>D44</f>
        <v>0</v>
      </c>
      <c r="D10" s="229">
        <f>SUM(B10:C10)</f>
        <v>0</v>
      </c>
      <c r="F10" s="1670" t="s">
        <v>130</v>
      </c>
      <c r="G10" s="1671"/>
      <c r="H10" s="1672"/>
      <c r="I10" s="234">
        <f>K45</f>
        <v>63.083875150684932</v>
      </c>
      <c r="J10" s="233">
        <f>L45</f>
        <v>63.083875150684932</v>
      </c>
      <c r="K10" s="232">
        <f>M45</f>
        <v>1221.2370000000001</v>
      </c>
      <c r="N10" s="665"/>
      <c r="O10" s="24"/>
      <c r="P10" s="24"/>
      <c r="Q10" s="24"/>
      <c r="S10" s="382" t="s">
        <v>831</v>
      </c>
      <c r="T10" s="384">
        <v>0</v>
      </c>
      <c r="U10" s="438" t="s">
        <v>857</v>
      </c>
      <c r="AB10" s="24"/>
      <c r="AC10" s="24"/>
      <c r="AD10" s="24"/>
      <c r="AE10" s="24"/>
      <c r="AJ10" s="24"/>
      <c r="AK10" s="24"/>
      <c r="AL10" s="24"/>
      <c r="AM10" s="24"/>
      <c r="AS10" s="395"/>
      <c r="AT10" s="395"/>
    </row>
    <row r="11" spans="1:46" s="24" customFormat="1" ht="15" customHeight="1" thickTop="1" thickBot="1">
      <c r="A11" s="231" t="s">
        <v>129</v>
      </c>
      <c r="B11" s="332">
        <v>2400</v>
      </c>
      <c r="C11" s="331"/>
      <c r="D11" s="229">
        <f>SUM(B11:C11)</f>
        <v>2400</v>
      </c>
      <c r="F11" s="1665" t="s">
        <v>128</v>
      </c>
      <c r="G11" s="1666"/>
      <c r="H11" s="1667"/>
      <c r="I11" s="228">
        <f>SUM(I8:I10)</f>
        <v>612.07791007891046</v>
      </c>
      <c r="J11" s="228">
        <f>SUM(J8:J10)</f>
        <v>952.23698553091037</v>
      </c>
      <c r="K11" s="227">
        <f>SUM(K8:K10)</f>
        <v>1245.0209224728815</v>
      </c>
      <c r="N11" s="665"/>
      <c r="O11" s="24"/>
      <c r="P11" s="24"/>
      <c r="Q11" s="24"/>
      <c r="S11" s="382" t="s">
        <v>830</v>
      </c>
      <c r="T11" s="384">
        <v>0</v>
      </c>
      <c r="U11" s="438" t="s">
        <v>857</v>
      </c>
      <c r="AB11" s="24"/>
      <c r="AC11" s="24"/>
      <c r="AD11" s="24"/>
      <c r="AE11" s="24"/>
      <c r="AJ11" s="24"/>
      <c r="AK11" s="24"/>
      <c r="AL11" s="24"/>
      <c r="AM11" s="24"/>
      <c r="AS11" s="395"/>
      <c r="AT11" s="395"/>
    </row>
    <row r="12" spans="1:46" s="46" customFormat="1" ht="15" customHeight="1" thickTop="1">
      <c r="A12" s="226" t="s">
        <v>128</v>
      </c>
      <c r="B12" s="225">
        <f>SUM(B8:B11)</f>
        <v>2400</v>
      </c>
      <c r="C12" s="224">
        <f>SUM(C8:C11)</f>
        <v>4817</v>
      </c>
      <c r="D12" s="223">
        <f>SUM(D8:D11)</f>
        <v>7217</v>
      </c>
      <c r="F12" s="1668" t="s">
        <v>127</v>
      </c>
      <c r="G12" s="1662"/>
      <c r="H12" s="1663"/>
      <c r="I12" s="222"/>
      <c r="J12" s="222"/>
      <c r="K12" s="221"/>
      <c r="N12" s="457"/>
      <c r="O12" s="46"/>
      <c r="P12" s="46"/>
      <c r="Q12" s="46"/>
      <c r="S12" s="382" t="s">
        <v>829</v>
      </c>
      <c r="T12" s="383">
        <f>VLOOKUP($U12,'2015 Annual Sales and Revenue '!$B$3:$H$29,7,FALSE)</f>
        <v>0.13757206333467503</v>
      </c>
      <c r="U12" s="438" t="s">
        <v>1150</v>
      </c>
      <c r="AB12" s="46"/>
      <c r="AC12" s="46"/>
      <c r="AD12" s="46"/>
      <c r="AE12" s="46"/>
      <c r="AJ12" s="46"/>
      <c r="AK12" s="46"/>
      <c r="AL12" s="46"/>
      <c r="AM12" s="46"/>
      <c r="AS12" s="396"/>
      <c r="AT12" s="396"/>
    </row>
    <row r="13" spans="1:46" s="24" customFormat="1" ht="15" customHeight="1">
      <c r="A13" s="220" t="s">
        <v>127</v>
      </c>
      <c r="B13" s="219"/>
      <c r="C13" s="219"/>
      <c r="D13" s="218"/>
      <c r="F13" s="1669" t="s">
        <v>126</v>
      </c>
      <c r="G13" s="1647"/>
      <c r="H13" s="1648"/>
      <c r="I13" s="217">
        <f>K30</f>
        <v>0</v>
      </c>
      <c r="J13" s="217">
        <f>L30</f>
        <v>0</v>
      </c>
      <c r="K13" s="216">
        <f>M30</f>
        <v>0</v>
      </c>
      <c r="N13" s="665"/>
      <c r="O13" s="24"/>
      <c r="P13" s="24"/>
      <c r="Q13" s="24"/>
      <c r="S13" s="382" t="s">
        <v>856</v>
      </c>
      <c r="T13" s="383">
        <f>VLOOKUP($U13,'2015 Annual Sales and Revenue '!$B$3:$H$29,7,FALSE)</f>
        <v>0.12211881500974713</v>
      </c>
      <c r="U13" s="438" t="s">
        <v>1151</v>
      </c>
      <c r="AB13" s="24"/>
      <c r="AC13" s="24"/>
      <c r="AD13" s="24"/>
      <c r="AE13" s="24"/>
      <c r="AJ13" s="24"/>
      <c r="AK13" s="24"/>
      <c r="AL13" s="24"/>
      <c r="AM13" s="24"/>
      <c r="AS13" s="395"/>
      <c r="AT13" s="395"/>
    </row>
    <row r="14" spans="1:46" s="24" customFormat="1" ht="15" customHeight="1" thickBot="1">
      <c r="A14" s="215" t="s">
        <v>126</v>
      </c>
      <c r="B14" s="214">
        <f>C30</f>
        <v>0</v>
      </c>
      <c r="C14" s="213">
        <f>D30</f>
        <v>0</v>
      </c>
      <c r="D14" s="212">
        <f>SUM(B14:C14)</f>
        <v>0</v>
      </c>
      <c r="F14" s="1670" t="s">
        <v>125</v>
      </c>
      <c r="G14" s="1671"/>
      <c r="H14" s="1672"/>
      <c r="I14" s="211">
        <f>K38</f>
        <v>0</v>
      </c>
      <c r="J14" s="211">
        <f>L38</f>
        <v>0</v>
      </c>
      <c r="K14" s="210">
        <f>M38</f>
        <v>0</v>
      </c>
      <c r="N14" s="665"/>
      <c r="O14" s="24"/>
      <c r="P14" s="24"/>
      <c r="Q14" s="24"/>
      <c r="S14" s="502"/>
      <c r="T14" s="503"/>
      <c r="U14" s="504"/>
      <c r="AB14" s="24"/>
      <c r="AC14" s="24"/>
      <c r="AD14" s="24"/>
      <c r="AE14" s="24"/>
      <c r="AJ14" s="24"/>
      <c r="AK14" s="24"/>
      <c r="AL14" s="24"/>
      <c r="AM14" s="24"/>
      <c r="AS14" s="395"/>
      <c r="AT14" s="395"/>
    </row>
    <row r="15" spans="1:46" s="24" customFormat="1" ht="15" customHeight="1" thickBot="1">
      <c r="A15" s="209" t="s">
        <v>124</v>
      </c>
      <c r="B15" s="208">
        <f>C40</f>
        <v>0</v>
      </c>
      <c r="C15" s="207">
        <f>D40</f>
        <v>0</v>
      </c>
      <c r="D15" s="206">
        <f>SUM(B15:C15)</f>
        <v>0</v>
      </c>
      <c r="F15" s="1706" t="s">
        <v>123</v>
      </c>
      <c r="G15" s="1707"/>
      <c r="H15" s="1708"/>
      <c r="I15" s="205">
        <f>SUM(I13:I14)</f>
        <v>0</v>
      </c>
      <c r="J15" s="205">
        <f>SUM(J13:J14)</f>
        <v>0</v>
      </c>
      <c r="K15" s="204">
        <f>SUM(K13:K14)</f>
        <v>0</v>
      </c>
      <c r="N15" s="665"/>
      <c r="O15" s="24"/>
      <c r="P15" s="24"/>
      <c r="Q15" s="24"/>
      <c r="S15" s="502"/>
      <c r="T15" s="503"/>
      <c r="U15" s="504"/>
      <c r="AB15" s="24"/>
      <c r="AC15" s="24"/>
      <c r="AD15" s="24"/>
      <c r="AE15" s="24"/>
      <c r="AJ15" s="24"/>
      <c r="AK15" s="24"/>
      <c r="AL15" s="24"/>
      <c r="AM15" s="24"/>
      <c r="AS15" s="395"/>
      <c r="AT15" s="395"/>
    </row>
    <row r="16" spans="1:46" s="24" customFormat="1" ht="15" customHeight="1" thickBot="1">
      <c r="A16" s="203" t="s">
        <v>123</v>
      </c>
      <c r="B16" s="202">
        <f>SUM(B14:B15)</f>
        <v>0</v>
      </c>
      <c r="C16" s="202">
        <f>SUM(C14:C15)</f>
        <v>0</v>
      </c>
      <c r="D16" s="201">
        <f>SUM(D14:D15)</f>
        <v>0</v>
      </c>
      <c r="F16" s="1762" t="s">
        <v>670</v>
      </c>
      <c r="G16" s="1763"/>
      <c r="H16" s="1764"/>
      <c r="I16" s="330">
        <f>SUM(I11,I15)</f>
        <v>612.07791007891046</v>
      </c>
      <c r="J16" s="330">
        <f>SUM(J11,J15)</f>
        <v>952.23698553091037</v>
      </c>
      <c r="K16" s="329">
        <f>SUM(K11,K15)</f>
        <v>1245.0209224728815</v>
      </c>
      <c r="N16" s="665"/>
      <c r="O16" s="24"/>
      <c r="P16" s="24"/>
      <c r="Q16" s="24"/>
      <c r="S16" s="502"/>
      <c r="T16" s="503"/>
      <c r="U16" s="504"/>
      <c r="AB16" s="24"/>
      <c r="AC16" s="24"/>
      <c r="AD16" s="24"/>
      <c r="AE16" s="24"/>
      <c r="AJ16" s="24"/>
      <c r="AK16" s="24"/>
      <c r="AL16" s="24"/>
      <c r="AM16" s="24"/>
      <c r="AS16" s="395"/>
      <c r="AT16" s="395"/>
    </row>
    <row r="17" spans="1:46" s="24" customFormat="1" ht="15" customHeight="1" thickBot="1">
      <c r="A17" s="198" t="s">
        <v>670</v>
      </c>
      <c r="B17" s="197">
        <f>SUM(B12,B16)</f>
        <v>2400</v>
      </c>
      <c r="C17" s="197">
        <f>SUM(C12,C16)</f>
        <v>4817</v>
      </c>
      <c r="D17" s="196">
        <f>SUM(D12,D16)</f>
        <v>7217</v>
      </c>
      <c r="N17" s="665"/>
      <c r="O17" s="24"/>
      <c r="P17" s="24"/>
      <c r="Q17" s="24"/>
      <c r="S17" s="502"/>
      <c r="T17" s="503"/>
      <c r="U17" s="504"/>
      <c r="AB17" s="24"/>
      <c r="AC17" s="24"/>
      <c r="AD17" s="24"/>
      <c r="AE17" s="24"/>
      <c r="AJ17" s="24"/>
      <c r="AK17" s="24"/>
      <c r="AL17" s="24"/>
      <c r="AM17" s="24"/>
      <c r="AS17" s="395"/>
      <c r="AT17" s="395"/>
    </row>
    <row r="18" spans="1:46" s="24" customFormat="1" ht="15" customHeight="1" thickBot="1">
      <c r="A18" s="195"/>
      <c r="B18" s="195"/>
      <c r="C18" s="194"/>
      <c r="D18" s="194"/>
      <c r="E18" s="194"/>
      <c r="F18" s="194"/>
      <c r="G18" s="194"/>
      <c r="H18" s="194"/>
      <c r="I18" s="194"/>
      <c r="J18" s="194"/>
      <c r="K18" s="194"/>
      <c r="N18" s="665"/>
      <c r="O18" s="24"/>
      <c r="P18" s="24"/>
      <c r="Q18" s="24"/>
      <c r="AB18" s="1627" t="s">
        <v>1161</v>
      </c>
      <c r="AC18" s="1627"/>
      <c r="AD18" s="1627"/>
      <c r="AE18" s="1627"/>
      <c r="AJ18" s="1627" t="s">
        <v>1161</v>
      </c>
      <c r="AK18" s="1627"/>
      <c r="AL18" s="1627"/>
      <c r="AM18" s="1627"/>
      <c r="AS18" s="395"/>
      <c r="AT18" s="395"/>
    </row>
    <row r="19" spans="1:45" ht="37.5" customHeight="1" thickBot="1">
      <c r="A19" s="1699" t="s">
        <v>122</v>
      </c>
      <c r="B19" s="1699"/>
      <c r="C19" s="1699"/>
      <c r="D19" s="1699"/>
      <c r="E19" s="1699"/>
      <c r="F19" s="1699"/>
      <c r="G19" s="1699"/>
      <c r="H19" s="1699"/>
      <c r="I19" s="1699"/>
      <c r="J19" s="1699"/>
      <c r="K19" s="1699"/>
      <c r="L19" s="1699"/>
      <c r="M19" s="1699"/>
      <c r="N19" s="1699"/>
      <c r="S19" s="1703" t="s">
        <v>855</v>
      </c>
      <c r="T19" s="1704"/>
      <c r="U19" s="1704"/>
      <c r="V19" s="1704"/>
      <c r="W19" s="1704"/>
      <c r="X19" s="1704"/>
      <c r="Y19" s="1704"/>
      <c r="Z19" s="1704"/>
      <c r="AA19" s="1704"/>
      <c r="AB19" s="1704" t="s">
        <v>854</v>
      </c>
      <c r="AC19" s="1704"/>
      <c r="AD19" s="1704"/>
      <c r="AE19" s="1704"/>
      <c r="AF19" s="1704"/>
      <c r="AG19" s="1704"/>
      <c r="AH19" s="1704"/>
      <c r="AI19" s="1704"/>
      <c r="AJ19" s="1704"/>
      <c r="AK19" s="1704"/>
      <c r="AL19" s="1704"/>
      <c r="AM19" s="1704"/>
      <c r="AN19" s="1704"/>
      <c r="AO19" s="1704"/>
      <c r="AP19" s="1704"/>
      <c r="AQ19" s="1705"/>
      <c r="AR19" s="291"/>
      <c r="AS19" s="46"/>
    </row>
    <row r="20" spans="1:47" s="1470" customFormat="1" ht="15.6">
      <c r="A20" s="1438"/>
      <c r="B20" s="1438"/>
      <c r="C20" s="1765" t="s">
        <v>121</v>
      </c>
      <c r="D20" s="1765"/>
      <c r="E20" s="1765"/>
      <c r="F20" s="1765" t="s">
        <v>120</v>
      </c>
      <c r="G20" s="1765"/>
      <c r="H20" s="1765"/>
      <c r="I20" s="1765"/>
      <c r="J20" s="1765"/>
      <c r="K20" s="1765"/>
      <c r="L20" s="1765"/>
      <c r="M20" s="1440"/>
      <c r="N20" s="1525"/>
      <c r="O20" s="1470"/>
      <c r="P20" s="1470"/>
      <c r="Q20" s="1470"/>
      <c r="S20" s="1688"/>
      <c r="T20" s="1689"/>
      <c r="U20" s="1689"/>
      <c r="V20" s="1689"/>
      <c r="W20" s="1689"/>
      <c r="X20" s="1689"/>
      <c r="Y20" s="1689"/>
      <c r="Z20" s="1689"/>
      <c r="AA20" s="1689"/>
      <c r="AB20" s="1690" t="s">
        <v>853</v>
      </c>
      <c r="AC20" s="1690"/>
      <c r="AD20" s="1690"/>
      <c r="AE20" s="1690"/>
      <c r="AF20" s="1690" t="s">
        <v>852</v>
      </c>
      <c r="AG20" s="1690"/>
      <c r="AH20" s="1690"/>
      <c r="AI20" s="1690"/>
      <c r="AJ20" s="1690" t="s">
        <v>851</v>
      </c>
      <c r="AK20" s="1690"/>
      <c r="AL20" s="1690"/>
      <c r="AM20" s="1690"/>
      <c r="AN20" s="1690" t="s">
        <v>850</v>
      </c>
      <c r="AO20" s="1690"/>
      <c r="AP20" s="1690"/>
      <c r="AQ20" s="1693"/>
      <c r="AR20" s="1488"/>
      <c r="AS20" s="1694" t="s">
        <v>849</v>
      </c>
      <c r="AT20" s="1695"/>
      <c r="AU20" s="408" t="s">
        <v>858</v>
      </c>
    </row>
    <row r="21" spans="1:47" s="1470" customFormat="1" ht="63" customHeight="1">
      <c r="A21" s="434" t="s">
        <v>119</v>
      </c>
      <c r="B21" s="1346" t="s">
        <v>89</v>
      </c>
      <c r="C21" s="434" t="s">
        <v>88</v>
      </c>
      <c r="D21" s="1346" t="s">
        <v>87</v>
      </c>
      <c r="E21" s="434" t="s">
        <v>86</v>
      </c>
      <c r="F21" s="434" t="s">
        <v>85</v>
      </c>
      <c r="G21" s="434" t="s">
        <v>84</v>
      </c>
      <c r="H21" s="434" t="s">
        <v>97</v>
      </c>
      <c r="I21" s="434" t="s">
        <v>82</v>
      </c>
      <c r="J21" s="434" t="s">
        <v>96</v>
      </c>
      <c r="K21" s="434" t="s">
        <v>80</v>
      </c>
      <c r="L21" s="434" t="s">
        <v>79</v>
      </c>
      <c r="M21" s="434" t="s">
        <v>95</v>
      </c>
      <c r="N21" s="434" t="s">
        <v>78</v>
      </c>
      <c r="O21" s="1470"/>
      <c r="P21" s="1489" t="str">
        <f>K21&amp;" Weighting"</f>
        <v>Total Annual MWh Weighting</v>
      </c>
      <c r="Q21" s="1489"/>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1488"/>
      <c r="AS21" s="397" t="s">
        <v>791</v>
      </c>
      <c r="AT21" s="386" t="s">
        <v>1164</v>
      </c>
      <c r="AU21" s="398" t="s">
        <v>752</v>
      </c>
    </row>
    <row r="22" spans="1:47" s="1470" customFormat="1" ht="31.2">
      <c r="A22" s="1451" t="s">
        <v>669</v>
      </c>
      <c r="B22" s="318" t="s">
        <v>668</v>
      </c>
      <c r="C22" s="1348">
        <v>0</v>
      </c>
      <c r="D22" s="1348">
        <v>0</v>
      </c>
      <c r="E22" s="1348">
        <f>SUM(C22:D22)</f>
        <v>0</v>
      </c>
      <c r="F22" s="1450" t="s">
        <v>667</v>
      </c>
      <c r="G22" s="1469">
        <v>610</v>
      </c>
      <c r="H22" s="165">
        <f>'Residential PrePay Metering'!$I$5</f>
        <v>826.91495817414022</v>
      </c>
      <c r="I22" s="1456">
        <f>'Residential PrePay Metering'!$J$5</f>
        <v>0.030607464282263932</v>
      </c>
      <c r="J22" s="165">
        <f>'Residential PrePay Metering'!$C$52</f>
        <v>1</v>
      </c>
      <c r="K22" s="1355">
        <f>(G22*H22)/1000</f>
        <v>504.41812448622557</v>
      </c>
      <c r="L22" s="1355">
        <f>J22*K22</f>
        <v>504.41812448622557</v>
      </c>
      <c r="M22" s="1355">
        <f>G22*I22</f>
        <v>18.670553212180998</v>
      </c>
      <c r="N22" s="1507"/>
      <c r="O22" s="1470"/>
      <c r="P22" s="1491">
        <f>K22/$K$26</f>
        <v>0.91880438109345253</v>
      </c>
      <c r="Q22" s="1491"/>
      <c r="S22" s="1492">
        <f>IFERROR(IF(G22/$G$26=0,0,G22/$G$26),"")</f>
        <v>0.24302788844621515</v>
      </c>
      <c r="T22" s="1493" t="s">
        <v>836</v>
      </c>
      <c r="U22" s="1493" t="s">
        <v>835</v>
      </c>
      <c r="V22" s="1494">
        <v>0.90</v>
      </c>
      <c r="W22" s="1495">
        <f>IF($H22*$T$12=0,"",$H22*$T$12)</f>
        <v>113.76039699832298</v>
      </c>
      <c r="X22" s="1495">
        <f>IFERROR($W22*((1+$T$9)/(1+$T$8)*(1-((1+$T$9)/(1+$T$8))^$J22)/(1-((1+$T$9)/(1+$T$8)))),"")</f>
        <v>107.32112924370091</v>
      </c>
      <c r="Y22" s="1496">
        <f>IFERROR(D22/G22,"")</f>
        <v>0</v>
      </c>
      <c r="Z22" s="1497">
        <v>5</v>
      </c>
      <c r="AA22" s="1498"/>
      <c r="AB22" s="1497">
        <f>IFERROR(($AS22*$H22*$V22*((1+$T$11)/(1+$T$8)*(1-((1+$T$11)/(1+$T$8))^$J22)/(1-((1+$T$11)/(1+$T$8)))))+($AT$22*$I22),"")</f>
        <v>22.840884664846069</v>
      </c>
      <c r="AC22" s="1497">
        <f>IFERROR((SUM($C22)/$G22)+($Z22*$V22),"")</f>
        <v>4.50</v>
      </c>
      <c r="AD22" s="1499">
        <f>IFERROR(IF(AB22="","",AB22-AC22),"")</f>
        <v>18.340884664846069</v>
      </c>
      <c r="AE22" s="1500">
        <f>IFERROR(AB22/AC22,"")</f>
        <v>5.0757521477435708</v>
      </c>
      <c r="AF22" s="1497">
        <f>IFERROR(($AS22*$H22*$V22*((1+$T$11)/(1+$T$8)*(1-((1+$T$11)/(1+$T$8))^$J22)/(1-((1+$T$11)/(1+$T$8)))))+($AT22*$I22),"")</f>
        <v>22.840884664846069</v>
      </c>
      <c r="AG22" s="1499">
        <f>IFERROR(-PV($T$8,1,($E22/$G22)),"")</f>
        <v>0</v>
      </c>
      <c r="AH22" s="1499">
        <f>IFERROR(IF(AF22="","",AF22-AG22),"")</f>
        <v>22.840884664846069</v>
      </c>
      <c r="AI22" s="1500" t="str">
        <f>IFERROR(AF22/AG22,"")</f>
        <v/>
      </c>
      <c r="AJ22" s="1499">
        <f>IFERROR(-PV($T$8,$J22,$W22)+($Y22),"")</f>
        <v>107.32112924370101</v>
      </c>
      <c r="AK22" s="1499">
        <f>IF(Z22="","",Z22)</f>
        <v>5</v>
      </c>
      <c r="AL22" s="1499">
        <f>IFERROR(IF(AJ22="","",AJ22-AK22),"")</f>
        <v>102.32112924370101</v>
      </c>
      <c r="AM22" s="1500">
        <f>IFERROR(AJ22/AK22,"")</f>
        <v>21.464225848740202</v>
      </c>
      <c r="AN22" s="1499">
        <f>IFERROR(($AS22*$H22*$V22*((1+$T$11)/(1+$T$8)*(1-((1+$T$11)/(1+$T$8))^$J22)/(1-((1+$T$11)/(1+$T$8)))))+($AT22*$I22),"")</f>
        <v>22.840884664846069</v>
      </c>
      <c r="AO22" s="1501">
        <f>IFERROR((SUM($C22)/$G22)+X22+Y22,"")</f>
        <v>107.32112924370091</v>
      </c>
      <c r="AP22" s="1499">
        <f>IFERROR(IF(AN22="","",AN22-AO22),"")</f>
        <v>-84.480244578854837</v>
      </c>
      <c r="AQ22" s="1502">
        <f>IFERROR(AN22/AO22,"")</f>
        <v>0.21282747233286953</v>
      </c>
      <c r="AR22" s="1488"/>
      <c r="AS22" s="1503">
        <f>IFERROR(VLOOKUP(ROUND($J22,0),'Seminole Avoided Cost'!$B$15:$Y$41,8,FALSE),"")</f>
        <v>0.0292</v>
      </c>
      <c r="AT22" s="1504">
        <f>IFERROR(VLOOKUP(ROUND($J22,0),'Seminole Avoided Cost'!$B$15:$Y$41,24,FALSE),"")</f>
        <v>76.44</v>
      </c>
      <c r="AU22" s="1505">
        <f>IFERROR(SUM(C22)/G22,"")</f>
        <v>0</v>
      </c>
    </row>
    <row r="23" spans="1:47" s="1470" customFormat="1" ht="15.6">
      <c r="A23" s="1451" t="s">
        <v>666</v>
      </c>
      <c r="B23" s="318" t="s">
        <v>665</v>
      </c>
      <c r="C23" s="1348">
        <v>0</v>
      </c>
      <c r="D23" s="1467">
        <v>2970</v>
      </c>
      <c r="E23" s="1348">
        <f>SUM(C23:D23)</f>
        <v>2970</v>
      </c>
      <c r="F23" s="1444" t="s">
        <v>116</v>
      </c>
      <c r="G23" s="1469">
        <v>1500</v>
      </c>
      <c r="H23" s="165">
        <f>'13W CFL Giveaway Savings'!$D$14</f>
        <v>25.988883227999995</v>
      </c>
      <c r="I23" s="1456">
        <f>'13W CFL Giveaway Savings'!$D$16</f>
        <v>0.0029760350194552535</v>
      </c>
      <c r="J23" s="165">
        <f>'13W CFL Giveaway Savings'!$D$13</f>
        <v>7</v>
      </c>
      <c r="K23" s="1355">
        <f>(G23*H23)/1000</f>
        <v>38.983324841999995</v>
      </c>
      <c r="L23" s="1355">
        <f>J23*K23</f>
        <v>272.88327389399996</v>
      </c>
      <c r="M23" s="1355">
        <f>G23*I23</f>
        <v>4.4640525291828803</v>
      </c>
      <c r="N23" s="1507"/>
      <c r="O23" s="1470"/>
      <c r="P23" s="1491">
        <f>K23/$K$26</f>
        <v>0.071008649205262495</v>
      </c>
      <c r="Q23" s="1491"/>
      <c r="S23" s="1492">
        <f>IFERROR(IF(G23/$G$26=0,0,G23/$G$26),"")</f>
        <v>0.59760956175298807</v>
      </c>
      <c r="T23" s="1493" t="s">
        <v>836</v>
      </c>
      <c r="U23" s="1493" t="s">
        <v>835</v>
      </c>
      <c r="V23" s="1494">
        <v>0.90</v>
      </c>
      <c r="W23" s="1495">
        <f>IF($H23*$T$12=0,"",$H23*$T$12)</f>
        <v>3.5753442894398892</v>
      </c>
      <c r="X23" s="1495">
        <f>IFERROR($W23*((1+$T$9)/(1+$T$8)*(1-((1+$T$9)/(1+$T$8))^$J23)/(1-((1+$T$9)/(1+$T$8)))),"")</f>
        <v>19.958935601648221</v>
      </c>
      <c r="Y23" s="1496">
        <f>IFERROR(D23/G23,"")</f>
        <v>1.98</v>
      </c>
      <c r="Z23" s="1497">
        <v>5</v>
      </c>
      <c r="AA23" s="1498"/>
      <c r="AB23" s="1497">
        <f>IFERROR(($AS23*$H23*$V23*((1+$T$11)/(1+$T$8)*(1-((1+$T$11)/(1+$T$8))^$J23)/(1-((1+$T$11)/(1+$T$8)))))+($AT$22*$I23),"")</f>
        <v>4.7961979682649858</v>
      </c>
      <c r="AC23" s="1497">
        <f>IFERROR((SUM($C23)/$G23)+($Z23*$V23),"")</f>
        <v>4.50</v>
      </c>
      <c r="AD23" s="1499">
        <f>IFERROR(IF(AB23="","",AB23-AC23),"")</f>
        <v>0.29619796826498579</v>
      </c>
      <c r="AE23" s="1500">
        <f>IFERROR(AB23/AC23,"")</f>
        <v>1.0658217707255524</v>
      </c>
      <c r="AF23" s="1497">
        <f>IFERROR(($AS23*$H23*$V23*((1+$T$11)/(1+$T$8)*(1-((1+$T$11)/(1+$T$8))^$J23)/(1-((1+$T$11)/(1+$T$8)))))+($AT23*$I23),"")</f>
        <v>4.8676228087319116</v>
      </c>
      <c r="AG23" s="1499">
        <f>IFERROR(-PV($T$8,1,($E23/$G23)),"")</f>
        <v>1.8679245283018884</v>
      </c>
      <c r="AH23" s="1499">
        <f>IFERROR(IF(AF23="","",AF23-AG23),"")</f>
        <v>2.9996982804300232</v>
      </c>
      <c r="AI23" s="1500">
        <f>IFERROR(AF23/AG23,"")</f>
        <v>2.6058990794221324</v>
      </c>
      <c r="AJ23" s="1499">
        <f>IFERROR(-PV($T$8,$J23,$W23)+($Y23),"")</f>
        <v>21.938935601648243</v>
      </c>
      <c r="AK23" s="1499">
        <f>IF(Z23="","",Z23)</f>
        <v>5</v>
      </c>
      <c r="AL23" s="1499">
        <f>IFERROR(IF(AJ23="","",AJ23-AK23),"")</f>
        <v>16.938935601648243</v>
      </c>
      <c r="AM23" s="1500">
        <f>IFERROR(AJ23/AK23,"")</f>
        <v>4.3877871203296488</v>
      </c>
      <c r="AN23" s="1499">
        <f>IFERROR(($AS23*$H23*$V23*((1+$T$11)/(1+$T$8)*(1-((1+$T$11)/(1+$T$8))^$J23)/(1-((1+$T$11)/(1+$T$8)))))+($AT23*$I23),"")</f>
        <v>4.8676228087319116</v>
      </c>
      <c r="AO23" s="1501">
        <f>IFERROR((SUM($C23)/$G23)+X23+Y23,"")</f>
        <v>21.938935601648222</v>
      </c>
      <c r="AP23" s="1499">
        <f>IFERROR(IF(AN23="","",AN23-AO23),"")</f>
        <v>-17.071312792916309</v>
      </c>
      <c r="AQ23" s="1502">
        <f>IFERROR(AN23/AO23,"")</f>
        <v>0.22187142061560261</v>
      </c>
      <c r="AR23" s="1488"/>
      <c r="AS23" s="1503">
        <f>IFERROR(VLOOKUP(ROUND($J23,0),'Seminole Avoided Cost'!$B$15:$Y$41,8,FALSE),"")</f>
        <v>0.03499</v>
      </c>
      <c r="AT23" s="1504">
        <f>IFERROR(VLOOKUP(ROUND($J23,0),'Seminole Avoided Cost'!$B$15:$Y$41,24,FALSE),"")</f>
        <v>100.44</v>
      </c>
      <c r="AU23" s="1505">
        <f>IFERROR(SUM(C23)/G23,"")</f>
        <v>0</v>
      </c>
    </row>
    <row r="24" spans="1:47" s="1506" customFormat="1" ht="15.6">
      <c r="A24" s="1468" t="s">
        <v>118</v>
      </c>
      <c r="B24" s="1473" t="s">
        <v>117</v>
      </c>
      <c r="C24" s="1467">
        <v>0</v>
      </c>
      <c r="D24" s="1467">
        <v>1847</v>
      </c>
      <c r="E24" s="1467">
        <f>SUM(C24:D24)</f>
        <v>1847</v>
      </c>
      <c r="F24" s="1474" t="s">
        <v>116</v>
      </c>
      <c r="G24" s="1469">
        <v>200</v>
      </c>
      <c r="H24" s="175">
        <f>'10W LED Giveaway Savings'!$D$14</f>
        <v>27.962927999999998</v>
      </c>
      <c r="I24" s="1527">
        <f>'10W LED Giveaway Savings'!$D$16</f>
        <v>0.0032465836575875486</v>
      </c>
      <c r="J24" s="175">
        <f>'10W LED Giveaway Savings'!$D$13</f>
        <v>20</v>
      </c>
      <c r="K24" s="1356">
        <f>(G24*H24)/1000</f>
        <v>5.5925855999999996</v>
      </c>
      <c r="L24" s="1356">
        <f>J24*K24</f>
        <v>111.85171199999999</v>
      </c>
      <c r="M24" s="1356">
        <f>G24*I24</f>
        <v>0.64931673151750968</v>
      </c>
      <c r="N24" s="1490"/>
      <c r="O24" s="1506"/>
      <c r="P24" s="1491">
        <f>K24/$K$26</f>
        <v>0.010186969701284939</v>
      </c>
      <c r="Q24" s="1491"/>
      <c r="S24" s="1492">
        <f>IFERROR(IF(G24/$G$26=0,0,G24/$G$26),"")</f>
        <v>0.079681274900398405</v>
      </c>
      <c r="T24" s="1493" t="s">
        <v>836</v>
      </c>
      <c r="U24" s="1493" t="s">
        <v>835</v>
      </c>
      <c r="V24" s="1494">
        <v>0.90</v>
      </c>
      <c r="W24" s="1495">
        <f>IF($H24*$T$12=0,"",$H24*$T$12)</f>
        <v>3.8469177018389575</v>
      </c>
      <c r="X24" s="1495">
        <f>IFERROR($W24*((1+$T$9)/(1+$T$8)*(1-((1+$T$9)/(1+$T$8))^$J24)/(1-((1+$T$9)/(1+$T$8)))),"")</f>
        <v>44.123842974396929</v>
      </c>
      <c r="Y24" s="1496">
        <f>IFERROR(D24/G24,"")</f>
        <v>9.2349999999999994</v>
      </c>
      <c r="Z24" s="1497">
        <v>5</v>
      </c>
      <c r="AA24" s="1498"/>
      <c r="AB24" s="1497">
        <f>IFERROR(($AS24*$H24*$V24*((1+$T$11)/(1+$T$8)*(1-((1+$T$11)/(1+$T$8))^$J24)/(1-((1+$T$11)/(1+$T$8)))))+($AT$22*$I24),"")</f>
        <v>16.25432831959257</v>
      </c>
      <c r="AC24" s="1497">
        <f>IFERROR((SUM($C24)/$G24)+($Z24*$V24),"")</f>
        <v>4.50</v>
      </c>
      <c r="AD24" s="1499">
        <f>IFERROR(IF(AB24="","",AB24-AC24),"")</f>
        <v>11.75432831959257</v>
      </c>
      <c r="AE24" s="1500">
        <f>IFERROR(AB24/AC24,"")</f>
        <v>3.6120729599094599</v>
      </c>
      <c r="AF24" s="1497">
        <f>IFERROR(($AS24*$H24*$V24*((1+$T$11)/(1+$T$8)*(1-((1+$T$11)/(1+$T$8))^$J24)/(1-((1+$T$11)/(1+$T$8)))))+($AT24*$I24),"")</f>
        <v>16.486134392744322</v>
      </c>
      <c r="AG24" s="1499">
        <f>IFERROR(-PV($T$8,1,($E24/$G24)),"")</f>
        <v>8.7122641509434029</v>
      </c>
      <c r="AH24" s="1499">
        <f>IFERROR(IF(AF24="","",AF24-AG24),"")</f>
        <v>7.7738702418009193</v>
      </c>
      <c r="AI24" s="1500">
        <f>IFERROR(AF24/AG24,"")</f>
        <v>1.8922904663030826</v>
      </c>
      <c r="AJ24" s="1499">
        <f>IFERROR(-PV($T$8,$J24,$W24)+($Y24),"")</f>
        <v>53.358842974396978</v>
      </c>
      <c r="AK24" s="1499">
        <f>IF(Z24="","",Z24)</f>
        <v>5</v>
      </c>
      <c r="AL24" s="1499">
        <f>IFERROR(IF(AJ24="","",AJ24-AK24),"")</f>
        <v>48.358842974396978</v>
      </c>
      <c r="AM24" s="1500">
        <f>IFERROR(AJ24/AK24,"")</f>
        <v>10.671768594879396</v>
      </c>
      <c r="AN24" s="1499">
        <f>IFERROR(($AS24*$H24*$V24*((1+$T$11)/(1+$T$8)*(1-((1+$T$11)/(1+$T$8))^$J24)/(1-((1+$T$11)/(1+$T$8)))))+($AT24*$I24),"")</f>
        <v>16.486134392744322</v>
      </c>
      <c r="AO24" s="1501">
        <f>IFERROR((SUM($C24)/$G24)+X24+Y24,"")</f>
        <v>53.358842974396929</v>
      </c>
      <c r="AP24" s="1499">
        <f>IFERROR(IF(AN24="","",AN24-AO24),"")</f>
        <v>-36.872708581652603</v>
      </c>
      <c r="AQ24" s="1502">
        <f>IFERROR(AN24/AO24,"")</f>
        <v>0.30896723905079487</v>
      </c>
      <c r="AR24" s="1488"/>
      <c r="AS24" s="1503">
        <f>IFERROR(VLOOKUP(ROUND($J24,0),'Seminole Avoided Cost'!$B$15:$Y$41,8,FALSE),"")</f>
        <v>0.055449999999999999</v>
      </c>
      <c r="AT24" s="1504">
        <f>IFERROR(VLOOKUP(ROUND($J24,0),'Seminole Avoided Cost'!$B$15:$Y$41,24,FALSE),"")</f>
        <v>147.83999999999998</v>
      </c>
      <c r="AU24" s="1505">
        <f>IFERROR(SUM(C24)/G24,"")</f>
        <v>0</v>
      </c>
    </row>
    <row r="25" spans="1:47" s="1475" customFormat="1" ht="31.2">
      <c r="A25" s="1468" t="s">
        <v>664</v>
      </c>
      <c r="B25" s="1473" t="s">
        <v>663</v>
      </c>
      <c r="C25" s="1467">
        <v>0</v>
      </c>
      <c r="D25" s="1467">
        <v>0</v>
      </c>
      <c r="E25" s="1467">
        <f>SUM(C25:D25)</f>
        <v>0</v>
      </c>
      <c r="F25" s="1474"/>
      <c r="G25" s="1522">
        <v>200</v>
      </c>
      <c r="H25" s="324"/>
      <c r="I25" s="325"/>
      <c r="J25" s="324"/>
      <c r="K25" s="1355">
        <f>(G25*H25)/1000</f>
        <v>0</v>
      </c>
      <c r="L25" s="1355">
        <f>J25*K25</f>
        <v>0</v>
      </c>
      <c r="M25" s="1355">
        <f>G25*I25</f>
        <v>0</v>
      </c>
      <c r="N25" s="1542"/>
      <c r="O25" s="1475" t="s">
        <v>662</v>
      </c>
      <c r="P25" s="1491">
        <f>K25/$K$26</f>
        <v>0</v>
      </c>
      <c r="Q25" s="1491"/>
      <c r="S25" s="1492">
        <f>IFERROR(IF(G25/$G$26=0,0,G25/$G$26),"")</f>
        <v>0.079681274900398405</v>
      </c>
      <c r="T25" s="1493" t="s">
        <v>836</v>
      </c>
      <c r="U25" s="1493" t="s">
        <v>835</v>
      </c>
      <c r="V25" s="1494">
        <v>0.90</v>
      </c>
      <c r="W25" s="1495" t="str">
        <f>IF($H25*$T$12=0,"",$H25*$T$12)</f>
        <v/>
      </c>
      <c r="X25" s="1495" t="str">
        <f>IFERROR($W25*((1+$T$9)/(1+$T$8)*(1-((1+$T$9)/(1+$T$8))^$J25)/(1-((1+$T$9)/(1+$T$8)))),"")</f>
        <v/>
      </c>
      <c r="Y25" s="1496">
        <f>IFERROR(D25/G25,"")</f>
        <v>0</v>
      </c>
      <c r="Z25" s="1497">
        <v>5</v>
      </c>
      <c r="AA25" s="1498"/>
      <c r="AB25" s="1497">
        <f>IFERROR(($AS25*$H25*$V25*((1+$T$11)/(1+$T$8)*(1-((1+$T$11)/(1+$T$8))^$J25)/(1-((1+$T$11)/(1+$T$8)))))+($AT$22*$I25),"")</f>
        <v>0</v>
      </c>
      <c r="AC25" s="1497">
        <f>IFERROR((SUM($C25)/$G25)+($Z25*$V25),"")</f>
        <v>4.50</v>
      </c>
      <c r="AD25" s="1499">
        <f>IFERROR(IF(AB25="","",AB25-AC25),"")</f>
        <v>-4.50</v>
      </c>
      <c r="AE25" s="1500">
        <f>IFERROR(AB25/AC25,"")</f>
        <v>0</v>
      </c>
      <c r="AF25" s="1497">
        <f>IFERROR(($AS25*$H25*$V25*((1+$T$11)/(1+$T$8)*(1-((1+$T$11)/(1+$T$8))^$J25)/(1-((1+$T$11)/(1+$T$8)))))+($AT25*$I25),"")</f>
        <v>0</v>
      </c>
      <c r="AG25" s="1499">
        <f>IFERROR(-PV($T$8,1,($E25/$G25)),"")</f>
        <v>0</v>
      </c>
      <c r="AH25" s="1499">
        <f>IFERROR(IF(AF25="","",AF25-AG25),"")</f>
        <v>0</v>
      </c>
      <c r="AI25" s="1500" t="str">
        <f>IFERROR(AF25/AG25,"")</f>
        <v/>
      </c>
      <c r="AJ25" s="1499" t="str">
        <f>IFERROR(-PV($T$8,$J25,$W25)+($Y25),"")</f>
        <v/>
      </c>
      <c r="AK25" s="1499">
        <f>IF(Z25="","",Z25)</f>
        <v>5</v>
      </c>
      <c r="AL25" s="1499" t="str">
        <f>IFERROR(IF(AJ25="","",AJ25-AK25),"")</f>
        <v/>
      </c>
      <c r="AM25" s="1500" t="str">
        <f>IFERROR(AJ25/AK25,"")</f>
        <v/>
      </c>
      <c r="AN25" s="1499">
        <f>IFERROR(($AS25*$H25*$V25*((1+$T$11)/(1+$T$8)*(1-((1+$T$11)/(1+$T$8))^$J25)/(1-((1+$T$11)/(1+$T$8)))))+($AT25*$I25),"")</f>
        <v>0</v>
      </c>
      <c r="AO25" s="1501" t="str">
        <f>IFERROR((SUM($C25)/$G25)+X25+Y25,"")</f>
        <v/>
      </c>
      <c r="AP25" s="1499" t="str">
        <f>IFERROR(IF(AN25="","",AN25-AO25),"")</f>
        <v/>
      </c>
      <c r="AQ25" s="1502" t="str">
        <f>IFERROR(AN25/AO25,"")</f>
        <v/>
      </c>
      <c r="AR25" s="1488"/>
      <c r="AS25" s="1503">
        <f>IFERROR(VLOOKUP(ROUND($J25,0),'Seminole Avoided Cost'!$B$15:$Y$41,8,FALSE),"")</f>
        <v>0.0292</v>
      </c>
      <c r="AT25" s="1504">
        <f>IFERROR(VLOOKUP(ROUND($J25,0),'Seminole Avoided Cost'!$B$15:$Y$41,24,FALSE),"")</f>
        <v>76.44</v>
      </c>
      <c r="AU25" s="1505">
        <f>IFERROR(SUM(C25)/G25,"")</f>
        <v>0</v>
      </c>
    </row>
    <row r="26" spans="1:47" s="1470" customFormat="1" ht="22.5" customHeight="1" thickBot="1">
      <c r="A26" s="1442" t="s">
        <v>103</v>
      </c>
      <c r="B26" s="1441"/>
      <c r="C26" s="1446">
        <f>SUM(C22:C25)</f>
        <v>0</v>
      </c>
      <c r="D26" s="1446">
        <f>SUM(D22:D25)</f>
        <v>4817</v>
      </c>
      <c r="E26" s="1446">
        <f>SUM(E22:E25)</f>
        <v>4817</v>
      </c>
      <c r="F26" s="1438" t="s">
        <v>76</v>
      </c>
      <c r="G26" s="1455">
        <f>SUM(G22:G25)</f>
        <v>2510</v>
      </c>
      <c r="H26" s="1455">
        <f t="shared" si="0" ref="H26:I26">SUM(H22:H25)</f>
        <v>880.86676940214022</v>
      </c>
      <c r="I26" s="1454">
        <f t="shared" si="0"/>
        <v>0.036830082959306738</v>
      </c>
      <c r="J26" s="1447">
        <f>SUMPRODUCT(J22:J25,P22:P25)</f>
        <v>1.6196043195559888</v>
      </c>
      <c r="K26" s="1452">
        <f>SUM(K22:K25)</f>
        <v>548.99403492822557</v>
      </c>
      <c r="L26" s="1452">
        <f>SUM(L22:L25)</f>
        <v>889.15311038022548</v>
      </c>
      <c r="M26" s="1452">
        <f>SUM(M22:M25)</f>
        <v>23.783922472881386</v>
      </c>
      <c r="N26" s="1526"/>
      <c r="P26" s="1508">
        <f>SUM(P22:P25)</f>
        <v>1</v>
      </c>
      <c r="Q26" s="1508"/>
      <c r="S26" s="1509">
        <f>SUM(S22:S25)</f>
        <v>1</v>
      </c>
      <c r="T26" s="1510"/>
      <c r="U26" s="1510"/>
      <c r="V26" s="1510"/>
      <c r="W26" s="1511"/>
      <c r="X26" s="1511"/>
      <c r="Y26" s="1511"/>
      <c r="Z26" s="1512"/>
      <c r="AA26" s="1513"/>
      <c r="AB26" s="1512">
        <f>SUMPRODUCT(AB$22:AB$25,$S$22:$S$25)</f>
        <v>9.7123913393912744</v>
      </c>
      <c r="AC26" s="1512">
        <f>SUMPRODUCT(AC$22:AC$25,$S$22:$S$25)</f>
        <v>4.50</v>
      </c>
      <c r="AD26" s="1512">
        <f>SUMPRODUCT(AD$22:AD$25,$S$22:$S$25)</f>
        <v>5.2123913393912735</v>
      </c>
      <c r="AE26" s="1514">
        <f>IFERROR(AB26/AC26,"")</f>
        <v>2.1583091865313944</v>
      </c>
      <c r="AF26" s="1512">
        <f>SUMPRODUCT(AF$22:AF$25,$S$22:$S$25)</f>
        <v>9.7735461104393764</v>
      </c>
      <c r="AG26" s="1512">
        <f>SUMPRODUCT(AG$22:AG$25,$S$22:$S$25)</f>
        <v>1.8104938735623559</v>
      </c>
      <c r="AH26" s="1512">
        <f>SUMPRODUCT(AH$22:AH$25,$S$22:$S$25)</f>
        <v>7.9630522368770205</v>
      </c>
      <c r="AI26" s="1514">
        <f>IFERROR(AF26/AG26,"")</f>
        <v>5.3982762676842393</v>
      </c>
      <c r="AJ26" s="1512">
        <f>SUMPRODUCT(AJ$22:AJ$25,$S$22:$S$25)</f>
        <v>43.444645751398156</v>
      </c>
      <c r="AK26" s="1512">
        <f>SUMPRODUCT(AK$22:AK$25,$S$22:$S$25)</f>
        <v>4.9999999999999991</v>
      </c>
      <c r="AL26" s="1512">
        <f>SUMPRODUCT(AL$22:AL$25,$S$22:$S$25)</f>
        <v>38.843052125900151</v>
      </c>
      <c r="AM26" s="1514">
        <f>IFERROR(AJ26/AK26,"")</f>
        <v>8.6889291502796322</v>
      </c>
      <c r="AN26" s="1512">
        <f>SUMPRODUCT(AN$22:AN$25,$S$22:$S$25)</f>
        <v>9.7735461104393764</v>
      </c>
      <c r="AO26" s="1512">
        <f>SUMPRODUCT(AO$22:AO$25,$S$22:$S$25)</f>
        <v>43.444645751398113</v>
      </c>
      <c r="AP26" s="1512">
        <f>SUMPRODUCT(AP$22:AP$25,$S$22:$S$25)</f>
        <v>-33.671099640958744</v>
      </c>
      <c r="AQ26" s="1514">
        <f>IFERROR(AN26/AO26,"")</f>
        <v>0.22496549209691391</v>
      </c>
      <c r="AR26" s="1488"/>
      <c r="AS26" s="1515">
        <f>IFERROR(VLOOKUP(ROUND($J26,0),'Seminole Avoided Cost'!$B$15:$Y$41,8,FALSE),"")</f>
        <v>0.0304</v>
      </c>
      <c r="AT26" s="1516">
        <f>IFERROR(VLOOKUP(ROUND($J26,0),'Seminole Avoided Cost'!$B$15:$Y$41,24,FALSE),"")</f>
        <v>82.799999999999983</v>
      </c>
      <c r="AU26" s="1517">
        <f>IFERROR(SUM(C26)/G26,"")</f>
        <v>0</v>
      </c>
    </row>
    <row r="27" spans="1:17" ht="17.25" customHeight="1" thickBot="1">
      <c r="A27" s="380"/>
      <c r="B27" s="379"/>
      <c r="C27" s="378"/>
      <c r="D27" s="378"/>
      <c r="E27" s="378"/>
      <c r="F27" s="378"/>
      <c r="G27" s="378"/>
      <c r="H27" s="378"/>
      <c r="I27" s="378"/>
      <c r="J27" s="378"/>
      <c r="K27" s="378"/>
      <c r="L27" s="378"/>
      <c r="M27" s="378"/>
      <c r="N27" s="1541"/>
    </row>
    <row r="28" spans="1:17" ht="63" thickBot="1">
      <c r="A28" s="130" t="s">
        <v>99</v>
      </c>
      <c r="B28" s="128" t="s">
        <v>89</v>
      </c>
      <c r="C28" s="107" t="s">
        <v>88</v>
      </c>
      <c r="D28" s="106" t="s">
        <v>87</v>
      </c>
      <c r="E28" s="105" t="s">
        <v>86</v>
      </c>
      <c r="F28" s="185" t="s">
        <v>85</v>
      </c>
      <c r="G28" s="185" t="s">
        <v>98</v>
      </c>
      <c r="H28" s="185" t="s">
        <v>97</v>
      </c>
      <c r="I28" s="185" t="s">
        <v>82</v>
      </c>
      <c r="J28" s="185" t="s">
        <v>96</v>
      </c>
      <c r="K28" s="152" t="s">
        <v>80</v>
      </c>
      <c r="L28" s="152" t="s">
        <v>79</v>
      </c>
      <c r="M28" s="152" t="s">
        <v>95</v>
      </c>
      <c r="N28" s="125" t="s">
        <v>78</v>
      </c>
    </row>
    <row r="29" spans="1:46" ht="16.8" thickTop="1" thickBot="1">
      <c r="A29" s="102" t="s">
        <v>661</v>
      </c>
      <c r="B29" s="323"/>
      <c r="C29" s="100">
        <v>0</v>
      </c>
      <c r="D29" s="169">
        <v>0</v>
      </c>
      <c r="E29" s="320">
        <f>SUM(C29:C29)</f>
        <v>0</v>
      </c>
      <c r="F29" s="167"/>
      <c r="G29" s="166">
        <v>2</v>
      </c>
      <c r="H29" s="318"/>
      <c r="I29" s="318"/>
      <c r="J29" s="318"/>
      <c r="K29" s="318"/>
      <c r="L29" s="318"/>
      <c r="M29" s="318"/>
      <c r="N29" s="667"/>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395"/>
      <c r="AT29" s="395"/>
    </row>
    <row r="30" spans="1:46" s="24" customFormat="1" ht="22.5" customHeight="1" thickTop="1" thickBot="1">
      <c r="A30" s="321" t="s">
        <v>102</v>
      </c>
      <c r="B30" s="97"/>
      <c r="C30" s="96">
        <f>SUM(C29)</f>
        <v>0</v>
      </c>
      <c r="D30" s="96">
        <f>SUM(D29)</f>
        <v>0</v>
      </c>
      <c r="E30" s="96">
        <f>SUM(E29)</f>
        <v>0</v>
      </c>
      <c r="F30" s="95" t="s">
        <v>76</v>
      </c>
      <c r="G30" s="315">
        <f>SUM(G29)</f>
        <v>2</v>
      </c>
      <c r="H30" s="113"/>
      <c r="I30" s="113"/>
      <c r="J30" s="113"/>
      <c r="K30" s="112">
        <f>SUM(K29)</f>
        <v>0</v>
      </c>
      <c r="L30" s="112">
        <f>SUM(L29)</f>
        <v>0</v>
      </c>
      <c r="M30" s="112">
        <f>SUM(M29)</f>
        <v>0</v>
      </c>
      <c r="N30" s="669"/>
      <c r="Q30" s="24"/>
      <c r="AS30" s="395"/>
      <c r="AT30" s="395"/>
    </row>
    <row r="31" spans="1:46" s="24" customFormat="1" ht="22.5" customHeight="1">
      <c r="A31" s="133"/>
      <c r="B31" s="133"/>
      <c r="C31" s="133"/>
      <c r="D31" s="133"/>
      <c r="E31" s="133"/>
      <c r="F31" s="133"/>
      <c r="G31" s="133"/>
      <c r="H31" s="133"/>
      <c r="I31" s="133"/>
      <c r="J31" s="133"/>
      <c r="K31" s="133"/>
      <c r="L31" s="133"/>
      <c r="M31" s="133"/>
      <c r="N31" s="670"/>
      <c r="Q31" s="24"/>
      <c r="S31"/>
      <c r="T31"/>
      <c r="U31"/>
      <c r="V31"/>
      <c r="W31"/>
      <c r="X31"/>
      <c r="Y31"/>
      <c r="Z31"/>
      <c r="AA31"/>
      <c r="AB31"/>
      <c r="AC31"/>
      <c r="AD31"/>
      <c r="AE31"/>
      <c r="AF31"/>
      <c r="AG31"/>
      <c r="AH31"/>
      <c r="AI31"/>
      <c r="AJ31"/>
      <c r="AK31"/>
      <c r="AL31"/>
      <c r="AM31"/>
      <c r="AN31"/>
      <c r="AO31"/>
      <c r="AP31"/>
      <c r="AQ31"/>
      <c r="AR31"/>
      <c r="AS31" s="241"/>
      <c r="AT31" s="241"/>
    </row>
    <row r="32" spans="1:17" ht="37.5" customHeight="1">
      <c r="A32" s="1699" t="s">
        <v>101</v>
      </c>
      <c r="B32" s="1699"/>
      <c r="C32" s="1699"/>
      <c r="D32" s="1699"/>
      <c r="E32" s="1699"/>
      <c r="F32" s="1699"/>
      <c r="G32" s="1699"/>
      <c r="H32" s="1699"/>
      <c r="I32" s="1699"/>
      <c r="J32" s="1699"/>
      <c r="K32" s="1699"/>
      <c r="L32" s="1699"/>
      <c r="M32" s="1699"/>
      <c r="N32" s="1699"/>
    </row>
    <row r="33" spans="1:17" ht="62.4">
      <c r="A33" s="1346" t="s">
        <v>90</v>
      </c>
      <c r="B33" s="1346" t="s">
        <v>89</v>
      </c>
      <c r="C33" s="434" t="s">
        <v>88</v>
      </c>
      <c r="D33" s="1346" t="s">
        <v>87</v>
      </c>
      <c r="E33" s="434" t="s">
        <v>86</v>
      </c>
      <c r="F33" s="104" t="s">
        <v>85</v>
      </c>
      <c r="G33" s="104" t="s">
        <v>84</v>
      </c>
      <c r="H33" s="104" t="s">
        <v>97</v>
      </c>
      <c r="I33" s="104" t="s">
        <v>82</v>
      </c>
      <c r="J33" s="104" t="s">
        <v>96</v>
      </c>
      <c r="K33" s="104" t="s">
        <v>80</v>
      </c>
      <c r="L33" s="104" t="s">
        <v>79</v>
      </c>
      <c r="M33" s="104" t="s">
        <v>95</v>
      </c>
      <c r="N33" s="104" t="s">
        <v>78</v>
      </c>
    </row>
    <row r="34" spans="1:17" ht="15.6">
      <c r="A34" s="1472"/>
      <c r="B34" s="318"/>
      <c r="C34" s="1348">
        <v>0</v>
      </c>
      <c r="D34" s="1348">
        <v>0</v>
      </c>
      <c r="E34" s="1348">
        <f>SUM(C34:C34)</f>
        <v>0</v>
      </c>
      <c r="F34" s="318"/>
      <c r="G34" s="1469">
        <v>0</v>
      </c>
      <c r="H34" s="319"/>
      <c r="I34" s="318"/>
      <c r="J34" s="317"/>
      <c r="K34" s="164"/>
      <c r="L34" s="164"/>
      <c r="M34" s="164"/>
      <c r="N34" s="1507"/>
    </row>
    <row r="35" spans="1:46" ht="22.5" customHeight="1">
      <c r="A35" s="1351" t="s">
        <v>100</v>
      </c>
      <c r="B35" s="1351"/>
      <c r="C35" s="1446">
        <f>SUM(C34)</f>
        <v>0</v>
      </c>
      <c r="D35" s="1446">
        <f>SUM(D34)</f>
        <v>0</v>
      </c>
      <c r="E35" s="1446">
        <f>SUM(E34)</f>
        <v>0</v>
      </c>
      <c r="F35" s="1476" t="s">
        <v>76</v>
      </c>
      <c r="G35" s="1523">
        <f>SUM(G34)</f>
        <v>0</v>
      </c>
      <c r="H35" s="1477"/>
      <c r="I35" s="1477"/>
      <c r="J35" s="1477"/>
      <c r="K35" s="1544">
        <f>SUM(K34)</f>
        <v>0</v>
      </c>
      <c r="L35" s="1544">
        <f>SUM(L34)</f>
        <v>0</v>
      </c>
      <c r="M35" s="1544">
        <f>SUM(M34)</f>
        <v>0</v>
      </c>
      <c r="N35" s="15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395"/>
      <c r="AT35" s="395"/>
    </row>
    <row r="36" spans="1:46" s="24" customFormat="1" ht="22.5" customHeight="1" hidden="1">
      <c r="A36" s="1481"/>
      <c r="B36" s="1481"/>
      <c r="C36" s="1482"/>
      <c r="D36" s="1482"/>
      <c r="E36" s="1482"/>
      <c r="F36" s="1483"/>
      <c r="G36" s="1481"/>
      <c r="H36" s="1481"/>
      <c r="I36" s="1481"/>
      <c r="J36" s="1481"/>
      <c r="K36" s="1484"/>
      <c r="L36" s="1484"/>
      <c r="M36" s="1484"/>
      <c r="N36" s="1545"/>
      <c r="Q36" s="24"/>
      <c r="S36"/>
      <c r="T36"/>
      <c r="U36"/>
      <c r="V36"/>
      <c r="W36"/>
      <c r="X36"/>
      <c r="Y36"/>
      <c r="Z36"/>
      <c r="AA36"/>
      <c r="AB36"/>
      <c r="AC36"/>
      <c r="AD36"/>
      <c r="AE36"/>
      <c r="AF36"/>
      <c r="AG36"/>
      <c r="AH36"/>
      <c r="AI36"/>
      <c r="AJ36"/>
      <c r="AK36"/>
      <c r="AL36"/>
      <c r="AM36"/>
      <c r="AN36"/>
      <c r="AO36"/>
      <c r="AP36"/>
      <c r="AQ36"/>
      <c r="AR36"/>
      <c r="AS36" s="241"/>
      <c r="AT36" s="241"/>
    </row>
    <row r="37" spans="1:17" ht="62.4">
      <c r="A37" s="434" t="s">
        <v>99</v>
      </c>
      <c r="B37" s="1346" t="s">
        <v>89</v>
      </c>
      <c r="C37" s="434" t="s">
        <v>88</v>
      </c>
      <c r="D37" s="1346" t="s">
        <v>87</v>
      </c>
      <c r="E37" s="434" t="s">
        <v>86</v>
      </c>
      <c r="F37" s="434" t="s">
        <v>85</v>
      </c>
      <c r="G37" s="434" t="s">
        <v>98</v>
      </c>
      <c r="H37" s="434" t="s">
        <v>97</v>
      </c>
      <c r="I37" s="434" t="s">
        <v>82</v>
      </c>
      <c r="J37" s="434" t="s">
        <v>96</v>
      </c>
      <c r="K37" s="434" t="s">
        <v>80</v>
      </c>
      <c r="L37" s="434" t="s">
        <v>79</v>
      </c>
      <c r="M37" s="434" t="s">
        <v>95</v>
      </c>
      <c r="N37" s="434" t="s">
        <v>78</v>
      </c>
    </row>
    <row r="38" spans="1:46" ht="15.6">
      <c r="A38" s="1472" t="s">
        <v>660</v>
      </c>
      <c r="B38" s="318"/>
      <c r="C38" s="1348">
        <v>0</v>
      </c>
      <c r="D38" s="1348">
        <v>0</v>
      </c>
      <c r="E38" s="1348">
        <f>SUM(C38:C38)</f>
        <v>0</v>
      </c>
      <c r="F38" s="318"/>
      <c r="G38" s="1469">
        <v>2</v>
      </c>
      <c r="H38" s="318"/>
      <c r="I38" s="318"/>
      <c r="J38" s="318"/>
      <c r="K38" s="318"/>
      <c r="L38" s="318"/>
      <c r="M38" s="318"/>
      <c r="N38" s="1507"/>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395"/>
      <c r="AT38" s="395"/>
    </row>
    <row r="39" spans="1:17" ht="15.6">
      <c r="A39" s="1472" t="s">
        <v>659</v>
      </c>
      <c r="B39" s="318"/>
      <c r="C39" s="1348">
        <v>0</v>
      </c>
      <c r="D39" s="1348">
        <v>0</v>
      </c>
      <c r="E39" s="1348">
        <f>SUM(C39:C39)</f>
        <v>0</v>
      </c>
      <c r="F39" s="318"/>
      <c r="G39" s="1469">
        <v>265</v>
      </c>
      <c r="H39" s="318"/>
      <c r="I39" s="318"/>
      <c r="J39" s="318"/>
      <c r="K39" s="318"/>
      <c r="L39" s="318"/>
      <c r="M39" s="318"/>
      <c r="N39" s="1507"/>
    </row>
    <row r="40" spans="1:46" s="24" customFormat="1" ht="22.5" customHeight="1">
      <c r="A40" s="1442" t="s">
        <v>93</v>
      </c>
      <c r="B40" s="1441"/>
      <c r="C40" s="1446">
        <f>SUM(C38:C39)</f>
        <v>0</v>
      </c>
      <c r="D40" s="1446">
        <f>SUM(D38:D39)</f>
        <v>0</v>
      </c>
      <c r="E40" s="1446">
        <f>SUM(E38:E39)</f>
        <v>0</v>
      </c>
      <c r="F40" s="1438" t="s">
        <v>76</v>
      </c>
      <c r="G40" s="1455">
        <f>SUM(G38:G39)</f>
        <v>267</v>
      </c>
      <c r="H40" s="1530"/>
      <c r="I40" s="1530"/>
      <c r="J40" s="1530"/>
      <c r="K40" s="1546">
        <f>SUM(K39)</f>
        <v>0</v>
      </c>
      <c r="L40" s="1546">
        <f>SUM(L39)</f>
        <v>0</v>
      </c>
      <c r="M40" s="1546">
        <f>SUM(M39)</f>
        <v>0</v>
      </c>
      <c r="N40" s="1526"/>
      <c r="Q40" s="24"/>
      <c r="S40"/>
      <c r="T40"/>
      <c r="U40"/>
      <c r="V40"/>
      <c r="W40"/>
      <c r="X40"/>
      <c r="Y40"/>
      <c r="Z40"/>
      <c r="AA40"/>
      <c r="AB40"/>
      <c r="AC40"/>
      <c r="AD40"/>
      <c r="AE40"/>
      <c r="AF40"/>
      <c r="AG40"/>
      <c r="AH40"/>
      <c r="AI40"/>
      <c r="AJ40"/>
      <c r="AK40"/>
      <c r="AL40"/>
      <c r="AM40"/>
      <c r="AN40"/>
      <c r="AO40"/>
      <c r="AP40"/>
      <c r="AQ40"/>
      <c r="AR40"/>
      <c r="AS40" s="241"/>
      <c r="AT40" s="241"/>
    </row>
    <row r="41" spans="1:17" ht="15.75" customHeight="1" thickBot="1">
      <c r="A41" s="1465"/>
      <c r="B41" s="1466"/>
      <c r="C41" s="1466"/>
      <c r="D41" s="1466"/>
      <c r="E41" s="1466"/>
      <c r="F41" s="1466"/>
      <c r="G41" s="1466"/>
      <c r="H41" s="1466"/>
      <c r="I41" s="1466"/>
      <c r="J41" s="1466"/>
      <c r="K41" s="1466"/>
      <c r="L41" s="1466"/>
      <c r="M41" s="79"/>
    </row>
    <row r="42" spans="1:17" ht="37.5" customHeight="1" thickBot="1">
      <c r="A42" s="1696" t="s">
        <v>91</v>
      </c>
      <c r="B42" s="1697"/>
      <c r="C42" s="1697"/>
      <c r="D42" s="1697"/>
      <c r="E42" s="1697"/>
      <c r="F42" s="1697"/>
      <c r="G42" s="1697"/>
      <c r="H42" s="1697"/>
      <c r="I42" s="1697"/>
      <c r="J42" s="1697"/>
      <c r="K42" s="1697"/>
      <c r="L42" s="1697"/>
      <c r="M42" s="1697"/>
      <c r="N42" s="1698"/>
    </row>
    <row r="43" spans="1:17" ht="63" thickBot="1">
      <c r="A43" s="91" t="s">
        <v>90</v>
      </c>
      <c r="B43" s="108" t="s">
        <v>89</v>
      </c>
      <c r="C43" s="107" t="s">
        <v>88</v>
      </c>
      <c r="D43" s="106" t="s">
        <v>87</v>
      </c>
      <c r="E43" s="105" t="s">
        <v>86</v>
      </c>
      <c r="F43" s="104" t="s">
        <v>85</v>
      </c>
      <c r="G43" s="103" t="s">
        <v>84</v>
      </c>
      <c r="H43" s="103" t="s">
        <v>97</v>
      </c>
      <c r="I43" s="103" t="s">
        <v>82</v>
      </c>
      <c r="J43" s="103" t="s">
        <v>96</v>
      </c>
      <c r="K43" s="90" t="s">
        <v>80</v>
      </c>
      <c r="L43" s="90" t="s">
        <v>79</v>
      </c>
      <c r="M43" s="90" t="s">
        <v>95</v>
      </c>
      <c r="N43" s="125" t="s">
        <v>78</v>
      </c>
    </row>
    <row r="44" spans="1:46" s="613" customFormat="1" ht="145.2" thickTop="1" thickBot="1">
      <c r="A44" s="816" t="s">
        <v>1449</v>
      </c>
      <c r="B44" s="817" t="s">
        <v>1728</v>
      </c>
      <c r="C44" s="757">
        <v>0</v>
      </c>
      <c r="D44" s="758">
        <v>0</v>
      </c>
      <c r="E44" s="759">
        <f>SUM(C44:C44)</f>
        <v>0</v>
      </c>
      <c r="F44" s="818" t="s">
        <v>1450</v>
      </c>
      <c r="G44" s="858">
        <f>'System Savings Questionnaire'!$C$82</f>
        <v>472320296</v>
      </c>
      <c r="H44" s="819">
        <f>G44*3*0.8%*(6/16)*(130/8760)</f>
        <v>63083.875150684929</v>
      </c>
      <c r="I44" s="830">
        <f>'System Savings Questionnaire'!$F$97*3*0.8%*(6/16)</f>
        <v>1221.2370000000001</v>
      </c>
      <c r="J44" s="819">
        <v>1</v>
      </c>
      <c r="K44" s="764">
        <f>(H44)/1000</f>
        <v>63.083875150684932</v>
      </c>
      <c r="L44" s="764">
        <f>J44*K44</f>
        <v>63.083875150684932</v>
      </c>
      <c r="M44" s="764">
        <f>I44</f>
        <v>1221.2370000000001</v>
      </c>
      <c r="N44" s="765" t="s">
        <v>1735</v>
      </c>
      <c r="Q44" s="613"/>
      <c r="AS44" s="671"/>
      <c r="AT44" s="671"/>
    </row>
    <row r="45" spans="1:17" ht="22.5" customHeight="1" thickTop="1" thickBot="1">
      <c r="A45" s="98" t="s">
        <v>77</v>
      </c>
      <c r="B45" s="97"/>
      <c r="C45" s="96">
        <f>SUM(C44)</f>
        <v>0</v>
      </c>
      <c r="D45" s="96">
        <f>SUM(D44)</f>
        <v>0</v>
      </c>
      <c r="E45" s="96">
        <f>SUM(E44)</f>
        <v>0</v>
      </c>
      <c r="F45" s="95" t="s">
        <v>76</v>
      </c>
      <c r="G45" s="315">
        <f>SUM(G44)</f>
        <v>472320296</v>
      </c>
      <c r="H45" s="94"/>
      <c r="I45" s="94"/>
      <c r="J45" s="94"/>
      <c r="K45" s="112">
        <f>SUM(K44)</f>
        <v>63.083875150684932</v>
      </c>
      <c r="L45" s="112">
        <f>SUM(L44)</f>
        <v>63.083875150684932</v>
      </c>
      <c r="M45" s="112">
        <f>SUM(M44)</f>
        <v>1221.2370000000001</v>
      </c>
      <c r="N45" s="669"/>
    </row>
    <row r="46" spans="1:17" ht="15.75" customHeight="1" thickBot="1">
      <c r="A46" s="93"/>
      <c r="B46" s="92"/>
      <c r="C46" s="92"/>
      <c r="D46" s="92"/>
      <c r="E46" s="92"/>
      <c r="F46" s="92"/>
      <c r="G46" s="92"/>
      <c r="H46" s="92"/>
      <c r="I46" s="92"/>
      <c r="J46" s="92"/>
      <c r="K46" s="92"/>
      <c r="L46" s="92"/>
    </row>
    <row r="47" spans="1:17" ht="21.6" thickBot="1">
      <c r="A47" s="1679" t="s">
        <v>75</v>
      </c>
      <c r="B47" s="1680"/>
      <c r="C47" s="1681"/>
      <c r="I47" s="508"/>
    </row>
    <row r="48" spans="1:17" ht="15.6">
      <c r="A48" s="91" t="s">
        <v>74</v>
      </c>
      <c r="B48" s="90" t="s">
        <v>73</v>
      </c>
      <c r="C48" s="89" t="s">
        <v>72</v>
      </c>
    </row>
    <row r="49" spans="1:17" ht="14.4">
      <c r="A49" s="88" t="s">
        <v>61</v>
      </c>
      <c r="B49" s="314">
        <v>29818</v>
      </c>
      <c r="C49" s="86">
        <v>0</v>
      </c>
    </row>
    <row r="50" spans="1:17" ht="14.4">
      <c r="A50" s="88" t="s">
        <v>60</v>
      </c>
      <c r="B50" s="314">
        <v>2706</v>
      </c>
      <c r="C50" s="86">
        <v>0</v>
      </c>
    </row>
    <row r="51" spans="1:17" ht="14.4">
      <c r="A51" s="88" t="s">
        <v>59</v>
      </c>
      <c r="B51" s="314">
        <v>399</v>
      </c>
      <c r="C51" s="86">
        <v>0</v>
      </c>
    </row>
    <row r="52" spans="1:17" ht="16.2" thickBot="1">
      <c r="A52" s="85" t="str">
        <f>"Total for "&amp;A47</f>
        <v>Total for Advanced Metering</v>
      </c>
      <c r="B52" s="84">
        <f>SUM(B49:B51)</f>
        <v>32923</v>
      </c>
      <c r="C52" s="83">
        <f>SUM(C49:C51)</f>
        <v>0</v>
      </c>
    </row>
  </sheetData>
  <mergeCells count="30">
    <mergeCell ref="S6:U6"/>
    <mergeCell ref="S19:AA19"/>
    <mergeCell ref="AB19:AQ19"/>
    <mergeCell ref="F16:H16"/>
    <mergeCell ref="F20:L20"/>
    <mergeCell ref="A19:N19"/>
    <mergeCell ref="AJ20:AM20"/>
    <mergeCell ref="A1:N2"/>
    <mergeCell ref="AS20:AT20"/>
    <mergeCell ref="F11:H11"/>
    <mergeCell ref="F12:H12"/>
    <mergeCell ref="F13:H13"/>
    <mergeCell ref="F14:H14"/>
    <mergeCell ref="F15:H15"/>
    <mergeCell ref="F10:H10"/>
    <mergeCell ref="A4:N4"/>
    <mergeCell ref="F6:H6"/>
    <mergeCell ref="F7:H7"/>
    <mergeCell ref="F8:H8"/>
    <mergeCell ref="F9:H9"/>
    <mergeCell ref="AN20:AQ20"/>
    <mergeCell ref="AJ18:AM18"/>
    <mergeCell ref="AF20:AI20"/>
    <mergeCell ref="A32:N32"/>
    <mergeCell ref="A42:N42"/>
    <mergeCell ref="C20:E20"/>
    <mergeCell ref="A47:C47"/>
    <mergeCell ref="AB18:AE18"/>
    <mergeCell ref="S20:AA20"/>
    <mergeCell ref="AB20:AE20"/>
  </mergeCells>
  <conditionalFormatting sqref="C22:D22 C23">
    <cfRule type="expression" priority="80" dxfId="9">
      <formula>ISBLANK(C22)</formula>
    </cfRule>
    <cfRule type="expression" priority="81">
      <formula>NOT(ISBLANK(C22))</formula>
    </cfRule>
  </conditionalFormatting>
  <conditionalFormatting sqref="G29">
    <cfRule type="expression" priority="66" dxfId="9">
      <formula>ISBLANK(G29)</formula>
    </cfRule>
    <cfRule type="expression" priority="67">
      <formula>NOT(ISBLANK(G29))</formula>
    </cfRule>
  </conditionalFormatting>
  <conditionalFormatting sqref="C24">
    <cfRule type="expression" priority="72" dxfId="9">
      <formula>ISBLANK(C24)</formula>
    </cfRule>
    <cfRule type="expression" priority="73">
      <formula>NOT(ISBLANK(C24))</formula>
    </cfRule>
  </conditionalFormatting>
  <conditionalFormatting sqref="G22:G24">
    <cfRule type="expression" priority="68" dxfId="9">
      <formula>ISBLANK(G22)</formula>
    </cfRule>
    <cfRule type="expression" priority="69">
      <formula>NOT(ISBLANK(G22))</formula>
    </cfRule>
  </conditionalFormatting>
  <conditionalFormatting sqref="C22:C23">
    <cfRule type="expression" priority="78" dxfId="8">
      <formula>ISBLANK(C22)</formula>
    </cfRule>
    <cfRule type="expression" priority="79">
      <formula>NOT(ISBLANK(C22))</formula>
    </cfRule>
  </conditionalFormatting>
  <conditionalFormatting sqref="C39:D39">
    <cfRule type="expression" priority="46" dxfId="9">
      <formula>ISBLANK(C39)</formula>
    </cfRule>
    <cfRule type="expression" priority="47">
      <formula>NOT(ISBLANK(C39))</formula>
    </cfRule>
  </conditionalFormatting>
  <conditionalFormatting sqref="D24">
    <cfRule type="expression" priority="76" dxfId="9">
      <formula>ISBLANK(D24)</formula>
    </cfRule>
    <cfRule type="expression" priority="77">
      <formula>NOT(ISBLANK(D24))</formula>
    </cfRule>
  </conditionalFormatting>
  <conditionalFormatting sqref="C24">
    <cfRule type="expression" priority="74" dxfId="8">
      <formula>ISBLANK(C24)</formula>
    </cfRule>
    <cfRule type="expression" priority="75">
      <formula>NOT(ISBLANK(C24))</formula>
    </cfRule>
  </conditionalFormatting>
  <conditionalFormatting sqref="D23">
    <cfRule type="expression" priority="70" dxfId="9">
      <formula>ISBLANK(D23)</formula>
    </cfRule>
    <cfRule type="expression" priority="71">
      <formula>NOT(ISBLANK(D23))</formula>
    </cfRule>
  </conditionalFormatting>
  <conditionalFormatting sqref="G34">
    <cfRule type="expression" priority="64" dxfId="9">
      <formula>ISBLANK(G34)</formula>
    </cfRule>
    <cfRule type="expression" priority="65">
      <formula>NOT(ISBLANK(G34))</formula>
    </cfRule>
  </conditionalFormatting>
  <conditionalFormatting sqref="G38:G39">
    <cfRule type="expression" priority="62" dxfId="9">
      <formula>ISBLANK(G38)</formula>
    </cfRule>
    <cfRule type="expression" priority="63">
      <formula>NOT(ISBLANK(G38))</formula>
    </cfRule>
  </conditionalFormatting>
  <conditionalFormatting sqref="C34:D34">
    <cfRule type="expression" priority="54" dxfId="9">
      <formula>ISBLANK(C34)</formula>
    </cfRule>
    <cfRule type="expression" priority="55">
      <formula>NOT(ISBLANK(C34))</formula>
    </cfRule>
  </conditionalFormatting>
  <conditionalFormatting sqref="C29:D29">
    <cfRule type="expression" priority="58" dxfId="9">
      <formula>ISBLANK(C29)</formula>
    </cfRule>
    <cfRule type="expression" priority="59">
      <formula>NOT(ISBLANK(C29))</formula>
    </cfRule>
  </conditionalFormatting>
  <conditionalFormatting sqref="C29">
    <cfRule type="expression" priority="56" dxfId="8">
      <formula>ISBLANK(C29)</formula>
    </cfRule>
    <cfRule type="expression" priority="57">
      <formula>NOT(ISBLANK(C29))</formula>
    </cfRule>
  </conditionalFormatting>
  <conditionalFormatting sqref="C34">
    <cfRule type="expression" priority="52" dxfId="8">
      <formula>ISBLANK(C34)</formula>
    </cfRule>
    <cfRule type="expression" priority="53">
      <formula>NOT(ISBLANK(C34))</formula>
    </cfRule>
  </conditionalFormatting>
  <conditionalFormatting sqref="C38:D38">
    <cfRule type="expression" priority="50" dxfId="9">
      <formula>ISBLANK(C38)</formula>
    </cfRule>
    <cfRule type="expression" priority="51">
      <formula>NOT(ISBLANK(C38))</formula>
    </cfRule>
  </conditionalFormatting>
  <conditionalFormatting sqref="C38">
    <cfRule type="expression" priority="48" dxfId="8">
      <formula>ISBLANK(C38)</formula>
    </cfRule>
    <cfRule type="expression" priority="49">
      <formula>NOT(ISBLANK(C38))</formula>
    </cfRule>
  </conditionalFormatting>
  <conditionalFormatting sqref="C39">
    <cfRule type="expression" priority="44" dxfId="8">
      <formula>ISBLANK(C39)</formula>
    </cfRule>
    <cfRule type="expression" priority="45">
      <formula>NOT(ISBLANK(C39))</formula>
    </cfRule>
  </conditionalFormatting>
  <conditionalFormatting sqref="C25">
    <cfRule type="expression" priority="38" dxfId="9">
      <formula>ISBLANK(C25)</formula>
    </cfRule>
    <cfRule type="expression" priority="39">
      <formula>NOT(ISBLANK(C25))</formula>
    </cfRule>
  </conditionalFormatting>
  <conditionalFormatting sqref="C25">
    <cfRule type="expression" priority="36" dxfId="8">
      <formula>ISBLANK(C25)</formula>
    </cfRule>
    <cfRule type="expression" priority="37">
      <formula>NOT(ISBLANK(C25))</formula>
    </cfRule>
  </conditionalFormatting>
  <conditionalFormatting sqref="D25">
    <cfRule type="expression" priority="34" dxfId="9">
      <formula>ISBLANK(D25)</formula>
    </cfRule>
    <cfRule type="expression" priority="35">
      <formula>NOT(ISBLANK(D25))</formula>
    </cfRule>
  </conditionalFormatting>
  <conditionalFormatting sqref="G25">
    <cfRule type="expression" priority="32" dxfId="9">
      <formula>ISBLANK(G25)</formula>
    </cfRule>
    <cfRule type="expression" priority="33">
      <formula>NOT(ISBLANK(G25))</formula>
    </cfRule>
  </conditionalFormatting>
  <conditionalFormatting sqref="B11">
    <cfRule type="expression" priority="30" dxfId="9">
      <formula>ISBLANK(B11)</formula>
    </cfRule>
    <cfRule type="expression" priority="31">
      <formula>NOT(ISBLANK(B11))</formula>
    </cfRule>
  </conditionalFormatting>
  <conditionalFormatting sqref="AE26">
    <cfRule type="cellIs" priority="21" dxfId="0" operator="lessThan">
      <formula>1</formula>
    </cfRule>
  </conditionalFormatting>
  <conditionalFormatting sqref="AI26">
    <cfRule type="cellIs" priority="17" dxfId="0" operator="lessThan">
      <formula>1</formula>
    </cfRule>
  </conditionalFormatting>
  <conditionalFormatting sqref="AM26">
    <cfRule type="cellIs" priority="16" dxfId="0" operator="lessThan">
      <formula>1</formula>
    </cfRule>
  </conditionalFormatting>
  <conditionalFormatting sqref="AQ26">
    <cfRule type="cellIs" priority="15" dxfId="0" operator="lessThan">
      <formula>1</formula>
    </cfRule>
  </conditionalFormatting>
  <conditionalFormatting sqref="AE22:AE25">
    <cfRule type="colorScale" priority="7">
      <colorScale>
        <cfvo type="min" val="0"/>
        <cfvo type="percentile" val="50"/>
        <cfvo type="max" val="0"/>
        <color rgb="FFF8696B"/>
        <color rgb="FFFFEB84"/>
        <color rgb="FF63BE7B"/>
      </colorScale>
    </cfRule>
    <cfRule type="cellIs" priority="8" dxfId="0" operator="lessThan">
      <formula>1</formula>
    </cfRule>
  </conditionalFormatting>
  <conditionalFormatting sqref="AI22:AI25">
    <cfRule type="colorScale" priority="9">
      <colorScale>
        <cfvo type="min" val="0"/>
        <cfvo type="percentile" val="50"/>
        <cfvo type="max" val="0"/>
        <color rgb="FFF8696B"/>
        <color rgb="FFFFEB84"/>
        <color rgb="FF63BE7B"/>
      </colorScale>
    </cfRule>
    <cfRule type="cellIs" priority="10" dxfId="0" operator="lessThan">
      <formula>1</formula>
    </cfRule>
  </conditionalFormatting>
  <conditionalFormatting sqref="AM22:AM25">
    <cfRule type="colorScale" priority="11">
      <colorScale>
        <cfvo type="min" val="0"/>
        <cfvo type="percentile" val="50"/>
        <cfvo type="max" val="0"/>
        <color rgb="FFF8696B"/>
        <color rgb="FFFFEB84"/>
        <color rgb="FF63BE7B"/>
      </colorScale>
    </cfRule>
    <cfRule type="cellIs" priority="12" dxfId="0" operator="lessThan">
      <formula>1</formula>
    </cfRule>
  </conditionalFormatting>
  <conditionalFormatting sqref="AQ22:AQ25">
    <cfRule type="colorScale" priority="13">
      <colorScale>
        <cfvo type="min" val="0"/>
        <cfvo type="percentile" val="50"/>
        <cfvo type="max" val="0"/>
        <color rgb="FFF8696B"/>
        <color rgb="FFFFEB84"/>
        <color rgb="FF63BE7B"/>
      </colorScale>
    </cfRule>
    <cfRule type="cellIs" priority="14" dxfId="0" operator="lessThan">
      <formula>1</formula>
    </cfRule>
  </conditionalFormatting>
  <conditionalFormatting sqref="C44:D44">
    <cfRule type="expression" priority="5" dxfId="9">
      <formula>ISBLANK(C44)</formula>
    </cfRule>
    <cfRule type="expression" priority="6">
      <formula>NOT(ISBLANK(C44))</formula>
    </cfRule>
  </conditionalFormatting>
  <conditionalFormatting sqref="C44">
    <cfRule type="expression" priority="3" dxfId="8">
      <formula>ISBLANK(C44)</formula>
    </cfRule>
    <cfRule type="expression" priority="4">
      <formula>NOT(ISBLANK(C44))</formula>
    </cfRule>
  </conditionalFormatting>
  <conditionalFormatting sqref="G44">
    <cfRule type="expression" priority="1" dxfId="9">
      <formula>ISBLANK(G44)</formula>
    </cfRule>
    <cfRule type="expression" priority="2">
      <formula>NOT(ISBLANK(G44))</formula>
    </cfRule>
  </conditionalFormatting>
  <pageMargins left="0.7" right="0.7" top="0.75" bottom="0.75" header="0.3" footer="0.3"/>
  <pageSetup orientation="portrait" r:id="rId2"/>
  <ignoredErrors>
    <ignoredError sqref="S8:AX21 S26:AX33 S22:AE22 AG22:AX22 S23:AE25 AG23:AX25" unlockedFormula="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tint="-0.24997"/>
  </sheetPr>
  <dimension ref="A1:AU50"/>
  <sheetViews>
    <sheetView zoomScale="70" zoomScaleNormal="70" workbookViewId="0" topLeftCell="A25">
      <selection pane="topLeft" activeCell="A1" sqref="A1"/>
    </sheetView>
  </sheetViews>
  <sheetFormatPr defaultColWidth="9.21875" defaultRowHeight="14.4" outlineLevelCol="1"/>
  <cols>
    <col min="1" max="2" width="22.6666666666667" style="613" customWidth="1"/>
    <col min="3" max="5" width="16.6666666666667" style="613" customWidth="1"/>
    <col min="6" max="13" width="12.6666666666667" style="613" customWidth="1"/>
    <col min="14" max="14" width="36.6666666666667" style="614" customWidth="1"/>
    <col min="15" max="15" width="10.5555555555556" style="613" hidden="1" customWidth="1"/>
    <col min="16" max="16" width="35.7777777777778" style="613" customWidth="1"/>
    <col min="17" max="17" width="35.7777777777778" style="613" hidden="1" customWidth="1"/>
    <col min="18" max="18" width="2.55555555555556" style="613" customWidth="1"/>
    <col min="19" max="19" width="33.7777777777778" style="613" bestFit="1" customWidth="1"/>
    <col min="20" max="20" width="13.2222222222222" style="613" bestFit="1" customWidth="1"/>
    <col min="21" max="21" width="40.2222222222222" style="613" bestFit="1" customWidth="1"/>
    <col min="22" max="27" width="10.7777777777778" style="613" customWidth="1"/>
    <col min="28" max="31" width="10.7777777777778" style="613" customWidth="1" outlineLevel="1"/>
    <col min="32" max="32" width="10.7777777777778" style="613" customWidth="1" collapsed="1"/>
    <col min="33" max="35" width="10.7777777777778" style="613" customWidth="1"/>
    <col min="36" max="39" width="10.7777777777778" style="613" customWidth="1" outlineLevel="1"/>
    <col min="40" max="40" width="10.7777777777778" style="613" customWidth="1" collapsed="1"/>
    <col min="41" max="41" width="10.7777777777778" style="613" customWidth="1"/>
    <col min="42" max="42" width="12" style="613" customWidth="1"/>
    <col min="43" max="43" width="10.7777777777778" style="613" customWidth="1"/>
    <col min="44" max="44" width="9.22222222222222" style="613"/>
    <col min="45" max="46" width="11.2222222222222" style="671" customWidth="1"/>
    <col min="47" max="47" width="9.22222222222222" style="613"/>
    <col min="48" max="16384" width="9.22222222222222" style="613"/>
  </cols>
  <sheetData>
    <row r="1" spans="1:39" ht="14.4">
      <c r="A1" s="1785" t="s">
        <v>1625</v>
      </c>
      <c r="B1" s="1786"/>
      <c r="C1" s="1786"/>
      <c r="D1" s="1786"/>
      <c r="E1" s="1786"/>
      <c r="F1" s="1786"/>
      <c r="G1" s="1786"/>
      <c r="H1" s="1787"/>
      <c r="I1" s="1787"/>
      <c r="J1" s="1787"/>
      <c r="K1" s="1787"/>
      <c r="L1" s="1787"/>
      <c r="M1" s="1787"/>
      <c r="N1" s="1787"/>
      <c r="O1" s="613"/>
      <c r="P1" s="613"/>
      <c r="Q1" s="613"/>
      <c r="AB1" s="613"/>
      <c r="AC1" s="613"/>
      <c r="AD1" s="613"/>
      <c r="AE1" s="613"/>
      <c r="AJ1" s="613"/>
      <c r="AK1" s="613"/>
      <c r="AL1" s="613"/>
      <c r="AM1" s="613"/>
    </row>
    <row r="2" spans="15:39" ht="14.4">
      <c r="O2" s="613"/>
      <c r="P2" s="613"/>
      <c r="Q2" s="613"/>
      <c r="AB2" s="613"/>
      <c r="AC2" s="613"/>
      <c r="AD2" s="613"/>
      <c r="AE2" s="613"/>
      <c r="AJ2" s="613"/>
      <c r="AK2" s="613"/>
      <c r="AL2" s="613"/>
      <c r="AM2" s="613"/>
    </row>
    <row r="3" spans="15:39" ht="14.4">
      <c r="O3" s="613"/>
      <c r="P3" s="613"/>
      <c r="Q3" s="613"/>
      <c r="AB3" s="613"/>
      <c r="AC3" s="613"/>
      <c r="AD3" s="613"/>
      <c r="AE3" s="613"/>
      <c r="AJ3" s="613"/>
      <c r="AK3" s="613"/>
      <c r="AL3" s="613"/>
      <c r="AM3" s="613"/>
    </row>
    <row r="4" spans="1:39" ht="25.8">
      <c r="A4" s="1756" t="str">
        <f>"Sumter "&amp;$T$4</f>
        <v>Sumter 2015</v>
      </c>
      <c r="B4" s="1757"/>
      <c r="C4" s="1757"/>
      <c r="D4" s="1757"/>
      <c r="E4" s="1757"/>
      <c r="F4" s="1757"/>
      <c r="G4" s="1757"/>
      <c r="H4" s="1757"/>
      <c r="I4" s="1757"/>
      <c r="J4" s="1757"/>
      <c r="K4" s="1757"/>
      <c r="L4" s="1757"/>
      <c r="M4" s="1757"/>
      <c r="N4" s="1757"/>
      <c r="O4" s="613"/>
      <c r="P4" s="613"/>
      <c r="Q4" s="613"/>
      <c r="S4" s="672" t="s">
        <v>1160</v>
      </c>
      <c r="T4" s="672">
        <f>'Save Spend Summary'!$C$2</f>
        <v>2015</v>
      </c>
      <c r="AB4" s="613"/>
      <c r="AC4" s="613"/>
      <c r="AD4" s="613"/>
      <c r="AE4" s="613"/>
      <c r="AJ4" s="613"/>
      <c r="AK4" s="613"/>
      <c r="AL4" s="613"/>
      <c r="AM4" s="613"/>
    </row>
    <row r="5" spans="1:46" s="674" customFormat="1" ht="15" customHeight="1" thickBot="1">
      <c r="A5" s="673"/>
      <c r="B5" s="673"/>
      <c r="C5" s="673"/>
      <c r="D5" s="673"/>
      <c r="E5" s="673"/>
      <c r="F5" s="673"/>
      <c r="G5" s="673"/>
      <c r="H5" s="673"/>
      <c r="I5" s="673"/>
      <c r="J5" s="673"/>
      <c r="K5" s="673"/>
      <c r="L5" s="673"/>
      <c r="N5" s="675"/>
      <c r="O5" s="674"/>
      <c r="P5" s="674"/>
      <c r="Q5" s="674"/>
      <c r="AB5" s="674"/>
      <c r="AC5" s="674"/>
      <c r="AD5" s="674"/>
      <c r="AE5" s="674"/>
      <c r="AJ5" s="674"/>
      <c r="AK5" s="674"/>
      <c r="AL5" s="674"/>
      <c r="AM5" s="674"/>
      <c r="AS5" s="676"/>
      <c r="AT5" s="676"/>
    </row>
    <row r="6" spans="1:46" s="674" customFormat="1" ht="84.6" thickBot="1">
      <c r="A6" s="677" t="s">
        <v>139</v>
      </c>
      <c r="B6" s="678" t="s">
        <v>88</v>
      </c>
      <c r="C6" s="679" t="s">
        <v>87</v>
      </c>
      <c r="D6" s="680" t="s">
        <v>86</v>
      </c>
      <c r="F6" s="1758" t="s">
        <v>138</v>
      </c>
      <c r="G6" s="1759"/>
      <c r="H6" s="1759"/>
      <c r="I6" s="681" t="s">
        <v>80</v>
      </c>
      <c r="J6" s="681" t="s">
        <v>79</v>
      </c>
      <c r="K6" s="682" t="s">
        <v>95</v>
      </c>
      <c r="N6" s="675"/>
      <c r="O6" s="674"/>
      <c r="P6" s="674"/>
      <c r="Q6" s="674"/>
      <c r="S6" s="1715" t="s">
        <v>834</v>
      </c>
      <c r="T6" s="1716"/>
      <c r="U6" s="1717"/>
      <c r="AB6" s="674"/>
      <c r="AC6" s="674"/>
      <c r="AD6" s="674"/>
      <c r="AE6" s="674"/>
      <c r="AJ6" s="674"/>
      <c r="AK6" s="674"/>
      <c r="AL6" s="674"/>
      <c r="AM6" s="674"/>
      <c r="AS6" s="676"/>
      <c r="AT6" s="676"/>
    </row>
    <row r="7" spans="1:46" s="674" customFormat="1" ht="15" customHeight="1">
      <c r="A7" s="683" t="s">
        <v>136</v>
      </c>
      <c r="B7" s="684"/>
      <c r="C7" s="684"/>
      <c r="D7" s="685"/>
      <c r="F7" s="1743" t="s">
        <v>136</v>
      </c>
      <c r="G7" s="1744"/>
      <c r="H7" s="1745"/>
      <c r="I7" s="684"/>
      <c r="J7" s="684"/>
      <c r="K7" s="685"/>
      <c r="N7" s="675"/>
      <c r="O7" s="674"/>
      <c r="P7" s="674"/>
      <c r="Q7" s="674"/>
      <c r="S7" s="686" t="s">
        <v>196</v>
      </c>
      <c r="T7" s="686" t="s">
        <v>194</v>
      </c>
      <c r="U7" s="686" t="s">
        <v>78</v>
      </c>
      <c r="AB7" s="674"/>
      <c r="AC7" s="674"/>
      <c r="AD7" s="674"/>
      <c r="AE7" s="674"/>
      <c r="AJ7" s="674"/>
      <c r="AK7" s="674"/>
      <c r="AL7" s="674"/>
      <c r="AM7" s="674"/>
      <c r="AS7" s="676"/>
      <c r="AT7" s="676"/>
    </row>
    <row r="8" spans="1:46" s="674" customFormat="1" ht="15" customHeight="1">
      <c r="A8" s="687" t="s">
        <v>134</v>
      </c>
      <c r="B8" s="696"/>
      <c r="C8" s="688">
        <f>D24</f>
        <v>21335.80</v>
      </c>
      <c r="D8" s="689">
        <f>SUM(B8:C8)</f>
        <v>21335.80</v>
      </c>
      <c r="F8" s="1746" t="s">
        <v>134</v>
      </c>
      <c r="G8" s="1747"/>
      <c r="H8" s="1748"/>
      <c r="I8" s="690">
        <f>K24</f>
        <v>4050.5480461546963</v>
      </c>
      <c r="J8" s="691">
        <f>L24</f>
        <v>7238.3218381546958</v>
      </c>
      <c r="K8" s="692">
        <f>M24</f>
        <v>113.45589507927053</v>
      </c>
      <c r="N8" s="675"/>
      <c r="O8" s="674"/>
      <c r="P8" s="674"/>
      <c r="Q8" s="674"/>
      <c r="S8" s="693" t="s">
        <v>833</v>
      </c>
      <c r="T8" s="694">
        <f>'Seminole Avoided Cost'!$C$8</f>
        <v>0.06</v>
      </c>
      <c r="U8" s="695" t="s">
        <v>1120</v>
      </c>
      <c r="AB8" s="674"/>
      <c r="AC8" s="674"/>
      <c r="AD8" s="674"/>
      <c r="AE8" s="674"/>
      <c r="AJ8" s="674"/>
      <c r="AK8" s="674"/>
      <c r="AL8" s="674"/>
      <c r="AM8" s="674"/>
      <c r="AS8" s="676"/>
      <c r="AT8" s="676"/>
    </row>
    <row r="9" spans="1:46" s="674" customFormat="1" ht="15" customHeight="1">
      <c r="A9" s="687" t="s">
        <v>132</v>
      </c>
      <c r="B9" s="696">
        <f>C34</f>
        <v>5187.0916845107895</v>
      </c>
      <c r="C9" s="688">
        <f>D34</f>
        <v>0</v>
      </c>
      <c r="D9" s="689">
        <f>SUM(B9:C9)</f>
        <v>5187.0916845107895</v>
      </c>
      <c r="F9" s="1746" t="s">
        <v>132</v>
      </c>
      <c r="G9" s="1747"/>
      <c r="H9" s="1748"/>
      <c r="I9" s="690">
        <f>K34</f>
        <v>158.50985800000001</v>
      </c>
      <c r="J9" s="690">
        <f>L34</f>
        <v>1960.2999999999997</v>
      </c>
      <c r="K9" s="690">
        <f>M34</f>
        <v>0</v>
      </c>
      <c r="N9" s="675"/>
      <c r="O9" s="674"/>
      <c r="P9" s="674"/>
      <c r="Q9" s="674"/>
      <c r="S9" s="693" t="s">
        <v>832</v>
      </c>
      <c r="T9" s="698">
        <v>0</v>
      </c>
      <c r="U9" s="695" t="s">
        <v>857</v>
      </c>
      <c r="AB9" s="674"/>
      <c r="AC9" s="674"/>
      <c r="AD9" s="674"/>
      <c r="AE9" s="674"/>
      <c r="AJ9" s="674"/>
      <c r="AK9" s="674"/>
      <c r="AL9" s="674"/>
      <c r="AM9" s="674"/>
      <c r="AS9" s="676"/>
      <c r="AT9" s="676"/>
    </row>
    <row r="10" spans="1:46" s="674" customFormat="1" ht="15" customHeight="1" thickBot="1">
      <c r="A10" s="699" t="s">
        <v>130</v>
      </c>
      <c r="B10" s="696">
        <f>C42</f>
        <v>0</v>
      </c>
      <c r="C10" s="688">
        <f>D42</f>
        <v>0</v>
      </c>
      <c r="D10" s="700">
        <f>SUM(B10:C10)</f>
        <v>0</v>
      </c>
      <c r="F10" s="1729" t="s">
        <v>130</v>
      </c>
      <c r="G10" s="1730"/>
      <c r="H10" s="1731"/>
      <c r="I10" s="701">
        <f>K43</f>
        <v>852.48514313424664</v>
      </c>
      <c r="J10" s="702">
        <f>L43</f>
        <v>852.48514313424664</v>
      </c>
      <c r="K10" s="703">
        <f>M43</f>
        <v>14674.18944</v>
      </c>
      <c r="N10" s="675"/>
      <c r="O10" s="674"/>
      <c r="P10" s="674"/>
      <c r="Q10" s="674"/>
      <c r="S10" s="693" t="s">
        <v>831</v>
      </c>
      <c r="T10" s="698">
        <v>0</v>
      </c>
      <c r="U10" s="695" t="s">
        <v>857</v>
      </c>
      <c r="AB10" s="674"/>
      <c r="AC10" s="674"/>
      <c r="AD10" s="674"/>
      <c r="AE10" s="674"/>
      <c r="AJ10" s="674"/>
      <c r="AK10" s="674"/>
      <c r="AL10" s="674"/>
      <c r="AM10" s="674"/>
      <c r="AS10" s="676"/>
      <c r="AT10" s="676"/>
    </row>
    <row r="11" spans="1:46" s="674" customFormat="1" ht="15" customHeight="1" thickTop="1" thickBot="1">
      <c r="A11" s="706" t="s">
        <v>129</v>
      </c>
      <c r="B11" s="707">
        <v>60000</v>
      </c>
      <c r="C11" s="708"/>
      <c r="D11" s="700">
        <f>SUM(B11:C11)</f>
        <v>60000</v>
      </c>
      <c r="F11" s="1750" t="s">
        <v>128</v>
      </c>
      <c r="G11" s="1751"/>
      <c r="H11" s="1752"/>
      <c r="I11" s="709">
        <f>SUM(I8:I10)</f>
        <v>5061.5430472889429</v>
      </c>
      <c r="J11" s="709">
        <f>SUM(J8:J10)</f>
        <v>10051.106981288942</v>
      </c>
      <c r="K11" s="710">
        <f>SUM(K8:K10)</f>
        <v>14787.645335079271</v>
      </c>
      <c r="N11" s="675"/>
      <c r="O11" s="674"/>
      <c r="P11" s="674"/>
      <c r="Q11" s="674"/>
      <c r="S11" s="693" t="s">
        <v>830</v>
      </c>
      <c r="T11" s="698">
        <v>0</v>
      </c>
      <c r="U11" s="695" t="s">
        <v>857</v>
      </c>
      <c r="AB11" s="674"/>
      <c r="AC11" s="674"/>
      <c r="AD11" s="674"/>
      <c r="AE11" s="674"/>
      <c r="AJ11" s="674"/>
      <c r="AK11" s="674"/>
      <c r="AL11" s="674"/>
      <c r="AM11" s="674"/>
      <c r="AS11" s="676"/>
      <c r="AT11" s="676"/>
    </row>
    <row r="12" spans="1:46" s="715" customFormat="1" ht="15" customHeight="1" thickTop="1">
      <c r="A12" s="711" t="s">
        <v>128</v>
      </c>
      <c r="B12" s="712">
        <f>SUM(B8:B11)</f>
        <v>65187.091684510786</v>
      </c>
      <c r="C12" s="713">
        <f>SUM(C8:C11)</f>
        <v>21335.80</v>
      </c>
      <c r="D12" s="714">
        <f>SUM(D8:D11)</f>
        <v>86522.891684510789</v>
      </c>
      <c r="F12" s="1753" t="s">
        <v>127</v>
      </c>
      <c r="G12" s="1754"/>
      <c r="H12" s="1755"/>
      <c r="I12" s="716"/>
      <c r="J12" s="716"/>
      <c r="K12" s="717"/>
      <c r="N12" s="718"/>
      <c r="O12" s="715"/>
      <c r="P12" s="715"/>
      <c r="Q12" s="715"/>
      <c r="S12" s="693" t="s">
        <v>829</v>
      </c>
      <c r="T12" s="719">
        <f>VLOOKUP($U12,'2015 Annual Sales and Revenue '!$B$3:$H$29,7,FALSE)</f>
        <v>0.12364248794456273</v>
      </c>
      <c r="U12" s="695" t="s">
        <v>1152</v>
      </c>
      <c r="AB12" s="715"/>
      <c r="AC12" s="715"/>
      <c r="AD12" s="715"/>
      <c r="AE12" s="715"/>
      <c r="AJ12" s="715"/>
      <c r="AK12" s="715"/>
      <c r="AL12" s="715"/>
      <c r="AM12" s="715"/>
      <c r="AS12" s="720"/>
      <c r="AT12" s="720"/>
    </row>
    <row r="13" spans="1:46" s="674" customFormat="1" ht="15" customHeight="1">
      <c r="A13" s="721" t="s">
        <v>127</v>
      </c>
      <c r="B13" s="722"/>
      <c r="C13" s="722"/>
      <c r="D13" s="723"/>
      <c r="F13" s="1746" t="s">
        <v>126</v>
      </c>
      <c r="G13" s="1747"/>
      <c r="H13" s="1748"/>
      <c r="I13" s="724">
        <f>K28</f>
        <v>0</v>
      </c>
      <c r="J13" s="724">
        <f>L28</f>
        <v>0</v>
      </c>
      <c r="K13" s="725">
        <f>M28</f>
        <v>0</v>
      </c>
      <c r="N13" s="675"/>
      <c r="O13" s="674"/>
      <c r="P13" s="674"/>
      <c r="Q13" s="674"/>
      <c r="S13" s="693" t="s">
        <v>856</v>
      </c>
      <c r="T13" s="719">
        <f>VLOOKUP($U13,'2015 Annual Sales and Revenue '!$B$3:$H$29,7,FALSE)</f>
        <v>0.09872919672440697</v>
      </c>
      <c r="U13" s="695" t="s">
        <v>1153</v>
      </c>
      <c r="AB13" s="674"/>
      <c r="AC13" s="674"/>
      <c r="AD13" s="674"/>
      <c r="AE13" s="674"/>
      <c r="AJ13" s="674"/>
      <c r="AK13" s="674"/>
      <c r="AL13" s="674"/>
      <c r="AM13" s="674"/>
      <c r="AS13" s="676"/>
      <c r="AT13" s="676"/>
    </row>
    <row r="14" spans="1:42" s="674" customFormat="1" ht="15" customHeight="1" thickBot="1">
      <c r="A14" s="726" t="s">
        <v>126</v>
      </c>
      <c r="B14" s="727">
        <f>C28</f>
        <v>0</v>
      </c>
      <c r="C14" s="728">
        <f>D28</f>
        <v>0</v>
      </c>
      <c r="D14" s="729">
        <f>SUM(B14:C14)</f>
        <v>0</v>
      </c>
      <c r="F14" s="1729" t="s">
        <v>125</v>
      </c>
      <c r="G14" s="1730"/>
      <c r="H14" s="1731"/>
      <c r="I14" s="691">
        <f>K38</f>
        <v>158</v>
      </c>
      <c r="J14" s="691">
        <f>L38</f>
        <v>158</v>
      </c>
      <c r="K14" s="692">
        <f>M38</f>
        <v>17000</v>
      </c>
      <c r="N14" s="675"/>
      <c r="O14" s="674"/>
      <c r="P14" s="674"/>
      <c r="Q14" s="674"/>
      <c r="AB14" s="674"/>
      <c r="AC14" s="674"/>
      <c r="AD14" s="674"/>
      <c r="AE14" s="674"/>
      <c r="AJ14" s="674"/>
      <c r="AK14" s="674"/>
      <c r="AL14" s="674"/>
      <c r="AM14" s="674"/>
      <c r="AO14" s="676"/>
      <c r="AP14" s="676"/>
    </row>
    <row r="15" spans="1:42" s="674" customFormat="1" ht="15" customHeight="1" thickBot="1">
      <c r="A15" s="687" t="s">
        <v>124</v>
      </c>
      <c r="B15" s="688">
        <f>C38</f>
        <v>0</v>
      </c>
      <c r="C15" s="696">
        <f>D38</f>
        <v>0</v>
      </c>
      <c r="D15" s="689">
        <f>SUM(B15:C15)</f>
        <v>0</v>
      </c>
      <c r="F15" s="1732" t="s">
        <v>123</v>
      </c>
      <c r="G15" s="1733"/>
      <c r="H15" s="1734"/>
      <c r="I15" s="733">
        <f>SUM(I13:I14)</f>
        <v>158</v>
      </c>
      <c r="J15" s="733">
        <f>SUM(J13:J14)</f>
        <v>158</v>
      </c>
      <c r="K15" s="734">
        <f>SUM(K13:K14)</f>
        <v>17000</v>
      </c>
      <c r="N15" s="675"/>
      <c r="O15" s="674"/>
      <c r="P15" s="674"/>
      <c r="Q15" s="674"/>
      <c r="AB15" s="674"/>
      <c r="AC15" s="674"/>
      <c r="AD15" s="674"/>
      <c r="AE15" s="674"/>
      <c r="AJ15" s="674"/>
      <c r="AK15" s="674"/>
      <c r="AL15" s="674"/>
      <c r="AM15" s="674"/>
      <c r="AO15" s="676"/>
      <c r="AP15" s="676"/>
    </row>
    <row r="16" spans="1:46" s="674" customFormat="1" ht="15" customHeight="1" thickBot="1">
      <c r="A16" s="735" t="s">
        <v>123</v>
      </c>
      <c r="B16" s="736">
        <f>SUM(B14:B15)</f>
        <v>0</v>
      </c>
      <c r="C16" s="736">
        <f>SUM(C14:C15)</f>
        <v>0</v>
      </c>
      <c r="D16" s="737">
        <f>SUM(D14:D15)</f>
        <v>0</v>
      </c>
      <c r="F16" s="1738" t="s">
        <v>808</v>
      </c>
      <c r="G16" s="1739"/>
      <c r="H16" s="1740"/>
      <c r="I16" s="738">
        <f>SUM(I11,I15)</f>
        <v>5219.5430472889429</v>
      </c>
      <c r="J16" s="738">
        <f>SUM(J11,J15)</f>
        <v>10209.106981288942</v>
      </c>
      <c r="K16" s="739">
        <f>SUM(K11,K15)</f>
        <v>31787.645335079273</v>
      </c>
      <c r="N16" s="675"/>
      <c r="O16" s="674"/>
      <c r="P16" s="674"/>
      <c r="Q16" s="674"/>
      <c r="AB16" s="674"/>
      <c r="AC16" s="674"/>
      <c r="AD16" s="674"/>
      <c r="AE16" s="674"/>
      <c r="AJ16" s="674"/>
      <c r="AK16" s="674"/>
      <c r="AL16" s="674"/>
      <c r="AM16" s="674"/>
      <c r="AS16" s="676"/>
      <c r="AT16" s="676"/>
    </row>
    <row r="17" spans="1:46" s="674" customFormat="1" ht="15" customHeight="1" thickBot="1">
      <c r="A17" s="740" t="s">
        <v>808</v>
      </c>
      <c r="B17" s="741">
        <f>SUM(B12,B16)</f>
        <v>65187.091684510786</v>
      </c>
      <c r="C17" s="741">
        <f>SUM(C12,C16)</f>
        <v>21335.80</v>
      </c>
      <c r="D17" s="742">
        <f>SUM(D12,D16)</f>
        <v>86522.891684510789</v>
      </c>
      <c r="N17" s="675"/>
      <c r="O17" s="674"/>
      <c r="P17" s="674"/>
      <c r="Q17" s="674"/>
      <c r="AB17" s="674"/>
      <c r="AC17" s="674"/>
      <c r="AD17" s="674"/>
      <c r="AE17" s="674"/>
      <c r="AJ17" s="674"/>
      <c r="AK17" s="674"/>
      <c r="AL17" s="674"/>
      <c r="AM17" s="674"/>
      <c r="AS17" s="676"/>
      <c r="AT17" s="676"/>
    </row>
    <row r="18" spans="1:46" s="674" customFormat="1" ht="15" customHeight="1" thickBot="1">
      <c r="A18" s="743"/>
      <c r="B18" s="743"/>
      <c r="C18" s="673"/>
      <c r="D18" s="673"/>
      <c r="E18" s="673"/>
      <c r="F18" s="673"/>
      <c r="G18" s="673"/>
      <c r="H18" s="673"/>
      <c r="I18" s="673"/>
      <c r="J18" s="673"/>
      <c r="K18" s="673"/>
      <c r="N18" s="675"/>
      <c r="O18" s="674"/>
      <c r="P18" s="674"/>
      <c r="Q18" s="674"/>
      <c r="AB18" s="1725" t="s">
        <v>1161</v>
      </c>
      <c r="AC18" s="1725"/>
      <c r="AD18" s="1725"/>
      <c r="AE18" s="1725"/>
      <c r="AJ18" s="1725" t="s">
        <v>1161</v>
      </c>
      <c r="AK18" s="1725"/>
      <c r="AL18" s="1725"/>
      <c r="AM18" s="1725"/>
      <c r="AS18" s="676"/>
      <c r="AT18" s="676"/>
    </row>
    <row r="19" spans="1:45" ht="37.5" customHeight="1" thickBot="1">
      <c r="A19" s="1788" t="s">
        <v>122</v>
      </c>
      <c r="B19" s="1788"/>
      <c r="C19" s="1788"/>
      <c r="D19" s="1788"/>
      <c r="E19" s="1788"/>
      <c r="F19" s="1788"/>
      <c r="G19" s="1788"/>
      <c r="H19" s="1788"/>
      <c r="I19" s="1788"/>
      <c r="J19" s="1788"/>
      <c r="K19" s="1788"/>
      <c r="L19" s="1788"/>
      <c r="M19" s="1788"/>
      <c r="N19" s="1788"/>
      <c r="O19" s="613"/>
      <c r="P19" s="613"/>
      <c r="Q19" s="613"/>
      <c r="S19" s="1718" t="s">
        <v>855</v>
      </c>
      <c r="T19" s="1719"/>
      <c r="U19" s="1719"/>
      <c r="V19" s="1719"/>
      <c r="W19" s="1719"/>
      <c r="X19" s="1719"/>
      <c r="Y19" s="1719"/>
      <c r="Z19" s="1719"/>
      <c r="AA19" s="1719"/>
      <c r="AB19" s="1719" t="s">
        <v>854</v>
      </c>
      <c r="AC19" s="1719"/>
      <c r="AD19" s="1719"/>
      <c r="AE19" s="1719"/>
      <c r="AF19" s="1719"/>
      <c r="AG19" s="1719"/>
      <c r="AH19" s="1719"/>
      <c r="AI19" s="1719"/>
      <c r="AJ19" s="1719"/>
      <c r="AK19" s="1719"/>
      <c r="AL19" s="1719"/>
      <c r="AM19" s="1719"/>
      <c r="AN19" s="1719"/>
      <c r="AO19" s="1719"/>
      <c r="AP19" s="1719"/>
      <c r="AQ19" s="1722"/>
      <c r="AR19" s="744"/>
      <c r="AS19" s="715"/>
    </row>
    <row r="20" spans="1:47" ht="15.6" customHeight="1">
      <c r="A20" s="1389"/>
      <c r="B20" s="1389"/>
      <c r="C20" s="1741" t="s">
        <v>121</v>
      </c>
      <c r="D20" s="1741"/>
      <c r="E20" s="1741"/>
      <c r="F20" s="1741" t="s">
        <v>120</v>
      </c>
      <c r="G20" s="1741"/>
      <c r="H20" s="1741"/>
      <c r="I20" s="1741"/>
      <c r="J20" s="1741"/>
      <c r="K20" s="1741"/>
      <c r="L20" s="1741"/>
      <c r="M20" s="1390"/>
      <c r="N20" s="1391"/>
      <c r="O20" s="613"/>
      <c r="P20" s="613"/>
      <c r="Q20" s="613"/>
      <c r="S20" s="1720"/>
      <c r="T20" s="1721"/>
      <c r="U20" s="1721"/>
      <c r="V20" s="1721"/>
      <c r="W20" s="1721"/>
      <c r="X20" s="1721"/>
      <c r="Y20" s="1721"/>
      <c r="Z20" s="1721"/>
      <c r="AA20" s="1721"/>
      <c r="AB20" s="1723" t="s">
        <v>853</v>
      </c>
      <c r="AC20" s="1723"/>
      <c r="AD20" s="1723"/>
      <c r="AE20" s="1723"/>
      <c r="AF20" s="1723" t="s">
        <v>852</v>
      </c>
      <c r="AG20" s="1723"/>
      <c r="AH20" s="1723"/>
      <c r="AI20" s="1723"/>
      <c r="AJ20" s="1723" t="s">
        <v>851</v>
      </c>
      <c r="AK20" s="1723"/>
      <c r="AL20" s="1723"/>
      <c r="AM20" s="1723"/>
      <c r="AN20" s="1723" t="s">
        <v>850</v>
      </c>
      <c r="AO20" s="1723"/>
      <c r="AP20" s="1723"/>
      <c r="AQ20" s="1724"/>
      <c r="AR20" s="744"/>
      <c r="AS20" s="1713" t="s">
        <v>849</v>
      </c>
      <c r="AT20" s="1714"/>
      <c r="AU20" s="745" t="s">
        <v>858</v>
      </c>
    </row>
    <row r="21" spans="1:47" ht="62.4">
      <c r="A21" s="1381" t="s">
        <v>119</v>
      </c>
      <c r="B21" s="1381" t="s">
        <v>89</v>
      </c>
      <c r="C21" s="1381" t="s">
        <v>88</v>
      </c>
      <c r="D21" s="1381" t="s">
        <v>87</v>
      </c>
      <c r="E21" s="1381" t="s">
        <v>86</v>
      </c>
      <c r="F21" s="1381" t="s">
        <v>85</v>
      </c>
      <c r="G21" s="1381" t="s">
        <v>84</v>
      </c>
      <c r="H21" s="1381" t="s">
        <v>97</v>
      </c>
      <c r="I21" s="1381" t="s">
        <v>82</v>
      </c>
      <c r="J21" s="1381" t="s">
        <v>96</v>
      </c>
      <c r="K21" s="1381" t="s">
        <v>80</v>
      </c>
      <c r="L21" s="1381" t="s">
        <v>79</v>
      </c>
      <c r="M21" s="1381" t="s">
        <v>95</v>
      </c>
      <c r="N21" s="1381" t="s">
        <v>78</v>
      </c>
      <c r="O21" s="613"/>
      <c r="P21" s="752" t="str">
        <f>K21&amp;" Weighting"</f>
        <v>Total Annual MWh Weighting</v>
      </c>
      <c r="Q21" s="752"/>
      <c r="S21" s="753" t="s">
        <v>848</v>
      </c>
      <c r="T21" s="686" t="s">
        <v>847</v>
      </c>
      <c r="U21" s="686" t="s">
        <v>846</v>
      </c>
      <c r="V21" s="686" t="s">
        <v>845</v>
      </c>
      <c r="W21" s="686" t="s">
        <v>844</v>
      </c>
      <c r="X21" s="686" t="s">
        <v>843</v>
      </c>
      <c r="Y21" s="686" t="s">
        <v>842</v>
      </c>
      <c r="Z21" s="686" t="s">
        <v>841</v>
      </c>
      <c r="AA21" s="686" t="s">
        <v>78</v>
      </c>
      <c r="AB21" s="686" t="s">
        <v>840</v>
      </c>
      <c r="AC21" s="686" t="s">
        <v>839</v>
      </c>
      <c r="AD21" s="686" t="s">
        <v>838</v>
      </c>
      <c r="AE21" s="686" t="s">
        <v>837</v>
      </c>
      <c r="AF21" s="686" t="s">
        <v>840</v>
      </c>
      <c r="AG21" s="686" t="s">
        <v>839</v>
      </c>
      <c r="AH21" s="686" t="s">
        <v>838</v>
      </c>
      <c r="AI21" s="686" t="s">
        <v>837</v>
      </c>
      <c r="AJ21" s="686" t="s">
        <v>840</v>
      </c>
      <c r="AK21" s="686" t="s">
        <v>839</v>
      </c>
      <c r="AL21" s="686" t="s">
        <v>838</v>
      </c>
      <c r="AM21" s="686" t="s">
        <v>837</v>
      </c>
      <c r="AN21" s="686" t="s">
        <v>840</v>
      </c>
      <c r="AO21" s="686" t="s">
        <v>839</v>
      </c>
      <c r="AP21" s="686" t="s">
        <v>838</v>
      </c>
      <c r="AQ21" s="754" t="s">
        <v>837</v>
      </c>
      <c r="AR21" s="744"/>
      <c r="AS21" s="753" t="s">
        <v>791</v>
      </c>
      <c r="AT21" s="686" t="s">
        <v>1164</v>
      </c>
      <c r="AU21" s="754" t="s">
        <v>752</v>
      </c>
    </row>
    <row r="22" spans="1:47" ht="31.2">
      <c r="A22" s="1405" t="s">
        <v>669</v>
      </c>
      <c r="B22" s="1551" t="s">
        <v>668</v>
      </c>
      <c r="C22" s="1552">
        <v>0</v>
      </c>
      <c r="D22" s="1552">
        <v>0</v>
      </c>
      <c r="E22" s="1552">
        <f>SUM(C22:D22)</f>
        <v>0</v>
      </c>
      <c r="F22" s="1553" t="s">
        <v>667</v>
      </c>
      <c r="G22" s="1554">
        <v>4366</v>
      </c>
      <c r="H22" s="1555">
        <f>'Residential PrePay Metering'!$I$9</f>
        <v>889.3198529900817</v>
      </c>
      <c r="I22" s="1559">
        <f>'Residential PrePay Metering'!$J$9</f>
        <v>0.021524597602781775</v>
      </c>
      <c r="J22" s="1555">
        <f>'Residential PrePay Metering'!$C$52</f>
        <v>1</v>
      </c>
      <c r="K22" s="1555">
        <f>(G22*H22)/1000</f>
        <v>3882.7704781546963</v>
      </c>
      <c r="L22" s="1555">
        <f>J22*K22</f>
        <v>3882.7704781546963</v>
      </c>
      <c r="M22" s="1558">
        <f>G22*I22</f>
        <v>93.976393133745233</v>
      </c>
      <c r="N22" s="1407"/>
      <c r="O22" s="613"/>
      <c r="P22" s="766">
        <f>K22:K23/$K$24</f>
        <v>0.9585790450852012</v>
      </c>
      <c r="Q22" s="766"/>
      <c r="S22" s="767">
        <f>IFERROR(IF(G22/$G$24=0,0,G22/$G$24),"")</f>
        <v>0.42118464209917039</v>
      </c>
      <c r="T22" s="768" t="s">
        <v>836</v>
      </c>
      <c r="U22" s="768" t="s">
        <v>835</v>
      </c>
      <c r="V22" s="769">
        <v>0.90</v>
      </c>
      <c r="W22" s="770">
        <f>IF($H22*$T$12=0,"",$H22*$T$12)</f>
        <v>109.95771920218648</v>
      </c>
      <c r="X22" s="770">
        <f>IFERROR($W22*((1+$T$9)/(1+$T$8)*(1-((1+$T$9)/(1+$T$8))^$J22)/(1-((1+$T$9)/(1+$T$8)))),"")</f>
        <v>103.73369736055328</v>
      </c>
      <c r="Y22" s="771">
        <f>IFERROR(D22/G22,"")</f>
        <v>0</v>
      </c>
      <c r="Z22" s="772">
        <v>5</v>
      </c>
      <c r="AA22" s="773"/>
      <c r="AB22" s="772">
        <f>IFERROR(($AS22*$H22*$V22*((1+$T$11)/(1+$T$8)*(1-((1+$T$11)/(1+$T$8))^$J22)/(1-((1+$T$11)/(1+$T$8)))))+($AT$22*$I22),"")</f>
        <v>23.693760746963569</v>
      </c>
      <c r="AC22" s="772">
        <f>IFERROR((SUM($C22)/$G22)+($Z22*$V22),"")</f>
        <v>4.50</v>
      </c>
      <c r="AD22" s="774">
        <f>IFERROR(IF(AB22="","",AB22-AC22),"")</f>
        <v>19.193760746963569</v>
      </c>
      <c r="AE22" s="775">
        <f>IFERROR(AB22/AC22,"")</f>
        <v>5.2652801659919044</v>
      </c>
      <c r="AF22" s="772">
        <f>IFERROR(($AS22*$H22*$V22*((1+$T$11)/(1+$T$8)*(1-((1+$T$11)/(1+$T$8))^$J22)/(1-((1+$T$11)/(1+$T$8)))))+($AT22*$I22),"")</f>
        <v>23.693760746963569</v>
      </c>
      <c r="AG22" s="774">
        <f>IFERROR(-PV($T$8,1,($E22/$G22)),"")</f>
        <v>0</v>
      </c>
      <c r="AH22" s="774">
        <f>IFERROR(IF(AF22="","",AF22-AG22),"")</f>
        <v>23.693760746963569</v>
      </c>
      <c r="AI22" s="775" t="str">
        <f>IFERROR(AF22/AG22,"")</f>
        <v/>
      </c>
      <c r="AJ22" s="774">
        <f>IFERROR(-PV($T$8,$J22,$W22)+($Y22),"")</f>
        <v>103.73369736055338</v>
      </c>
      <c r="AK22" s="774">
        <f>IF(Z22="","",Z22)</f>
        <v>5</v>
      </c>
      <c r="AL22" s="774">
        <f>IFERROR(IF(AJ22="","",AJ22-AK22),"")</f>
        <v>98.733697360553379</v>
      </c>
      <c r="AM22" s="775">
        <f>IFERROR(AJ22/AK22,"")</f>
        <v>20.746739472110676</v>
      </c>
      <c r="AN22" s="774">
        <f>IFERROR(($AS22*$H22*$V22*((1+$T$11)/(1+$T$8)*(1-((1+$T$11)/(1+$T$8))^$J22)/(1-((1+$T$11)/(1+$T$8)))))+($AT22*$I22),"")</f>
        <v>23.693760746963569</v>
      </c>
      <c r="AO22" s="776">
        <f>IFERROR((SUM($C22)/$G22)+X22+Y22,"")</f>
        <v>103.73369736055328</v>
      </c>
      <c r="AP22" s="774">
        <f>IFERROR(IF(AN22="","",AN22-AO22),"")</f>
        <v>-80.039936613589703</v>
      </c>
      <c r="AQ22" s="777">
        <f>IFERROR(AN22/AO22,"")</f>
        <v>0.22840948842891215</v>
      </c>
      <c r="AR22" s="744"/>
      <c r="AS22" s="778">
        <f>IFERROR(VLOOKUP(ROUND($J22,0),'Seminole Avoided Cost'!$B$15:$Y$41,8,FALSE),"")</f>
        <v>0.0292</v>
      </c>
      <c r="AT22" s="779">
        <f>IFERROR(VLOOKUP(ROUND($J22,0),'Seminole Avoided Cost'!$B$15:$Y$41,24,FALSE),"")</f>
        <v>76.44</v>
      </c>
      <c r="AU22" s="780">
        <f>IFERROR(SUM(C22)/G22,"")</f>
        <v>0</v>
      </c>
    </row>
    <row r="23" spans="1:47" ht="15.6">
      <c r="A23" s="1405" t="s">
        <v>807</v>
      </c>
      <c r="B23" s="1551" t="s">
        <v>117</v>
      </c>
      <c r="C23" s="1552">
        <v>0</v>
      </c>
      <c r="D23" s="1552">
        <v>21335.80</v>
      </c>
      <c r="E23" s="1552">
        <f>SUM(C23:D23)</f>
        <v>21335.80</v>
      </c>
      <c r="F23" s="1553" t="s">
        <v>116</v>
      </c>
      <c r="G23" s="1554">
        <v>6000</v>
      </c>
      <c r="H23" s="1555">
        <f>'10W LED Giveaway Savings'!$D$14</f>
        <v>27.962927999999998</v>
      </c>
      <c r="I23" s="1559">
        <f>'10W LED Giveaway Savings'!$D$16</f>
        <v>0.0032465836575875486</v>
      </c>
      <c r="J23" s="1555">
        <f>'10W LED Giveaway Savings'!$D$13</f>
        <v>20</v>
      </c>
      <c r="K23" s="1555">
        <f>(G23*H23)/1000</f>
        <v>167.777568</v>
      </c>
      <c r="L23" s="1555">
        <f>J23*K23</f>
        <v>3355.5513599999999</v>
      </c>
      <c r="M23" s="1558">
        <f>G23*I23</f>
        <v>19.479501945525293</v>
      </c>
      <c r="N23" s="1407"/>
      <c r="O23" s="859"/>
      <c r="P23" s="766">
        <f>K23:K24/$K$24</f>
        <v>0.041420954914798788</v>
      </c>
      <c r="Q23" s="766"/>
      <c r="S23" s="767">
        <f>IFERROR(IF(G23/$G$24=0,0,G23/$G$24),"")</f>
        <v>0.57881535790082961</v>
      </c>
      <c r="T23" s="768" t="s">
        <v>836</v>
      </c>
      <c r="U23" s="768" t="s">
        <v>835</v>
      </c>
      <c r="V23" s="769">
        <v>0.90</v>
      </c>
      <c r="W23" s="770">
        <f>IF($H23*$T$12=0,"",$H23*$T$12)</f>
        <v>3.4574059881346755</v>
      </c>
      <c r="X23" s="770">
        <f>IFERROR($W23*((1+$T$9)/(1+$T$8)*(1-((1+$T$9)/(1+$T$8))^$J23)/(1-((1+$T$9)/(1+$T$8)))),"")</f>
        <v>39.656174304500475</v>
      </c>
      <c r="Y23" s="771">
        <f>IFERROR(D23/G23,"")</f>
        <v>3.5559666666666665</v>
      </c>
      <c r="Z23" s="772">
        <v>5</v>
      </c>
      <c r="AA23" s="773"/>
      <c r="AB23" s="772">
        <f>IFERROR(($AS23*$H23*$V23*((1+$T$11)/(1+$T$8)*(1-((1+$T$11)/(1+$T$8))^$J23)/(1-((1+$T$11)/(1+$T$8)))))+($AT$22*$I23),"")</f>
        <v>16.25432831959257</v>
      </c>
      <c r="AC23" s="772">
        <f>IFERROR((SUM($C23)/$G23)+($Z23*$V23),"")</f>
        <v>4.50</v>
      </c>
      <c r="AD23" s="774">
        <f>IFERROR(IF(AB23="","",AB23-AC23),"")</f>
        <v>11.75432831959257</v>
      </c>
      <c r="AE23" s="775">
        <f>IFERROR(AB23/AC23,"")</f>
        <v>3.6120729599094599</v>
      </c>
      <c r="AF23" s="772">
        <f>IFERROR(($AS23*$H23*$V23*((1+$T$11)/(1+$T$8)*(1-((1+$T$11)/(1+$T$8))^$J23)/(1-((1+$T$11)/(1+$T$8)))))+($AT23*$I23),"")</f>
        <v>16.486134392744322</v>
      </c>
      <c r="AG23" s="774">
        <f>IFERROR(-PV($T$8,1,($E23/$G23)),"")</f>
        <v>3.3546855345911974</v>
      </c>
      <c r="AH23" s="774">
        <f>IFERROR(IF(AF23="","",AF23-AG23),"")</f>
        <v>13.131448858153124</v>
      </c>
      <c r="AI23" s="775">
        <f>IFERROR(AF23/AG23,"")</f>
        <v>4.9143605928933445</v>
      </c>
      <c r="AJ23" s="774">
        <f>IFERROR(-PV($T$8,$J23,$W23)+($Y23),"")</f>
        <v>43.212140971167187</v>
      </c>
      <c r="AK23" s="774">
        <f>IF(Z23="","",Z23)</f>
        <v>5</v>
      </c>
      <c r="AL23" s="774">
        <f>IFERROR(IF(AJ23="","",AJ23-AK23),"")</f>
        <v>38.212140971167187</v>
      </c>
      <c r="AM23" s="775">
        <f>IFERROR(AJ23/AK23,"")</f>
        <v>8.6424281942334371</v>
      </c>
      <c r="AN23" s="774">
        <f>IFERROR(($AS23*$H23*$V23*((1+$T$11)/(1+$T$8)*(1-((1+$T$11)/(1+$T$8))^$J23)/(1-((1+$T$11)/(1+$T$8)))))+($AT23*$I23),"")</f>
        <v>16.486134392744322</v>
      </c>
      <c r="AO23" s="776">
        <f>IFERROR((SUM($C23)/$G23)+X23+Y23,"")</f>
        <v>43.212140971167145</v>
      </c>
      <c r="AP23" s="774">
        <f>IFERROR(IF(AN23="","",AN23-AO23),"")</f>
        <v>-26.726006578422822</v>
      </c>
      <c r="AQ23" s="777">
        <f>IFERROR(AN23/AO23,"")</f>
        <v>0.38151625960270114</v>
      </c>
      <c r="AR23" s="744"/>
      <c r="AS23" s="778">
        <f>IFERROR(VLOOKUP(ROUND($J23,0),'Seminole Avoided Cost'!$B$15:$Y$41,8,FALSE),"")</f>
        <v>0.055449999999999999</v>
      </c>
      <c r="AT23" s="779">
        <f>IFERROR(VLOOKUP(ROUND($J23,0),'Seminole Avoided Cost'!$B$15:$Y$41,24,FALSE),"")</f>
        <v>147.83999999999998</v>
      </c>
      <c r="AU23" s="780">
        <f>IFERROR(SUM(C23)/G23,"")</f>
        <v>0</v>
      </c>
    </row>
    <row r="24" spans="1:47" ht="22.5" customHeight="1" thickBot="1">
      <c r="A24" s="1547" t="s">
        <v>103</v>
      </c>
      <c r="B24" s="1547"/>
      <c r="C24" s="1548">
        <f>SUM(C22:C23)</f>
        <v>0</v>
      </c>
      <c r="D24" s="1548">
        <f>SUM(D22:D23)</f>
        <v>21335.80</v>
      </c>
      <c r="E24" s="1548">
        <f>SUM(E22:E23)</f>
        <v>21335.80</v>
      </c>
      <c r="F24" s="1389" t="s">
        <v>76</v>
      </c>
      <c r="G24" s="1547">
        <f>SUM(G22:G23)</f>
        <v>10366</v>
      </c>
      <c r="H24" s="1561">
        <f t="shared" si="0" ref="H24:I24">SUM(H22:H23)</f>
        <v>917.28278099008173</v>
      </c>
      <c r="I24" s="1560">
        <f t="shared" si="0"/>
        <v>0.024771181260369323</v>
      </c>
      <c r="J24" s="1557">
        <f>SUMPRODUCT(J22:J23,P22:P23)</f>
        <v>1.786998143381177</v>
      </c>
      <c r="K24" s="1549">
        <f>SUM(K22:K23)</f>
        <v>4050.5480461546963</v>
      </c>
      <c r="L24" s="1549">
        <f>SUM(L22:L23)</f>
        <v>7238.3218381546958</v>
      </c>
      <c r="M24" s="1557">
        <f>SUM(M22:M23)</f>
        <v>113.45589507927053</v>
      </c>
      <c r="N24" s="1550"/>
      <c r="O24" s="613"/>
      <c r="P24" s="788">
        <f>SUM(P22:P23)</f>
        <v>1</v>
      </c>
      <c r="Q24" s="788"/>
      <c r="S24" s="789">
        <f>SUM(S22:S23)</f>
        <v>1</v>
      </c>
      <c r="T24" s="790"/>
      <c r="U24" s="790"/>
      <c r="V24" s="790"/>
      <c r="W24" s="791"/>
      <c r="X24" s="791"/>
      <c r="Y24" s="791"/>
      <c r="Z24" s="792"/>
      <c r="AA24" s="793"/>
      <c r="AB24" s="792">
        <f>SUMPRODUCT(AB$22:AB$23,$S$22:$S$23)</f>
        <v>19.387703003935787</v>
      </c>
      <c r="AC24" s="792">
        <f>SUMPRODUCT(AC$22:AC$23,$S$22:$S$23)</f>
        <v>4.50</v>
      </c>
      <c r="AD24" s="792">
        <f>SUMPRODUCT(AD$22:AD$23,$S$22:$S$23)</f>
        <v>14.887703003935787</v>
      </c>
      <c r="AE24" s="794">
        <f>IFERROR(AB24/AC24,"")</f>
        <v>4.3083784453190637</v>
      </c>
      <c r="AF24" s="792">
        <f>SUMPRODUCT(AF$22:AF$23,$S$22:$S$23)</f>
        <v>19.521875919130707</v>
      </c>
      <c r="AG24" s="792">
        <f>SUMPRODUCT(AG$22:AG$23,$S$22:$S$23)</f>
        <v>1.9417435083491399</v>
      </c>
      <c r="AH24" s="792">
        <f>SUMPRODUCT(AH$22:AH$23,$S$22:$S$23)</f>
        <v>17.580132410781566</v>
      </c>
      <c r="AI24" s="794">
        <f>IFERROR(AF24/AG24,"")</f>
        <v>10.053787142941502</v>
      </c>
      <c r="AJ24" s="792">
        <f>SUMPRODUCT(AJ$22:AJ$23,$S$22:$S$23)</f>
        <v>68.70289103831557</v>
      </c>
      <c r="AK24" s="792">
        <f>SUMPRODUCT(AK$22:AK$23,$S$22:$S$23)</f>
        <v>5</v>
      </c>
      <c r="AL24" s="792">
        <f>SUMPRODUCT(AL$22:AL$23,$S$22:$S$23)</f>
        <v>63.70289103831557</v>
      </c>
      <c r="AM24" s="794">
        <f>IFERROR(AJ24/AK24,"")</f>
        <v>13.740578207663114</v>
      </c>
      <c r="AN24" s="792">
        <f>SUMPRODUCT(AN$22:AN$23,$S$22:$S$23)</f>
        <v>19.521875919130707</v>
      </c>
      <c r="AO24" s="792">
        <f>SUMPRODUCT(AO$22:AO$23,$S$22:$S$23)</f>
        <v>68.702891038315499</v>
      </c>
      <c r="AP24" s="792">
        <f>SUMPRODUCT(AP$22:AP$23,$S$22:$S$23)</f>
        <v>-49.181015119184792</v>
      </c>
      <c r="AQ24" s="794">
        <f>IFERROR(AN24/AO24,"")</f>
        <v>0.28414926394063078</v>
      </c>
      <c r="AR24" s="744"/>
      <c r="AS24" s="795">
        <f>IFERROR(VLOOKUP(ROUND($J24,0),'Seminole Avoided Cost'!$B$15:$Y$41,8,FALSE),"")</f>
        <v>0.0304</v>
      </c>
      <c r="AT24" s="796">
        <f>IFERROR(VLOOKUP(ROUND($J24,0),'Seminole Avoided Cost'!$B$15:$Y$41,24,FALSE),"")</f>
        <v>82.799999999999983</v>
      </c>
      <c r="AU24" s="797">
        <f>IFERROR(SUM(C24)/G24,"")</f>
        <v>0</v>
      </c>
    </row>
    <row r="25" spans="1:17" ht="17.25" customHeight="1" thickBot="1">
      <c r="A25" s="860"/>
      <c r="B25" s="861"/>
      <c r="C25" s="862"/>
      <c r="D25" s="862"/>
      <c r="E25" s="862"/>
      <c r="F25" s="862"/>
      <c r="G25" s="862"/>
      <c r="H25" s="862"/>
      <c r="I25" s="862"/>
      <c r="J25" s="862"/>
      <c r="K25" s="862"/>
      <c r="L25" s="862"/>
      <c r="M25" s="862"/>
      <c r="N25" s="863"/>
      <c r="O25" s="613"/>
      <c r="Q25" s="613"/>
    </row>
    <row r="26" spans="1:17" ht="63" thickBot="1">
      <c r="A26" s="803" t="s">
        <v>99</v>
      </c>
      <c r="B26" s="804" t="s">
        <v>89</v>
      </c>
      <c r="C26" s="805" t="s">
        <v>88</v>
      </c>
      <c r="D26" s="806" t="s">
        <v>87</v>
      </c>
      <c r="E26" s="807" t="s">
        <v>86</v>
      </c>
      <c r="F26" s="808" t="s">
        <v>85</v>
      </c>
      <c r="G26" s="808" t="s">
        <v>98</v>
      </c>
      <c r="H26" s="808" t="s">
        <v>97</v>
      </c>
      <c r="I26" s="808" t="s">
        <v>82</v>
      </c>
      <c r="J26" s="808" t="s">
        <v>96</v>
      </c>
      <c r="K26" s="809" t="s">
        <v>80</v>
      </c>
      <c r="L26" s="809" t="s">
        <v>79</v>
      </c>
      <c r="M26" s="809" t="s">
        <v>95</v>
      </c>
      <c r="N26" s="810" t="s">
        <v>78</v>
      </c>
      <c r="O26" s="613"/>
      <c r="Q26" s="613"/>
    </row>
    <row r="27" spans="1:17" ht="16.8" thickTop="1" thickBot="1">
      <c r="A27" s="755"/>
      <c r="B27" s="756"/>
      <c r="C27" s="757">
        <v>0</v>
      </c>
      <c r="D27" s="758">
        <v>0</v>
      </c>
      <c r="E27" s="759">
        <f>SUM(C27:D27)</f>
        <v>0</v>
      </c>
      <c r="F27" s="760"/>
      <c r="G27" s="761">
        <v>0</v>
      </c>
      <c r="H27" s="762"/>
      <c r="I27" s="763"/>
      <c r="J27" s="762"/>
      <c r="K27" s="764"/>
      <c r="L27" s="764"/>
      <c r="M27" s="764"/>
      <c r="N27" s="765"/>
      <c r="O27" s="613"/>
      <c r="Q27" s="613"/>
    </row>
    <row r="28" spans="1:46" s="674" customFormat="1" ht="22.5" customHeight="1" thickTop="1" thickBot="1">
      <c r="A28" s="781" t="s">
        <v>102</v>
      </c>
      <c r="B28" s="782"/>
      <c r="C28" s="783">
        <f>SUM(C27)</f>
        <v>0</v>
      </c>
      <c r="D28" s="783">
        <f>SUM(D27)</f>
        <v>0</v>
      </c>
      <c r="E28" s="783">
        <f>SUM(E27)</f>
        <v>0</v>
      </c>
      <c r="F28" s="784" t="s">
        <v>76</v>
      </c>
      <c r="G28" s="785">
        <f>SUM(G27)</f>
        <v>0</v>
      </c>
      <c r="H28" s="785"/>
      <c r="I28" s="785"/>
      <c r="J28" s="786"/>
      <c r="K28" s="786">
        <f>SUM(K27)</f>
        <v>0</v>
      </c>
      <c r="L28" s="786">
        <f>SUM(L27)</f>
        <v>0</v>
      </c>
      <c r="M28" s="787">
        <f>SUM(M27)</f>
        <v>0</v>
      </c>
      <c r="N28" s="811"/>
      <c r="O28" s="674"/>
      <c r="Q28" s="674"/>
      <c r="S28" s="613"/>
      <c r="T28" s="613"/>
      <c r="U28" s="613"/>
      <c r="V28" s="613"/>
      <c r="W28" s="613"/>
      <c r="X28" s="613"/>
      <c r="Y28" s="613"/>
      <c r="Z28" s="613"/>
      <c r="AA28" s="613"/>
      <c r="AB28" s="613"/>
      <c r="AC28" s="613"/>
      <c r="AD28" s="613"/>
      <c r="AE28" s="613"/>
      <c r="AF28" s="613"/>
      <c r="AG28" s="613"/>
      <c r="AH28" s="613"/>
      <c r="AI28" s="613"/>
      <c r="AJ28" s="613"/>
      <c r="AK28" s="613"/>
      <c r="AL28" s="613"/>
      <c r="AM28" s="613"/>
      <c r="AN28" s="613"/>
      <c r="AO28" s="613"/>
      <c r="AP28" s="613"/>
      <c r="AQ28" s="613"/>
      <c r="AR28" s="613"/>
      <c r="AS28" s="671"/>
      <c r="AT28" s="671"/>
    </row>
    <row r="29" spans="1:46" s="674" customFormat="1" ht="22.5" customHeight="1">
      <c r="A29" s="812"/>
      <c r="B29" s="812"/>
      <c r="C29" s="812"/>
      <c r="D29" s="812"/>
      <c r="E29" s="812"/>
      <c r="F29" s="812"/>
      <c r="G29" s="812"/>
      <c r="H29" s="812"/>
      <c r="I29" s="812"/>
      <c r="J29" s="812"/>
      <c r="K29" s="812"/>
      <c r="L29" s="812"/>
      <c r="M29" s="812"/>
      <c r="N29" s="813"/>
      <c r="O29" s="674"/>
      <c r="Q29" s="674"/>
      <c r="AS29" s="676"/>
      <c r="AT29" s="676"/>
    </row>
    <row r="30" spans="1:46" ht="37.5" customHeight="1">
      <c r="A30" s="1788" t="s">
        <v>101</v>
      </c>
      <c r="B30" s="1788"/>
      <c r="C30" s="1788"/>
      <c r="D30" s="1788"/>
      <c r="E30" s="1788"/>
      <c r="F30" s="1788"/>
      <c r="G30" s="1788"/>
      <c r="H30" s="1788"/>
      <c r="I30" s="1788"/>
      <c r="J30" s="1788"/>
      <c r="K30" s="1788"/>
      <c r="L30" s="1788"/>
      <c r="M30" s="1788"/>
      <c r="N30" s="1788"/>
      <c r="O30" s="613"/>
      <c r="Q30" s="613"/>
      <c r="S30" s="674"/>
      <c r="T30" s="674"/>
      <c r="U30" s="674"/>
      <c r="V30" s="674"/>
      <c r="W30" s="674"/>
      <c r="X30" s="674"/>
      <c r="Y30" s="674"/>
      <c r="Z30" s="674"/>
      <c r="AA30" s="674"/>
      <c r="AB30" s="674"/>
      <c r="AC30" s="674"/>
      <c r="AD30" s="674"/>
      <c r="AE30" s="674"/>
      <c r="AF30" s="674"/>
      <c r="AG30" s="674"/>
      <c r="AH30" s="674"/>
      <c r="AI30" s="674"/>
      <c r="AJ30" s="674"/>
      <c r="AK30" s="674"/>
      <c r="AL30" s="674"/>
      <c r="AM30" s="674"/>
      <c r="AN30" s="674"/>
      <c r="AO30" s="674"/>
      <c r="AP30" s="674"/>
      <c r="AQ30" s="674"/>
      <c r="AR30" s="674"/>
      <c r="AS30" s="676"/>
      <c r="AT30" s="676"/>
    </row>
    <row r="31" spans="1:17" ht="62.4">
      <c r="A31" s="1381" t="s">
        <v>90</v>
      </c>
      <c r="B31" s="1381" t="s">
        <v>89</v>
      </c>
      <c r="C31" s="1381" t="s">
        <v>88</v>
      </c>
      <c r="D31" s="1381" t="s">
        <v>87</v>
      </c>
      <c r="E31" s="1381" t="s">
        <v>86</v>
      </c>
      <c r="F31" s="1381" t="s">
        <v>85</v>
      </c>
      <c r="G31" s="1381" t="s">
        <v>84</v>
      </c>
      <c r="H31" s="1381" t="s">
        <v>97</v>
      </c>
      <c r="I31" s="1381" t="s">
        <v>82</v>
      </c>
      <c r="J31" s="1381" t="s">
        <v>96</v>
      </c>
      <c r="K31" s="1381" t="s">
        <v>80</v>
      </c>
      <c r="L31" s="1381" t="s">
        <v>79</v>
      </c>
      <c r="M31" s="1381" t="s">
        <v>95</v>
      </c>
      <c r="N31" s="1381" t="s">
        <v>78</v>
      </c>
      <c r="O31" s="613"/>
      <c r="Q31" s="613"/>
    </row>
    <row r="32" spans="1:17" ht="15.6">
      <c r="A32" s="1405" t="s">
        <v>1326</v>
      </c>
      <c r="B32" s="1551" t="s">
        <v>708</v>
      </c>
      <c r="C32" s="1552">
        <f>'40W Streetlight'!$E$56*G32</f>
        <v>5187.0916845107895</v>
      </c>
      <c r="D32" s="1552">
        <v>0</v>
      </c>
      <c r="E32" s="1552">
        <f>SUM(C32:C32)</f>
        <v>5187.0916845107895</v>
      </c>
      <c r="F32" s="1551" t="s">
        <v>116</v>
      </c>
      <c r="G32" s="1565">
        <v>250</v>
      </c>
      <c r="H32" s="1562">
        <f>'40W Streetlight'!$E$24-'40W Streetlight'!$E$51</f>
        <v>396.21399999999994</v>
      </c>
      <c r="I32" s="1551">
        <v>0</v>
      </c>
      <c r="J32" s="1563">
        <f>'40W Streetlight'!$E$40</f>
        <v>12.367054167697255</v>
      </c>
      <c r="K32" s="1558">
        <f>(G32*H32)/1000</f>
        <v>99.053499999999985</v>
      </c>
      <c r="L32" s="1558">
        <f>J32*K32</f>
        <v>1224.9999999999998</v>
      </c>
      <c r="M32" s="1556">
        <f>G32*I32</f>
        <v>0</v>
      </c>
      <c r="N32" s="1407" t="s">
        <v>705</v>
      </c>
      <c r="O32" s="613"/>
      <c r="Q32" s="613"/>
    </row>
    <row r="33" spans="1:17" ht="31.2">
      <c r="A33" s="1405" t="s">
        <v>1327</v>
      </c>
      <c r="B33" s="1551" t="s">
        <v>1328</v>
      </c>
      <c r="C33" s="1552">
        <v>0</v>
      </c>
      <c r="D33" s="1552">
        <v>0</v>
      </c>
      <c r="E33" s="1552">
        <f>SUM(C33:D33)</f>
        <v>0</v>
      </c>
      <c r="F33" s="1553" t="s">
        <v>116</v>
      </c>
      <c r="G33" s="1554">
        <v>18</v>
      </c>
      <c r="H33" s="1562">
        <f>'283W Parking Lighting'!$E$24-'283W Parking Lighting'!$E$51</f>
        <v>3303.1310000000003</v>
      </c>
      <c r="I33" s="1551">
        <v>0</v>
      </c>
      <c r="J33" s="1563">
        <f>'283W Parking Lighting'!$E$40</f>
        <v>12.367054167697255</v>
      </c>
      <c r="K33" s="1558">
        <f>(G33*H33)/1000</f>
        <v>59.456358000000009</v>
      </c>
      <c r="L33" s="1558">
        <f>J33*K33</f>
        <v>735.30</v>
      </c>
      <c r="M33" s="1556">
        <f>G33*I33</f>
        <v>0</v>
      </c>
      <c r="N33" s="1407" t="s">
        <v>1329</v>
      </c>
      <c r="O33" s="613"/>
      <c r="Q33" s="613"/>
    </row>
    <row r="34" spans="1:17" ht="22.5" customHeight="1">
      <c r="A34" s="1547" t="s">
        <v>100</v>
      </c>
      <c r="B34" s="1547"/>
      <c r="C34" s="1548">
        <f>SUM(C32:C33)</f>
        <v>5187.0916845107895</v>
      </c>
      <c r="D34" s="1548">
        <f>SUM(D32:D33)</f>
        <v>0</v>
      </c>
      <c r="E34" s="1548">
        <f>SUM(E32:E33)</f>
        <v>5187.0916845107895</v>
      </c>
      <c r="F34" s="1389" t="s">
        <v>76</v>
      </c>
      <c r="G34" s="1561">
        <f>SUM(G32:G33)</f>
        <v>268</v>
      </c>
      <c r="H34" s="1561">
        <f t="shared" si="1" ref="H34:J34">SUM(H32:H33)</f>
        <v>3699.3450000000003</v>
      </c>
      <c r="I34" s="1561">
        <f t="shared" si="1"/>
        <v>0</v>
      </c>
      <c r="J34" s="1561">
        <f t="shared" si="1"/>
        <v>24.734108335394509</v>
      </c>
      <c r="K34" s="1557">
        <f>SUM(K32:K33)</f>
        <v>158.50985800000001</v>
      </c>
      <c r="L34" s="1557">
        <f>SUM(L32:L33)</f>
        <v>1960.2999999999997</v>
      </c>
      <c r="M34" s="1549">
        <f>SUM(M32:M33)</f>
        <v>0</v>
      </c>
      <c r="N34" s="1550"/>
      <c r="O34" s="613"/>
      <c r="Q34" s="613"/>
    </row>
    <row r="35" spans="1:46" s="715" customFormat="1" ht="22.5" customHeight="1">
      <c r="A35" s="1566"/>
      <c r="B35" s="1566"/>
      <c r="C35" s="1567"/>
      <c r="D35" s="1567"/>
      <c r="E35" s="1567"/>
      <c r="F35" s="1568"/>
      <c r="G35" s="1566"/>
      <c r="H35" s="1566"/>
      <c r="I35" s="1566"/>
      <c r="J35" s="1566"/>
      <c r="K35" s="1569"/>
      <c r="L35" s="1569"/>
      <c r="M35" s="1569"/>
      <c r="N35" s="1570"/>
      <c r="O35" s="715"/>
      <c r="Q35" s="715"/>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1571"/>
      <c r="AT35" s="1571"/>
    </row>
    <row r="36" spans="1:46" ht="62.4">
      <c r="A36" s="1381" t="s">
        <v>99</v>
      </c>
      <c r="B36" s="1381" t="s">
        <v>89</v>
      </c>
      <c r="C36" s="1381" t="s">
        <v>88</v>
      </c>
      <c r="D36" s="1381" t="s">
        <v>87</v>
      </c>
      <c r="E36" s="1381" t="s">
        <v>86</v>
      </c>
      <c r="F36" s="1381" t="s">
        <v>85</v>
      </c>
      <c r="G36" s="1381" t="s">
        <v>98</v>
      </c>
      <c r="H36" s="1381" t="s">
        <v>97</v>
      </c>
      <c r="I36" s="1381" t="s">
        <v>82</v>
      </c>
      <c r="J36" s="1381" t="s">
        <v>96</v>
      </c>
      <c r="K36" s="1381" t="s">
        <v>80</v>
      </c>
      <c r="L36" s="1381" t="s">
        <v>79</v>
      </c>
      <c r="M36" s="1381" t="s">
        <v>95</v>
      </c>
      <c r="N36" s="1381" t="s">
        <v>78</v>
      </c>
      <c r="O36" s="613"/>
      <c r="Q36" s="613"/>
      <c r="S36" s="674"/>
      <c r="T36" s="674"/>
      <c r="U36" s="674"/>
      <c r="V36" s="674"/>
      <c r="W36" s="674"/>
      <c r="X36" s="674"/>
      <c r="Y36" s="674"/>
      <c r="Z36" s="674"/>
      <c r="AA36" s="674"/>
      <c r="AB36" s="674"/>
      <c r="AC36" s="674"/>
      <c r="AD36" s="674"/>
      <c r="AE36" s="674"/>
      <c r="AF36" s="674"/>
      <c r="AG36" s="674"/>
      <c r="AH36" s="674"/>
      <c r="AI36" s="674"/>
      <c r="AJ36" s="674"/>
      <c r="AK36" s="674"/>
      <c r="AL36" s="674"/>
      <c r="AM36" s="674"/>
      <c r="AN36" s="674"/>
      <c r="AO36" s="674"/>
      <c r="AP36" s="674"/>
      <c r="AQ36" s="674"/>
      <c r="AR36" s="674"/>
      <c r="AS36" s="676"/>
      <c r="AT36" s="676"/>
    </row>
    <row r="37" spans="1:17" ht="46.8">
      <c r="A37" s="1405" t="s">
        <v>805</v>
      </c>
      <c r="B37" s="1551" t="s">
        <v>804</v>
      </c>
      <c r="C37" s="1552">
        <v>0</v>
      </c>
      <c r="D37" s="1552">
        <v>0</v>
      </c>
      <c r="E37" s="1552">
        <f>SUM(C37:D37)</f>
        <v>0</v>
      </c>
      <c r="F37" s="1551" t="s">
        <v>667</v>
      </c>
      <c r="G37" s="1565">
        <v>27</v>
      </c>
      <c r="H37" s="1562"/>
      <c r="I37" s="1563">
        <f>(17*10^3)/G37</f>
        <v>629.62962962962968</v>
      </c>
      <c r="J37" s="1563">
        <v>1</v>
      </c>
      <c r="K37" s="1558">
        <v>158</v>
      </c>
      <c r="L37" s="1558">
        <f>J37*K37</f>
        <v>158</v>
      </c>
      <c r="M37" s="1555">
        <f>G37*I37</f>
        <v>17000</v>
      </c>
      <c r="N37" s="1407" t="s">
        <v>803</v>
      </c>
      <c r="O37" s="613"/>
      <c r="Q37" s="613"/>
    </row>
    <row r="38" spans="1:46" s="674" customFormat="1" ht="22.5" customHeight="1">
      <c r="A38" s="1547" t="s">
        <v>93</v>
      </c>
      <c r="B38" s="1547"/>
      <c r="C38" s="1548">
        <f>SUM(C37:C37)</f>
        <v>0</v>
      </c>
      <c r="D38" s="1548">
        <f>SUM(D37:D37)</f>
        <v>0</v>
      </c>
      <c r="E38" s="1548">
        <f>SUM(E37:E37)</f>
        <v>0</v>
      </c>
      <c r="F38" s="1389" t="s">
        <v>76</v>
      </c>
      <c r="G38" s="1561">
        <f>SUM(G37:G37)</f>
        <v>27</v>
      </c>
      <c r="H38" s="1561">
        <f t="shared" si="2" ref="H38:J38">SUM(H37:H37)</f>
        <v>0</v>
      </c>
      <c r="I38" s="1561">
        <f t="shared" si="2"/>
        <v>629.62962962962968</v>
      </c>
      <c r="J38" s="1561">
        <f t="shared" si="2"/>
        <v>1</v>
      </c>
      <c r="K38" s="1557">
        <f>SUM(K37:K37)</f>
        <v>158</v>
      </c>
      <c r="L38" s="1557">
        <f>SUM(L37:L37)</f>
        <v>158</v>
      </c>
      <c r="M38" s="1549">
        <f>SUM(M37:M37)</f>
        <v>17000</v>
      </c>
      <c r="N38" s="1550"/>
      <c r="O38" s="674"/>
      <c r="Q38" s="674"/>
      <c r="AS38" s="676"/>
      <c r="AT38" s="676"/>
    </row>
    <row r="39" spans="1:17" ht="15.75" customHeight="1" thickBot="1">
      <c r="A39" s="1564"/>
      <c r="B39" s="715"/>
      <c r="C39" s="715"/>
      <c r="D39" s="715"/>
      <c r="E39" s="715"/>
      <c r="F39" s="715"/>
      <c r="G39" s="715"/>
      <c r="H39" s="715"/>
      <c r="I39" s="715"/>
      <c r="J39" s="715"/>
      <c r="K39" s="715"/>
      <c r="L39" s="715"/>
      <c r="M39" s="829"/>
      <c r="O39" s="613"/>
      <c r="Q39" s="613"/>
    </row>
    <row r="40" spans="1:17" ht="37.5" customHeight="1" thickBot="1">
      <c r="A40" s="1735" t="s">
        <v>91</v>
      </c>
      <c r="B40" s="1736"/>
      <c r="C40" s="1736"/>
      <c r="D40" s="1736"/>
      <c r="E40" s="1736"/>
      <c r="F40" s="1736"/>
      <c r="G40" s="1736"/>
      <c r="H40" s="1736"/>
      <c r="I40" s="1736"/>
      <c r="J40" s="1736"/>
      <c r="K40" s="1736"/>
      <c r="L40" s="1736"/>
      <c r="M40" s="1736"/>
      <c r="N40" s="1737"/>
      <c r="O40" s="613"/>
      <c r="Q40" s="613"/>
    </row>
    <row r="41" spans="1:17" ht="63" thickBot="1">
      <c r="A41" s="814" t="s">
        <v>90</v>
      </c>
      <c r="B41" s="746" t="s">
        <v>89</v>
      </c>
      <c r="C41" s="747" t="s">
        <v>88</v>
      </c>
      <c r="D41" s="748" t="s">
        <v>87</v>
      </c>
      <c r="E41" s="749" t="s">
        <v>86</v>
      </c>
      <c r="F41" s="750" t="s">
        <v>85</v>
      </c>
      <c r="G41" s="809" t="s">
        <v>84</v>
      </c>
      <c r="H41" s="808" t="s">
        <v>83</v>
      </c>
      <c r="I41" s="808" t="s">
        <v>82</v>
      </c>
      <c r="J41" s="808" t="s">
        <v>81</v>
      </c>
      <c r="K41" s="808" t="s">
        <v>80</v>
      </c>
      <c r="L41" s="808" t="s">
        <v>79</v>
      </c>
      <c r="M41" s="808" t="s">
        <v>95</v>
      </c>
      <c r="N41" s="815" t="s">
        <v>78</v>
      </c>
      <c r="O41" s="613"/>
      <c r="Q41" s="613"/>
    </row>
    <row r="42" spans="1:17" ht="246" thickTop="1" thickBot="1">
      <c r="A42" s="816" t="s">
        <v>1449</v>
      </c>
      <c r="B42" s="817" t="s">
        <v>1733</v>
      </c>
      <c r="C42" s="757">
        <v>0</v>
      </c>
      <c r="D42" s="758">
        <v>0</v>
      </c>
      <c r="E42" s="759">
        <f>SUM(C42:C42)</f>
        <v>0</v>
      </c>
      <c r="F42" s="818" t="s">
        <v>1450</v>
      </c>
      <c r="G42" s="858">
        <f>'System Savings Questionnaire'!$C$77</f>
        <v>3149363130</v>
      </c>
      <c r="H42" s="819">
        <f>G42*3*0.8%*76%*(130/8760)</f>
        <v>852485.1431342467</v>
      </c>
      <c r="I42" s="830">
        <f>'System Savings Questionnaire'!$F$88*3*0.8%*76%</f>
        <v>14674.18944</v>
      </c>
      <c r="J42" s="819">
        <v>1</v>
      </c>
      <c r="K42" s="764">
        <f>(H42)/1000</f>
        <v>852.48514313424664</v>
      </c>
      <c r="L42" s="764">
        <f>J42*K42</f>
        <v>852.48514313424664</v>
      </c>
      <c r="M42" s="764">
        <f>I42</f>
        <v>14674.18944</v>
      </c>
      <c r="N42" s="765" t="s">
        <v>1736</v>
      </c>
      <c r="O42" s="613"/>
      <c r="Q42" s="613"/>
    </row>
    <row r="43" spans="1:17" ht="22.5" customHeight="1" thickTop="1" thickBot="1">
      <c r="A43" s="781" t="s">
        <v>77</v>
      </c>
      <c r="B43" s="782"/>
      <c r="C43" s="783">
        <f>SUM(C42)</f>
        <v>0</v>
      </c>
      <c r="D43" s="783">
        <f>SUM(D42)</f>
        <v>0</v>
      </c>
      <c r="E43" s="783">
        <f>SUM(E42)</f>
        <v>0</v>
      </c>
      <c r="F43" s="784" t="s">
        <v>76</v>
      </c>
      <c r="G43" s="785">
        <f>SUM(G42)</f>
        <v>3149363130</v>
      </c>
      <c r="H43" s="785"/>
      <c r="I43" s="785"/>
      <c r="J43" s="786"/>
      <c r="K43" s="786">
        <f>SUM(K42)</f>
        <v>852.48514313424664</v>
      </c>
      <c r="L43" s="786">
        <f>SUM(L42)</f>
        <v>852.48514313424664</v>
      </c>
      <c r="M43" s="787">
        <f>SUM(M42)</f>
        <v>14674.18944</v>
      </c>
      <c r="N43" s="811"/>
      <c r="O43" s="613"/>
      <c r="Q43" s="613"/>
    </row>
    <row r="44" spans="1:17" ht="15.75" customHeight="1" thickBot="1">
      <c r="A44" s="831"/>
      <c r="B44" s="832"/>
      <c r="C44" s="832"/>
      <c r="D44" s="832"/>
      <c r="E44" s="832"/>
      <c r="F44" s="832"/>
      <c r="G44" s="832"/>
      <c r="H44" s="832"/>
      <c r="I44" s="832"/>
      <c r="J44" s="832"/>
      <c r="K44" s="832"/>
      <c r="L44" s="832"/>
      <c r="O44" s="613"/>
      <c r="Q44" s="613"/>
    </row>
    <row r="45" spans="1:17" ht="21.6" thickBot="1">
      <c r="A45" s="1726" t="s">
        <v>75</v>
      </c>
      <c r="B45" s="1727"/>
      <c r="C45" s="1728"/>
      <c r="H45" s="832"/>
      <c r="I45" s="832"/>
      <c r="M45" s="835"/>
      <c r="O45" s="613"/>
      <c r="Q45" s="613"/>
    </row>
    <row r="46" spans="1:17" ht="15.6">
      <c r="A46" s="814" t="s">
        <v>74</v>
      </c>
      <c r="B46" s="808" t="s">
        <v>73</v>
      </c>
      <c r="C46" s="751" t="s">
        <v>72</v>
      </c>
      <c r="H46" s="832"/>
      <c r="I46" s="832"/>
      <c r="O46" s="613"/>
      <c r="Q46" s="613"/>
    </row>
    <row r="47" spans="1:17" ht="15.6">
      <c r="A47" s="836" t="s">
        <v>61</v>
      </c>
      <c r="B47" s="760">
        <v>4366</v>
      </c>
      <c r="C47" s="837">
        <v>0</v>
      </c>
      <c r="I47" s="832"/>
      <c r="O47" s="613"/>
      <c r="Q47" s="613"/>
    </row>
    <row r="48" spans="1:17" ht="15.6">
      <c r="A48" s="836" t="s">
        <v>60</v>
      </c>
      <c r="B48" s="760">
        <v>0</v>
      </c>
      <c r="C48" s="837">
        <v>0</v>
      </c>
      <c r="I48" s="832"/>
      <c r="O48" s="613"/>
      <c r="Q48" s="613"/>
    </row>
    <row r="49" spans="1:17" ht="14.4">
      <c r="A49" s="836" t="s">
        <v>59</v>
      </c>
      <c r="B49" s="760">
        <v>0</v>
      </c>
      <c r="C49" s="837">
        <v>0</v>
      </c>
      <c r="O49" s="613"/>
      <c r="Q49" s="613"/>
    </row>
    <row r="50" spans="1:17" ht="16.2" thickBot="1">
      <c r="A50" s="838" t="str">
        <f>"Total for "&amp;A45</f>
        <v>Total for Advanced Metering</v>
      </c>
      <c r="B50" s="839">
        <f>SUM(B47:B49)</f>
        <v>4366</v>
      </c>
      <c r="C50" s="840">
        <f>SUM(C47:C49)</f>
        <v>0</v>
      </c>
      <c r="O50" s="613"/>
      <c r="Q50" s="613"/>
    </row>
  </sheetData>
  <mergeCells count="30">
    <mergeCell ref="A1:N1"/>
    <mergeCell ref="AS20:AT20"/>
    <mergeCell ref="A45:C45"/>
    <mergeCell ref="F11:H11"/>
    <mergeCell ref="F12:H12"/>
    <mergeCell ref="F13:H13"/>
    <mergeCell ref="F14:H14"/>
    <mergeCell ref="F15:H15"/>
    <mergeCell ref="F16:H16"/>
    <mergeCell ref="F20:L20"/>
    <mergeCell ref="A19:N19"/>
    <mergeCell ref="A30:N30"/>
    <mergeCell ref="A40:N40"/>
    <mergeCell ref="C20:E20"/>
    <mergeCell ref="F10:H10"/>
    <mergeCell ref="A4:N4"/>
    <mergeCell ref="F6:H6"/>
    <mergeCell ref="F7:H7"/>
    <mergeCell ref="F8:H8"/>
    <mergeCell ref="F9:H9"/>
    <mergeCell ref="S6:U6"/>
    <mergeCell ref="AB18:AE18"/>
    <mergeCell ref="AJ18:AM18"/>
    <mergeCell ref="S19:AA19"/>
    <mergeCell ref="AB19:AQ19"/>
    <mergeCell ref="S20:AA20"/>
    <mergeCell ref="AB20:AE20"/>
    <mergeCell ref="AF20:AI20"/>
    <mergeCell ref="AJ20:AM20"/>
    <mergeCell ref="AN20:AQ20"/>
  </mergeCells>
  <conditionalFormatting sqref="C22:D23 C37:D37 G37">
    <cfRule type="expression" priority="101" dxfId="9">
      <formula>ISBLANK(C22)</formula>
    </cfRule>
    <cfRule type="expression" priority="102">
      <formula>NOT(ISBLANK(C22))</formula>
    </cfRule>
  </conditionalFormatting>
  <conditionalFormatting sqref="D33">
    <cfRule type="expression" priority="83" dxfId="9">
      <formula>ISBLANK(D33)</formula>
    </cfRule>
    <cfRule type="expression" priority="84">
      <formula>NOT(ISBLANK(D33))</formula>
    </cfRule>
  </conditionalFormatting>
  <conditionalFormatting sqref="C22:C23 C37">
    <cfRule type="expression" priority="99" dxfId="8">
      <formula>ISBLANK(C22)</formula>
    </cfRule>
    <cfRule type="expression" priority="100">
      <formula>NOT(ISBLANK(C22))</formula>
    </cfRule>
  </conditionalFormatting>
  <conditionalFormatting sqref="G22:G23">
    <cfRule type="expression" priority="97" dxfId="9">
      <formula>ISBLANK(G22)</formula>
    </cfRule>
    <cfRule type="expression" priority="98">
      <formula>NOT(ISBLANK(G22))</formula>
    </cfRule>
  </conditionalFormatting>
  <conditionalFormatting sqref="C37">
    <cfRule type="expression" priority="93" dxfId="9">
      <formula>ISBLANK(C37)</formula>
    </cfRule>
    <cfRule type="expression" priority="94">
      <formula>NOT(ISBLANK(C37))</formula>
    </cfRule>
  </conditionalFormatting>
  <conditionalFormatting sqref="G27">
    <cfRule type="expression" priority="95" dxfId="9">
      <formula>ISBLANK(G27)</formula>
    </cfRule>
    <cfRule type="expression" priority="96">
      <formula>NOT(ISBLANK(G27))</formula>
    </cfRule>
  </conditionalFormatting>
  <conditionalFormatting sqref="C33">
    <cfRule type="expression" priority="79" dxfId="9">
      <formula>ISBLANK(C33)</formula>
    </cfRule>
    <cfRule type="expression" priority="80">
      <formula>NOT(ISBLANK(C33))</formula>
    </cfRule>
  </conditionalFormatting>
  <conditionalFormatting sqref="G37">
    <cfRule type="expression" priority="91" dxfId="9">
      <formula>ISBLANK(G37)</formula>
    </cfRule>
    <cfRule type="expression" priority="92">
      <formula>NOT(ISBLANK(G37))</formula>
    </cfRule>
  </conditionalFormatting>
  <conditionalFormatting sqref="C33">
    <cfRule type="expression" priority="81" dxfId="8">
      <formula>ISBLANK(C33)</formula>
    </cfRule>
    <cfRule type="expression" priority="82">
      <formula>NOT(ISBLANK(C33))</formula>
    </cfRule>
  </conditionalFormatting>
  <conditionalFormatting sqref="G33">
    <cfRule type="expression" priority="77" dxfId="9">
      <formula>ISBLANK(G33)</formula>
    </cfRule>
    <cfRule type="expression" priority="78">
      <formula>NOT(ISBLANK(G33))</formula>
    </cfRule>
  </conditionalFormatting>
  <conditionalFormatting sqref="B11">
    <cfRule type="expression" priority="63" dxfId="9">
      <formula>ISBLANK(B11)</formula>
    </cfRule>
    <cfRule type="expression" priority="64">
      <formula>NOT(ISBLANK(B11))</formula>
    </cfRule>
  </conditionalFormatting>
  <conditionalFormatting sqref="C27:D27">
    <cfRule type="expression" priority="67" dxfId="9">
      <formula>ISBLANK(C27)</formula>
    </cfRule>
    <cfRule type="expression" priority="68">
      <formula>NOT(ISBLANK(C27))</formula>
    </cfRule>
  </conditionalFormatting>
  <conditionalFormatting sqref="C27">
    <cfRule type="expression" priority="65" dxfId="8">
      <formula>ISBLANK(C27)</formula>
    </cfRule>
    <cfRule type="expression" priority="66">
      <formula>NOT(ISBLANK(C27))</formula>
    </cfRule>
  </conditionalFormatting>
  <conditionalFormatting sqref="AE22">
    <cfRule type="colorScale" priority="31">
      <colorScale>
        <cfvo type="min" val="0"/>
        <cfvo type="percentile" val="50"/>
        <cfvo type="max" val="0"/>
        <color rgb="FFF8696B"/>
        <color rgb="FFFFEB84"/>
        <color rgb="FF63BE7B"/>
      </colorScale>
    </cfRule>
    <cfRule type="cellIs" priority="32" dxfId="0" operator="lessThan">
      <formula>1</formula>
    </cfRule>
  </conditionalFormatting>
  <conditionalFormatting sqref="AI22">
    <cfRule type="colorScale" priority="33">
      <colorScale>
        <cfvo type="min" val="0"/>
        <cfvo type="percentile" val="50"/>
        <cfvo type="max" val="0"/>
        <color rgb="FFF8696B"/>
        <color rgb="FFFFEB84"/>
        <color rgb="FF63BE7B"/>
      </colorScale>
    </cfRule>
    <cfRule type="cellIs" priority="34" dxfId="0" operator="lessThan">
      <formula>1</formula>
    </cfRule>
  </conditionalFormatting>
  <conditionalFormatting sqref="AM22">
    <cfRule type="colorScale" priority="35">
      <colorScale>
        <cfvo type="min" val="0"/>
        <cfvo type="percentile" val="50"/>
        <cfvo type="max" val="0"/>
        <color rgb="FFF8696B"/>
        <color rgb="FFFFEB84"/>
        <color rgb="FF63BE7B"/>
      </colorScale>
    </cfRule>
    <cfRule type="cellIs" priority="36" dxfId="0" operator="lessThan">
      <formula>1</formula>
    </cfRule>
  </conditionalFormatting>
  <conditionalFormatting sqref="AQ22">
    <cfRule type="colorScale" priority="37">
      <colorScale>
        <cfvo type="min" val="0"/>
        <cfvo type="percentile" val="50"/>
        <cfvo type="max" val="0"/>
        <color rgb="FFF8696B"/>
        <color rgb="FFFFEB84"/>
        <color rgb="FF63BE7B"/>
      </colorScale>
    </cfRule>
    <cfRule type="cellIs" priority="38" dxfId="0" operator="lessThan">
      <formula>1</formula>
    </cfRule>
  </conditionalFormatting>
  <conditionalFormatting sqref="AE24">
    <cfRule type="cellIs" priority="30" dxfId="0" operator="lessThan">
      <formula>1</formula>
    </cfRule>
  </conditionalFormatting>
  <conditionalFormatting sqref="AI24">
    <cfRule type="cellIs" priority="29" dxfId="0" operator="lessThan">
      <formula>1</formula>
    </cfRule>
  </conditionalFormatting>
  <conditionalFormatting sqref="AQ24">
    <cfRule type="cellIs" priority="27" dxfId="0" operator="lessThan">
      <formula>1</formula>
    </cfRule>
  </conditionalFormatting>
  <conditionalFormatting sqref="AM24">
    <cfRule type="cellIs" priority="28" dxfId="0" operator="lessThan">
      <formula>1</formula>
    </cfRule>
  </conditionalFormatting>
  <conditionalFormatting sqref="AE23">
    <cfRule type="colorScale" priority="19">
      <colorScale>
        <cfvo type="min" val="0"/>
        <cfvo type="percentile" val="50"/>
        <cfvo type="max" val="0"/>
        <color rgb="FFF8696B"/>
        <color rgb="FFFFEB84"/>
        <color rgb="FF63BE7B"/>
      </colorScale>
    </cfRule>
    <cfRule type="cellIs" priority="20" dxfId="0" operator="lessThan">
      <formula>1</formula>
    </cfRule>
  </conditionalFormatting>
  <conditionalFormatting sqref="AI23">
    <cfRule type="colorScale" priority="21">
      <colorScale>
        <cfvo type="min" val="0"/>
        <cfvo type="percentile" val="50"/>
        <cfvo type="max" val="0"/>
        <color rgb="FFF8696B"/>
        <color rgb="FFFFEB84"/>
        <color rgb="FF63BE7B"/>
      </colorScale>
    </cfRule>
    <cfRule type="cellIs" priority="22" dxfId="0" operator="lessThan">
      <formula>1</formula>
    </cfRule>
  </conditionalFormatting>
  <conditionalFormatting sqref="AM23">
    <cfRule type="colorScale" priority="23">
      <colorScale>
        <cfvo type="min" val="0"/>
        <cfvo type="percentile" val="50"/>
        <cfvo type="max" val="0"/>
        <color rgb="FFF8696B"/>
        <color rgb="FFFFEB84"/>
        <color rgb="FF63BE7B"/>
      </colorScale>
    </cfRule>
    <cfRule type="cellIs" priority="24" dxfId="0" operator="lessThan">
      <formula>1</formula>
    </cfRule>
  </conditionalFormatting>
  <conditionalFormatting sqref="AQ23">
    <cfRule type="colorScale" priority="25">
      <colorScale>
        <cfvo type="min" val="0"/>
        <cfvo type="percentile" val="50"/>
        <cfvo type="max" val="0"/>
        <color rgb="FFF8696B"/>
        <color rgb="FFFFEB84"/>
        <color rgb="FF63BE7B"/>
      </colorScale>
    </cfRule>
    <cfRule type="cellIs" priority="26" dxfId="0" operator="lessThan">
      <formula>1</formula>
    </cfRule>
  </conditionalFormatting>
  <conditionalFormatting sqref="C32">
    <cfRule type="expression" priority="7" dxfId="8">
      <formula>ISBLANK(C32)</formula>
    </cfRule>
    <cfRule type="expression" priority="8">
      <formula>NOT(ISBLANK(C32))</formula>
    </cfRule>
  </conditionalFormatting>
  <conditionalFormatting sqref="C32:D32">
    <cfRule type="expression" priority="9" dxfId="9">
      <formula>ISBLANK(C32)</formula>
    </cfRule>
    <cfRule type="expression" priority="10">
      <formula>NOT(ISBLANK(C32))</formula>
    </cfRule>
  </conditionalFormatting>
  <conditionalFormatting sqref="G32">
    <cfRule type="expression" priority="11" dxfId="9">
      <formula>ISBLANK(G32)</formula>
    </cfRule>
    <cfRule type="expression" priority="12">
      <formula>NOT(ISBLANK(G32))</formula>
    </cfRule>
  </conditionalFormatting>
  <conditionalFormatting sqref="C42:D42">
    <cfRule type="expression" priority="5" dxfId="9">
      <formula>ISBLANK(C42)</formula>
    </cfRule>
    <cfRule type="expression" priority="6">
      <formula>NOT(ISBLANK(C42))</formula>
    </cfRule>
  </conditionalFormatting>
  <conditionalFormatting sqref="C42">
    <cfRule type="expression" priority="3" dxfId="8">
      <formula>ISBLANK(C42)</formula>
    </cfRule>
    <cfRule type="expression" priority="4">
      <formula>NOT(ISBLANK(C42))</formula>
    </cfRule>
  </conditionalFormatting>
  <conditionalFormatting sqref="G42">
    <cfRule type="expression" priority="1" dxfId="9">
      <formula>ISBLANK(G42)</formula>
    </cfRule>
    <cfRule type="expression" priority="2">
      <formula>NOT(ISBLANK(G42))</formula>
    </cfRule>
  </conditionalFormatting>
  <pageMargins left="0.7" right="0.7" top="0.75" bottom="0.75" header="0.3" footer="0.3"/>
  <pageSetup orientation="portrait" r:id="rId2"/>
  <ignoredErrors>
    <ignoredError sqref="S8:AU21 S24:AU32 S22:AE22 AG22:AU22 S23:AE23 AG23:AU23" unlockedFormula="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0" tint="-0.24997"/>
  </sheetPr>
  <dimension ref="A1:AU49"/>
  <sheetViews>
    <sheetView zoomScale="70" zoomScaleNormal="70" workbookViewId="0" topLeftCell="A13">
      <selection pane="topLeft" activeCell="A1" sqref="A1"/>
    </sheetView>
  </sheetViews>
  <sheetFormatPr defaultColWidth="8.88888888888889" defaultRowHeight="14.4" outlineLevelCol="1"/>
  <cols>
    <col min="1" max="2" width="22.6666666666667" customWidth="1"/>
    <col min="3" max="5" width="16.6666666666667" customWidth="1"/>
    <col min="6" max="13" width="12.6666666666667" customWidth="1"/>
    <col min="14" max="14" width="36.6666666666667" customWidth="1"/>
    <col min="15" max="15" width="10.5555555555556" hidden="1" customWidth="1"/>
    <col min="16" max="16" width="35.7777777777778" customWidth="1"/>
    <col min="17" max="17" width="35.7777777777778" hidden="1" customWidth="1"/>
    <col min="18" max="18" width="2.55555555555556" customWidth="1"/>
    <col min="19" max="19" width="33.7777777777778" bestFit="1" customWidth="1"/>
    <col min="20" max="20" width="13.2222222222222" bestFit="1" customWidth="1"/>
    <col min="21" max="21" width="40.2222222222222" bestFit="1" customWidth="1"/>
    <col min="22" max="27" width="10.7777777777778" customWidth="1"/>
    <col min="28" max="31" width="10.7777777777778" customWidth="1" outlineLevel="1"/>
    <col min="32" max="32" width="10.7777777777778" customWidth="1" collapsed="1"/>
    <col min="33" max="35" width="10.7777777777778" customWidth="1"/>
    <col min="36" max="39" width="10.7777777777778" customWidth="1" outlineLevel="1"/>
    <col min="40" max="40" width="10.7777777777778" customWidth="1" collapsed="1"/>
    <col min="41" max="41" width="10.7777777777778" customWidth="1"/>
    <col min="42" max="42" width="12" customWidth="1"/>
    <col min="43" max="43" width="10.7777777777778" customWidth="1"/>
    <col min="44" max="44" width="8.88888888888889" customWidth="1"/>
    <col min="45" max="46" width="11.2222222222222" style="241" customWidth="1"/>
    <col min="47" max="47" width="8.88888888888889" customWidth="1"/>
  </cols>
  <sheetData>
    <row r="1" spans="1:39" ht="14.4">
      <c r="A1" s="1782" t="s">
        <v>1626</v>
      </c>
      <c r="B1" s="1783"/>
      <c r="C1" s="1783"/>
      <c r="D1" s="1783"/>
      <c r="E1" s="1783"/>
      <c r="F1" s="1783"/>
      <c r="G1" s="1783"/>
      <c r="H1" s="1784"/>
      <c r="I1" s="1784"/>
      <c r="J1" s="1784"/>
      <c r="K1" s="1784"/>
      <c r="L1" s="1784"/>
      <c r="M1" s="1784"/>
      <c r="N1" s="1784"/>
    </row>
    <row r="2" spans="1:39" ht="14.4">
      <c r="A2" s="1784"/>
      <c r="B2" s="1784"/>
      <c r="C2" s="1784"/>
      <c r="D2" s="1784"/>
      <c r="E2" s="1784"/>
      <c r="F2" s="1784"/>
      <c r="G2" s="1784"/>
      <c r="H2" s="1784"/>
      <c r="I2" s="1784"/>
      <c r="J2" s="1784"/>
      <c r="K2" s="1784"/>
      <c r="L2" s="1784"/>
      <c r="M2" s="1784"/>
      <c r="N2" s="1784"/>
    </row>
    <row r="3" spans="15:39" ht="14.4"/>
    <row r="4" spans="1:39" ht="25.8">
      <c r="A4" s="1709" t="s">
        <v>1639</v>
      </c>
      <c r="B4" s="1710"/>
      <c r="C4" s="1710"/>
      <c r="D4" s="1710"/>
      <c r="E4" s="1710"/>
      <c r="F4" s="1710"/>
      <c r="G4" s="1710"/>
      <c r="H4" s="1710"/>
      <c r="I4" s="1710"/>
      <c r="J4" s="1710"/>
      <c r="K4" s="1710"/>
      <c r="L4" s="1710"/>
      <c r="M4" s="1710"/>
      <c r="N4" s="1710"/>
      <c r="S4" s="490" t="s">
        <v>1160</v>
      </c>
      <c r="T4" s="490">
        <f>'Save Spend Summary'!$C$2</f>
        <v>2015</v>
      </c>
    </row>
    <row r="5" spans="1:46" s="24" customFormat="1" ht="15" customHeight="1" thickBot="1">
      <c r="A5" s="194"/>
      <c r="B5" s="194"/>
      <c r="C5" s="194"/>
      <c r="D5" s="194"/>
      <c r="E5" s="194"/>
      <c r="F5" s="194"/>
      <c r="G5" s="194"/>
      <c r="H5" s="194"/>
      <c r="I5" s="194"/>
      <c r="J5" s="194"/>
      <c r="K5" s="194"/>
      <c r="L5" s="194"/>
      <c r="O5" s="24"/>
      <c r="P5" s="24"/>
      <c r="Q5" s="24"/>
      <c r="AB5" s="24"/>
      <c r="AC5" s="24"/>
      <c r="AD5" s="24"/>
      <c r="AE5" s="24"/>
      <c r="AJ5" s="24"/>
      <c r="AK5" s="24"/>
      <c r="AL5" s="24"/>
      <c r="AM5" s="24"/>
      <c r="AS5" s="395"/>
      <c r="AT5" s="395"/>
    </row>
    <row r="6" spans="1:46" s="24" customFormat="1" ht="84.6" thickBot="1">
      <c r="A6" s="313" t="s">
        <v>139</v>
      </c>
      <c r="B6" s="251" t="s">
        <v>88</v>
      </c>
      <c r="C6" s="250" t="s">
        <v>87</v>
      </c>
      <c r="D6" s="249" t="s">
        <v>86</v>
      </c>
      <c r="F6" s="1711" t="s">
        <v>138</v>
      </c>
      <c r="G6" s="1712"/>
      <c r="H6" s="1712"/>
      <c r="I6" s="248" t="s">
        <v>80</v>
      </c>
      <c r="J6" s="248" t="s">
        <v>79</v>
      </c>
      <c r="K6" s="247" t="s">
        <v>95</v>
      </c>
      <c r="O6" s="24"/>
      <c r="P6" s="24"/>
      <c r="Q6" s="24"/>
      <c r="S6" s="1673" t="s">
        <v>834</v>
      </c>
      <c r="T6" s="1674"/>
      <c r="U6" s="1675"/>
      <c r="AB6" s="24"/>
      <c r="AC6" s="24"/>
      <c r="AD6" s="24"/>
      <c r="AE6" s="24"/>
      <c r="AJ6" s="24"/>
      <c r="AK6" s="24"/>
      <c r="AL6" s="24"/>
      <c r="AM6" s="24"/>
      <c r="AS6" s="395"/>
      <c r="AT6" s="395"/>
    </row>
    <row r="7" spans="1:46" s="24" customFormat="1" ht="15" customHeight="1">
      <c r="A7" s="245" t="s">
        <v>136</v>
      </c>
      <c r="B7" s="244"/>
      <c r="C7" s="244"/>
      <c r="D7" s="243"/>
      <c r="F7" s="1676" t="s">
        <v>136</v>
      </c>
      <c r="G7" s="1677"/>
      <c r="H7" s="1678"/>
      <c r="I7" s="244"/>
      <c r="J7" s="244"/>
      <c r="K7" s="243"/>
      <c r="O7" s="24"/>
      <c r="P7" s="24"/>
      <c r="Q7" s="24"/>
      <c r="S7" s="386" t="s">
        <v>196</v>
      </c>
      <c r="T7" s="386" t="s">
        <v>194</v>
      </c>
      <c r="U7" s="386" t="s">
        <v>78</v>
      </c>
      <c r="AB7" s="24"/>
      <c r="AC7" s="24"/>
      <c r="AD7" s="24"/>
      <c r="AE7" s="24"/>
      <c r="AJ7" s="24"/>
      <c r="AK7" s="24"/>
      <c r="AL7" s="24"/>
      <c r="AM7" s="24"/>
      <c r="AS7" s="395"/>
      <c r="AT7" s="395"/>
    </row>
    <row r="8" spans="1:46" s="24" customFormat="1" ht="15" customHeight="1">
      <c r="A8" s="209" t="s">
        <v>134</v>
      </c>
      <c r="B8" s="208">
        <f>C23</f>
        <v>0</v>
      </c>
      <c r="C8" s="208">
        <f>D23</f>
        <v>1847</v>
      </c>
      <c r="D8" s="206">
        <f>SUM(B8:C8)</f>
        <v>1847</v>
      </c>
      <c r="F8" s="1669" t="s">
        <v>134</v>
      </c>
      <c r="G8" s="1647"/>
      <c r="H8" s="1648"/>
      <c r="I8" s="239">
        <f>K23</f>
        <v>5.5925855999999996</v>
      </c>
      <c r="J8" s="211">
        <f>L23</f>
        <v>111.85171199999999</v>
      </c>
      <c r="K8" s="210">
        <f>M23</f>
        <v>0.64931673151750968</v>
      </c>
      <c r="O8" s="24"/>
      <c r="P8" s="24"/>
      <c r="Q8" s="24"/>
      <c r="S8" s="382" t="s">
        <v>833</v>
      </c>
      <c r="T8" s="385">
        <f>'Seminole Avoided Cost'!$C$8</f>
        <v>0.06</v>
      </c>
      <c r="U8" s="438" t="s">
        <v>1120</v>
      </c>
      <c r="AB8" s="24"/>
      <c r="AC8" s="24"/>
      <c r="AD8" s="24"/>
      <c r="AE8" s="24"/>
      <c r="AJ8" s="24"/>
      <c r="AK8" s="24"/>
      <c r="AL8" s="24"/>
      <c r="AM8" s="24"/>
      <c r="AS8" s="395"/>
      <c r="AT8" s="395"/>
    </row>
    <row r="9" spans="1:46" s="24" customFormat="1" ht="15" customHeight="1">
      <c r="A9" s="209" t="s">
        <v>132</v>
      </c>
      <c r="B9" s="207">
        <f>C33</f>
        <v>0</v>
      </c>
      <c r="C9" s="208">
        <f>D33</f>
        <v>0</v>
      </c>
      <c r="D9" s="206">
        <f>SUM(B9:C9)</f>
        <v>0</v>
      </c>
      <c r="F9" s="1669" t="s">
        <v>132</v>
      </c>
      <c r="G9" s="1647"/>
      <c r="H9" s="1648"/>
      <c r="I9" s="239">
        <f>K33</f>
        <v>59.707024000000004</v>
      </c>
      <c r="J9" s="239">
        <f>L33</f>
        <v>738.40000000000009</v>
      </c>
      <c r="K9" s="333">
        <f>M33</f>
        <v>0</v>
      </c>
      <c r="O9" s="24"/>
      <c r="P9" s="24"/>
      <c r="Q9" s="24"/>
      <c r="S9" s="382" t="s">
        <v>832</v>
      </c>
      <c r="T9" s="384">
        <v>0</v>
      </c>
      <c r="U9" s="438" t="s">
        <v>857</v>
      </c>
      <c r="AB9" s="24"/>
      <c r="AC9" s="24"/>
      <c r="AD9" s="24"/>
      <c r="AE9" s="24"/>
      <c r="AJ9" s="24"/>
      <c r="AK9" s="24"/>
      <c r="AL9" s="24"/>
      <c r="AM9" s="24"/>
      <c r="AS9" s="395"/>
      <c r="AT9" s="395"/>
    </row>
    <row r="10" spans="1:46" s="24" customFormat="1" ht="15" customHeight="1" thickBot="1">
      <c r="A10" s="236" t="s">
        <v>130</v>
      </c>
      <c r="B10" s="207">
        <f>C41</f>
        <v>0</v>
      </c>
      <c r="C10" s="208">
        <f>D41</f>
        <v>0</v>
      </c>
      <c r="D10" s="229">
        <f>SUM(B10:C10)</f>
        <v>0</v>
      </c>
      <c r="F10" s="1670" t="s">
        <v>130</v>
      </c>
      <c r="G10" s="1671"/>
      <c r="H10" s="1672"/>
      <c r="I10" s="234">
        <f>K42</f>
        <v>904.93512259360728</v>
      </c>
      <c r="J10" s="233">
        <f>L42</f>
        <v>904.93512259360728</v>
      </c>
      <c r="K10" s="232">
        <f>M42</f>
        <v>17176.511999999999</v>
      </c>
      <c r="O10" s="24"/>
      <c r="P10" s="24"/>
      <c r="Q10" s="24"/>
      <c r="S10" s="382" t="s">
        <v>831</v>
      </c>
      <c r="T10" s="384">
        <v>0</v>
      </c>
      <c r="U10" s="438" t="s">
        <v>857</v>
      </c>
      <c r="AB10" s="24"/>
      <c r="AC10" s="24"/>
      <c r="AD10" s="24"/>
      <c r="AE10" s="24"/>
      <c r="AJ10" s="24"/>
      <c r="AK10" s="24"/>
      <c r="AL10" s="24"/>
      <c r="AM10" s="24"/>
      <c r="AS10" s="395"/>
      <c r="AT10" s="395"/>
    </row>
    <row r="11" spans="1:46" s="24" customFormat="1" ht="15" customHeight="1" thickTop="1" thickBot="1">
      <c r="A11" s="231" t="s">
        <v>129</v>
      </c>
      <c r="B11" s="332">
        <v>0</v>
      </c>
      <c r="C11" s="331"/>
      <c r="D11" s="229">
        <f>SUM(B11:C11)</f>
        <v>0</v>
      </c>
      <c r="F11" s="1665" t="s">
        <v>128</v>
      </c>
      <c r="G11" s="1666"/>
      <c r="H11" s="1667"/>
      <c r="I11" s="228">
        <f>SUM(I8:I10)</f>
        <v>970.23473219360721</v>
      </c>
      <c r="J11" s="228">
        <f>SUM(J8:J10)</f>
        <v>1755.1868345936073</v>
      </c>
      <c r="K11" s="227">
        <f>SUM(K8:K10)</f>
        <v>17177.161316731515</v>
      </c>
      <c r="O11" s="24"/>
      <c r="P11" s="24"/>
      <c r="Q11" s="24"/>
      <c r="S11" s="382" t="s">
        <v>830</v>
      </c>
      <c r="T11" s="384">
        <v>0</v>
      </c>
      <c r="U11" s="438" t="s">
        <v>857</v>
      </c>
      <c r="AB11" s="24"/>
      <c r="AC11" s="24"/>
      <c r="AD11" s="24"/>
      <c r="AE11" s="24"/>
      <c r="AJ11" s="24"/>
      <c r="AK11" s="24"/>
      <c r="AL11" s="24"/>
      <c r="AM11" s="24"/>
      <c r="AS11" s="395"/>
      <c r="AT11" s="395"/>
    </row>
    <row r="12" spans="1:46" s="46" customFormat="1" ht="15" customHeight="1" thickTop="1">
      <c r="A12" s="226" t="s">
        <v>128</v>
      </c>
      <c r="B12" s="225">
        <f>SUM(B8:B11)</f>
        <v>0</v>
      </c>
      <c r="C12" s="224">
        <f>SUM(C8:C11)</f>
        <v>1847</v>
      </c>
      <c r="D12" s="223">
        <f>SUM(D8:D11)</f>
        <v>1847</v>
      </c>
      <c r="F12" s="1668" t="s">
        <v>127</v>
      </c>
      <c r="G12" s="1662"/>
      <c r="H12" s="1663"/>
      <c r="I12" s="222"/>
      <c r="J12" s="222"/>
      <c r="K12" s="221"/>
      <c r="O12" s="46"/>
      <c r="P12" s="46"/>
      <c r="Q12" s="46"/>
      <c r="S12" s="382" t="s">
        <v>829</v>
      </c>
      <c r="T12" s="383">
        <f>VLOOKUP($U12,'2015 Annual Sales and Revenue '!$B$3:$H$29,7,FALSE)</f>
        <v>0.12367251667321955</v>
      </c>
      <c r="U12" s="438" t="s">
        <v>1154</v>
      </c>
      <c r="AB12" s="46"/>
      <c r="AC12" s="46"/>
      <c r="AD12" s="46"/>
      <c r="AE12" s="46"/>
      <c r="AJ12" s="46"/>
      <c r="AK12" s="46"/>
      <c r="AL12" s="46"/>
      <c r="AM12" s="46"/>
      <c r="AS12" s="396"/>
      <c r="AT12" s="396"/>
    </row>
    <row r="13" spans="1:46" s="24" customFormat="1" ht="15" customHeight="1">
      <c r="A13" s="220" t="s">
        <v>127</v>
      </c>
      <c r="B13" s="219"/>
      <c r="C13" s="219"/>
      <c r="D13" s="218"/>
      <c r="F13" s="1669" t="s">
        <v>126</v>
      </c>
      <c r="G13" s="1647"/>
      <c r="H13" s="1648"/>
      <c r="I13" s="217">
        <f>K27</f>
        <v>0</v>
      </c>
      <c r="J13" s="217">
        <f>L27</f>
        <v>0</v>
      </c>
      <c r="K13" s="216">
        <f>M27</f>
        <v>0</v>
      </c>
      <c r="O13" s="24"/>
      <c r="P13" s="24"/>
      <c r="Q13" s="24"/>
      <c r="S13" s="382" t="s">
        <v>856</v>
      </c>
      <c r="T13" s="383">
        <f>VLOOKUP($U13,'2015 Annual Sales and Revenue '!$B$3:$H$29,7,FALSE)</f>
        <v>0.097031955071334622</v>
      </c>
      <c r="U13" s="438" t="s">
        <v>1155</v>
      </c>
      <c r="AB13" s="24"/>
      <c r="AC13" s="24"/>
      <c r="AD13" s="24"/>
      <c r="AE13" s="24"/>
      <c r="AJ13" s="24"/>
      <c r="AK13" s="24"/>
      <c r="AL13" s="24"/>
      <c r="AM13" s="24"/>
      <c r="AS13" s="395"/>
      <c r="AT13" s="395"/>
    </row>
    <row r="14" spans="1:42" s="24" customFormat="1" ht="15" customHeight="1" thickBot="1">
      <c r="A14" s="215" t="s">
        <v>126</v>
      </c>
      <c r="B14" s="214">
        <f>C27</f>
        <v>0</v>
      </c>
      <c r="C14" s="213">
        <f>D27</f>
        <v>0</v>
      </c>
      <c r="D14" s="212">
        <f>SUM(B14:C14)</f>
        <v>0</v>
      </c>
      <c r="F14" s="1670" t="s">
        <v>125</v>
      </c>
      <c r="G14" s="1671"/>
      <c r="H14" s="1672"/>
      <c r="I14" s="211">
        <f>K36</f>
        <v>0</v>
      </c>
      <c r="J14" s="211">
        <f>L36</f>
        <v>0</v>
      </c>
      <c r="K14" s="210">
        <f>M36</f>
        <v>0</v>
      </c>
      <c r="O14" s="24"/>
      <c r="P14" s="24"/>
      <c r="Q14" s="24"/>
      <c r="AB14" s="24"/>
      <c r="AC14" s="24"/>
      <c r="AD14" s="24"/>
      <c r="AE14" s="24"/>
      <c r="AJ14" s="24"/>
      <c r="AK14" s="24"/>
      <c r="AL14" s="24"/>
      <c r="AM14" s="24"/>
      <c r="AO14" s="395"/>
      <c r="AP14" s="395"/>
    </row>
    <row r="15" spans="1:42" s="24" customFormat="1" ht="15" customHeight="1" thickBot="1">
      <c r="A15" s="209" t="s">
        <v>124</v>
      </c>
      <c r="B15" s="208">
        <f>C37</f>
        <v>0</v>
      </c>
      <c r="C15" s="207">
        <f>D37</f>
        <v>0</v>
      </c>
      <c r="D15" s="206">
        <f>SUM(B15:C15)</f>
        <v>0</v>
      </c>
      <c r="F15" s="1706" t="s">
        <v>123</v>
      </c>
      <c r="G15" s="1707"/>
      <c r="H15" s="1708"/>
      <c r="I15" s="205">
        <f>SUM(I13:I14)</f>
        <v>0</v>
      </c>
      <c r="J15" s="205">
        <f>SUM(J13:J14)</f>
        <v>0</v>
      </c>
      <c r="K15" s="204">
        <f>SUM(K13:K14)</f>
        <v>0</v>
      </c>
      <c r="O15" s="24"/>
      <c r="P15" s="24"/>
      <c r="Q15" s="24"/>
      <c r="AB15" s="24"/>
      <c r="AC15" s="24"/>
      <c r="AD15" s="24"/>
      <c r="AE15" s="24"/>
      <c r="AJ15" s="24"/>
      <c r="AK15" s="24"/>
      <c r="AL15" s="24"/>
      <c r="AM15" s="24"/>
      <c r="AO15" s="395"/>
      <c r="AP15" s="395"/>
    </row>
    <row r="16" spans="1:46" s="24" customFormat="1" ht="15" customHeight="1" thickBot="1">
      <c r="A16" s="203" t="s">
        <v>123</v>
      </c>
      <c r="B16" s="202">
        <f>SUM(B14:B15)</f>
        <v>0</v>
      </c>
      <c r="C16" s="202">
        <f>SUM(C14:C15)</f>
        <v>0</v>
      </c>
      <c r="D16" s="201">
        <f>SUM(D14:D15)</f>
        <v>0</v>
      </c>
      <c r="F16" s="1762" t="s">
        <v>825</v>
      </c>
      <c r="G16" s="1763"/>
      <c r="H16" s="1764"/>
      <c r="I16" s="200">
        <f>SUM(I11,I15)</f>
        <v>970.23473219360721</v>
      </c>
      <c r="J16" s="200">
        <f>SUM(J11,J15)</f>
        <v>1755.1868345936073</v>
      </c>
      <c r="K16" s="199">
        <f>SUM(K11,K15)</f>
        <v>17177.161316731515</v>
      </c>
      <c r="O16" s="24"/>
      <c r="P16" s="24"/>
      <c r="Q16" s="24"/>
      <c r="AB16" s="24"/>
      <c r="AC16" s="24"/>
      <c r="AD16" s="24"/>
      <c r="AE16" s="24"/>
      <c r="AJ16" s="24"/>
      <c r="AK16" s="24"/>
      <c r="AL16" s="24"/>
      <c r="AM16" s="24"/>
      <c r="AS16" s="395"/>
      <c r="AT16" s="395"/>
    </row>
    <row r="17" spans="1:46" s="24" customFormat="1" ht="15" customHeight="1" thickBot="1">
      <c r="A17" s="198" t="s">
        <v>825</v>
      </c>
      <c r="B17" s="197">
        <f>SUM(B12,B16)</f>
        <v>0</v>
      </c>
      <c r="C17" s="197">
        <f>SUM(C12,C16)</f>
        <v>1847</v>
      </c>
      <c r="D17" s="196">
        <f>SUM(D12,D16)</f>
        <v>1847</v>
      </c>
      <c r="O17" s="24"/>
      <c r="P17" s="24"/>
      <c r="Q17" s="24"/>
      <c r="AB17" s="24"/>
      <c r="AC17" s="24"/>
      <c r="AD17" s="24"/>
      <c r="AE17" s="24"/>
      <c r="AJ17" s="24"/>
      <c r="AK17" s="24"/>
      <c r="AL17" s="24"/>
      <c r="AM17" s="24"/>
      <c r="AS17" s="395"/>
      <c r="AT17" s="395"/>
    </row>
    <row r="18" spans="1:46" s="24" customFormat="1" ht="15" customHeight="1" thickBot="1">
      <c r="A18" s="195"/>
      <c r="B18" s="195"/>
      <c r="C18" s="194"/>
      <c r="D18" s="194"/>
      <c r="E18" s="194"/>
      <c r="F18" s="194"/>
      <c r="G18" s="194"/>
      <c r="H18" s="194"/>
      <c r="I18" s="194"/>
      <c r="J18" s="194"/>
      <c r="K18" s="194"/>
      <c r="O18" s="24"/>
      <c r="P18" s="24"/>
      <c r="Q18" s="24"/>
      <c r="AB18" s="1627" t="s">
        <v>1161</v>
      </c>
      <c r="AC18" s="1627"/>
      <c r="AD18" s="1627"/>
      <c r="AE18" s="1627"/>
      <c r="AJ18" s="1627" t="s">
        <v>1161</v>
      </c>
      <c r="AK18" s="1627"/>
      <c r="AL18" s="1627"/>
      <c r="AM18" s="1627"/>
      <c r="AS18" s="395"/>
      <c r="AT18" s="395"/>
    </row>
    <row r="19" spans="1:45" ht="37.5" customHeight="1" thickBot="1">
      <c r="A19" s="1699" t="s">
        <v>122</v>
      </c>
      <c r="B19" s="1699"/>
      <c r="C19" s="1699"/>
      <c r="D19" s="1699"/>
      <c r="E19" s="1699"/>
      <c r="F19" s="1699"/>
      <c r="G19" s="1699"/>
      <c r="H19" s="1699"/>
      <c r="I19" s="1699"/>
      <c r="J19" s="1699"/>
      <c r="K19" s="1699"/>
      <c r="L19" s="1699"/>
      <c r="M19" s="1699"/>
      <c r="N19" s="1699"/>
      <c r="S19" s="1703" t="s">
        <v>855</v>
      </c>
      <c r="T19" s="1704"/>
      <c r="U19" s="1704"/>
      <c r="V19" s="1704"/>
      <c r="W19" s="1704"/>
      <c r="X19" s="1704"/>
      <c r="Y19" s="1704"/>
      <c r="Z19" s="1704"/>
      <c r="AA19" s="1704"/>
      <c r="AB19" s="1704" t="s">
        <v>854</v>
      </c>
      <c r="AC19" s="1704"/>
      <c r="AD19" s="1704"/>
      <c r="AE19" s="1704"/>
      <c r="AF19" s="1704"/>
      <c r="AG19" s="1704"/>
      <c r="AH19" s="1704"/>
      <c r="AI19" s="1704"/>
      <c r="AJ19" s="1704"/>
      <c r="AK19" s="1704"/>
      <c r="AL19" s="1704"/>
      <c r="AM19" s="1704"/>
      <c r="AN19" s="1704"/>
      <c r="AO19" s="1704"/>
      <c r="AP19" s="1704"/>
      <c r="AQ19" s="1705"/>
      <c r="AR19" s="291"/>
      <c r="AS19" s="46"/>
    </row>
    <row r="20" spans="1:47" ht="15.6">
      <c r="A20" s="1438"/>
      <c r="B20" s="1438"/>
      <c r="C20" s="1765" t="s">
        <v>121</v>
      </c>
      <c r="D20" s="1765"/>
      <c r="E20" s="1765"/>
      <c r="F20" s="1765" t="s">
        <v>120</v>
      </c>
      <c r="G20" s="1765"/>
      <c r="H20" s="1765"/>
      <c r="I20" s="1765"/>
      <c r="J20" s="1765"/>
      <c r="K20" s="1765"/>
      <c r="L20" s="1765"/>
      <c r="M20" s="1440"/>
      <c r="N20" s="1440"/>
      <c r="S20" s="1688"/>
      <c r="T20" s="1689"/>
      <c r="U20" s="1689"/>
      <c r="V20" s="1689"/>
      <c r="W20" s="1689"/>
      <c r="X20" s="1689"/>
      <c r="Y20" s="1689"/>
      <c r="Z20" s="1689"/>
      <c r="AA20" s="1689"/>
      <c r="AB20" s="1690" t="s">
        <v>853</v>
      </c>
      <c r="AC20" s="1690"/>
      <c r="AD20" s="1690"/>
      <c r="AE20" s="1690"/>
      <c r="AF20" s="1690" t="s">
        <v>852</v>
      </c>
      <c r="AG20" s="1690"/>
      <c r="AH20" s="1690"/>
      <c r="AI20" s="1690"/>
      <c r="AJ20" s="1690" t="s">
        <v>851</v>
      </c>
      <c r="AK20" s="1690"/>
      <c r="AL20" s="1690"/>
      <c r="AM20" s="1690"/>
      <c r="AN20" s="1690" t="s">
        <v>850</v>
      </c>
      <c r="AO20" s="1690"/>
      <c r="AP20" s="1690"/>
      <c r="AQ20" s="1693"/>
      <c r="AR20" s="291"/>
      <c r="AS20" s="1694" t="s">
        <v>849</v>
      </c>
      <c r="AT20" s="1695"/>
      <c r="AU20" s="408" t="s">
        <v>858</v>
      </c>
    </row>
    <row r="21" spans="1:47" ht="62.4">
      <c r="A21" s="434" t="s">
        <v>119</v>
      </c>
      <c r="B21" s="1346" t="s">
        <v>89</v>
      </c>
      <c r="C21" s="434" t="s">
        <v>88</v>
      </c>
      <c r="D21" s="1346" t="s">
        <v>87</v>
      </c>
      <c r="E21" s="434" t="s">
        <v>86</v>
      </c>
      <c r="F21" s="434" t="s">
        <v>85</v>
      </c>
      <c r="G21" s="434" t="s">
        <v>84</v>
      </c>
      <c r="H21" s="434" t="s">
        <v>97</v>
      </c>
      <c r="I21" s="434" t="s">
        <v>82</v>
      </c>
      <c r="J21" s="434" t="s">
        <v>96</v>
      </c>
      <c r="K21" s="434" t="s">
        <v>80</v>
      </c>
      <c r="L21" s="434" t="s">
        <v>79</v>
      </c>
      <c r="M21" s="434" t="s">
        <v>95</v>
      </c>
      <c r="N21" s="1346" t="s">
        <v>78</v>
      </c>
      <c r="P21" s="183" t="str">
        <f>K21&amp;" Weighting"</f>
        <v>Total Annual MWh Weighting</v>
      </c>
      <c r="Q21" s="183"/>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291"/>
      <c r="AS21" s="397" t="s">
        <v>791</v>
      </c>
      <c r="AT21" s="386" t="s">
        <v>1164</v>
      </c>
      <c r="AU21" s="398" t="s">
        <v>752</v>
      </c>
    </row>
    <row r="22" spans="1:47" ht="15.6">
      <c r="A22" s="1472" t="s">
        <v>807</v>
      </c>
      <c r="B22" s="1473" t="s">
        <v>117</v>
      </c>
      <c r="C22" s="1467">
        <v>0</v>
      </c>
      <c r="D22" s="1467">
        <v>1847</v>
      </c>
      <c r="E22" s="1467">
        <f>SUM(C22:D22)</f>
        <v>1847</v>
      </c>
      <c r="F22" s="1474" t="s">
        <v>116</v>
      </c>
      <c r="G22" s="1349">
        <v>200</v>
      </c>
      <c r="H22" s="175">
        <f>'10W LED Giveaway Savings'!$D$14</f>
        <v>27.962927999999998</v>
      </c>
      <c r="I22" s="181">
        <f>'10W LED Giveaway Savings'!$D$16</f>
        <v>0.0032465836575875486</v>
      </c>
      <c r="J22" s="175">
        <f>'10W LED Giveaway Savings'!$D$13</f>
        <v>20</v>
      </c>
      <c r="K22" s="1356">
        <f>(G22*H22)/1000</f>
        <v>5.5925855999999996</v>
      </c>
      <c r="L22" s="1356">
        <f>J22*K22</f>
        <v>111.85171199999999</v>
      </c>
      <c r="M22" s="176">
        <f>G22*I22</f>
        <v>0.64931673151750968</v>
      </c>
      <c r="N22" s="1573"/>
      <c r="P22" s="162">
        <f>K22/$K$23</f>
        <v>1</v>
      </c>
      <c r="Q22" s="162"/>
      <c r="S22" s="399">
        <f>IFERROR(IF(G22/$G$23=0,0,G22/$G$23),"")</f>
        <v>1</v>
      </c>
      <c r="T22" s="393" t="s">
        <v>836</v>
      </c>
      <c r="U22" s="393" t="s">
        <v>835</v>
      </c>
      <c r="V22" s="394">
        <v>0.90</v>
      </c>
      <c r="W22" s="392">
        <f>IF($H22*$T$12=0,"",$H22*$T$12)</f>
        <v>3.4582456793120375</v>
      </c>
      <c r="X22" s="392">
        <f>IFERROR($W22*((1+$T$9)/(1+$T$8)*(1-((1+$T$9)/(1+$T$8))^$J22)/(1-((1+$T$9)/(1+$T$8)))),"")</f>
        <v>39.665805496152736</v>
      </c>
      <c r="Y22" s="391">
        <f>IFERROR(D22/G22,"")</f>
        <v>9.2349999999999994</v>
      </c>
      <c r="Z22" s="437">
        <v>5</v>
      </c>
      <c r="AA22" s="390"/>
      <c r="AB22" s="437">
        <f>IFERROR(($AS22*$H22*$V22*((1+$T$11)/(1+$T$8)*(1-((1+$T$11)/(1+$T$8))^$J22)/(1-((1+$T$11)/(1+$T$8)))))+($AT$22*$I22),"")</f>
        <v>16.486134392744322</v>
      </c>
      <c r="AC22" s="437">
        <f>IFERROR((SUM($C22)/$G22)+($Z22*$V22),"")</f>
        <v>4.50</v>
      </c>
      <c r="AD22" s="388">
        <f>IFERROR(IF(AB22="","",AB22-AC22),"")</f>
        <v>11.986134392744322</v>
      </c>
      <c r="AE22" s="387">
        <f>IFERROR(AB22/AC22,"")</f>
        <v>3.6635854206098495</v>
      </c>
      <c r="AF22" s="437">
        <f>IFERROR(($AS22*$H22*$V22*((1+$T$11)/(1+$T$8)*(1-((1+$T$11)/(1+$T$8))^$J22)/(1-((1+$T$11)/(1+$T$8)))))+($AT22*$I22),"")</f>
        <v>16.486134392744322</v>
      </c>
      <c r="AG22" s="388">
        <f>IFERROR(-PV($T$8,1,($E22/$G22)),"")</f>
        <v>8.7122641509434029</v>
      </c>
      <c r="AH22" s="388">
        <f>IFERROR(IF(AF22="","",AF22-AG22),"")</f>
        <v>7.7738702418009193</v>
      </c>
      <c r="AI22" s="387">
        <f>IFERROR(AF22/AG22,"")</f>
        <v>1.8922904663030826</v>
      </c>
      <c r="AJ22" s="388">
        <f>IFERROR(-PV($T$8,$J22,$W22)+($Y22),"")</f>
        <v>48.900805496152778</v>
      </c>
      <c r="AK22" s="388">
        <f>IF(Z22="","",Z22)</f>
        <v>5</v>
      </c>
      <c r="AL22" s="388">
        <f>IFERROR(IF(AJ22="","",AJ22-AK22),"")</f>
        <v>43.900805496152778</v>
      </c>
      <c r="AM22" s="387">
        <f>IFERROR(AJ22/AK22,"")</f>
        <v>9.7801610992305559</v>
      </c>
      <c r="AN22" s="388">
        <f>IFERROR(($AS22*$H22*$V22*((1+$T$11)/(1+$T$8)*(1-((1+$T$11)/(1+$T$8))^$J22)/(1-((1+$T$11)/(1+$T$8)))))+($AT22*$I22),"")</f>
        <v>16.486134392744322</v>
      </c>
      <c r="AO22" s="389">
        <f>IFERROR((SUM($C22)/$G22)+X22+Y22,"")</f>
        <v>48.900805496152735</v>
      </c>
      <c r="AP22" s="388">
        <f>IFERROR(IF(AN22="","",AN22-AO22),"")</f>
        <v>-32.414671103408409</v>
      </c>
      <c r="AQ22" s="400">
        <f>IFERROR(AN22/AO22,"")</f>
        <v>0.33713420925226611</v>
      </c>
      <c r="AR22" s="291"/>
      <c r="AS22" s="409">
        <f>IFERROR(VLOOKUP(ROUND($J22,0),'Seminole Avoided Cost'!$B$15:$Y$41,8,FALSE),"")</f>
        <v>0.055449999999999999</v>
      </c>
      <c r="AT22" s="439">
        <f>IFERROR(VLOOKUP(ROUND($J22,0),'Seminole Avoided Cost'!$B$15:$Y$41,24,FALSE),"")</f>
        <v>147.83999999999998</v>
      </c>
      <c r="AU22" s="410">
        <f>IFERROR(SUM(C22)/G22,"")</f>
        <v>0</v>
      </c>
    </row>
    <row r="23" spans="1:47" ht="22.5" customHeight="1" thickBot="1">
      <c r="A23" s="1442" t="s">
        <v>103</v>
      </c>
      <c r="B23" s="1442"/>
      <c r="C23" s="1446">
        <f>SUM(C22:C22)</f>
        <v>0</v>
      </c>
      <c r="D23" s="1446">
        <f>SUM(D22:D22)</f>
        <v>1847</v>
      </c>
      <c r="E23" s="1446">
        <f>SUM(E22:E22)</f>
        <v>1847</v>
      </c>
      <c r="F23" s="1438" t="s">
        <v>76</v>
      </c>
      <c r="G23" s="1442">
        <f>SUM(G22:G22)</f>
        <v>200</v>
      </c>
      <c r="H23" s="1455">
        <f t="shared" si="0" ref="H23:I23">SUM(H22:H22)</f>
        <v>27.962927999999998</v>
      </c>
      <c r="I23" s="1453">
        <f t="shared" si="0"/>
        <v>0.0032465836575875486</v>
      </c>
      <c r="J23" s="1447">
        <f>SUMPRODUCT(J22,P22)</f>
        <v>20</v>
      </c>
      <c r="K23" s="1452">
        <f>SUM(K22)</f>
        <v>5.5925855999999996</v>
      </c>
      <c r="L23" s="1452">
        <f>SUM(L22:L22)</f>
        <v>111.85171199999999</v>
      </c>
      <c r="M23" s="1447">
        <f>SUM(M22:M22)</f>
        <v>0.64931673151750968</v>
      </c>
      <c r="N23" s="1449"/>
      <c r="P23" s="348">
        <f>SUM(P22)</f>
        <v>1</v>
      </c>
      <c r="Q23" s="348"/>
      <c r="S23" s="401">
        <f>SUM(S22)</f>
        <v>1</v>
      </c>
      <c r="T23" s="402"/>
      <c r="U23" s="402"/>
      <c r="V23" s="402"/>
      <c r="W23" s="403"/>
      <c r="X23" s="403"/>
      <c r="Y23" s="403"/>
      <c r="Z23" s="404"/>
      <c r="AA23" s="405"/>
      <c r="AB23" s="404">
        <f>SUMPRODUCT(AB$22,$S$22:$S$22)</f>
        <v>16.486134392744322</v>
      </c>
      <c r="AC23" s="404">
        <f>SUMPRODUCT(AC$22:AC$22,$S$22:$S$22)</f>
        <v>4.50</v>
      </c>
      <c r="AD23" s="404">
        <f>SUMPRODUCT(AD$22:AD$22,$S$22:$S$22)</f>
        <v>11.986134392744322</v>
      </c>
      <c r="AE23" s="406">
        <f>IFERROR(AB23/AC23,"")</f>
        <v>3.6635854206098495</v>
      </c>
      <c r="AF23" s="404">
        <f>SUMPRODUCT(AF$22:AF$22,$S$22:$S$22)</f>
        <v>16.486134392744322</v>
      </c>
      <c r="AG23" s="404">
        <f>SUMPRODUCT(AG$22:AG$22,$S$22:$S$22)</f>
        <v>8.7122641509434029</v>
      </c>
      <c r="AH23" s="404">
        <f>SUMPRODUCT(AH$22:AH$22,$S$22:$S$22)</f>
        <v>7.7738702418009193</v>
      </c>
      <c r="AI23" s="406">
        <f>IFERROR(AF23/AG23,"")</f>
        <v>1.8922904663030826</v>
      </c>
      <c r="AJ23" s="404">
        <f>SUMPRODUCT(AJ$22:AJ$22,$S$22:$S$22)</f>
        <v>48.900805496152778</v>
      </c>
      <c r="AK23" s="404">
        <f>SUMPRODUCT(AK$22:AK$22,$S$22:$S$22)</f>
        <v>5</v>
      </c>
      <c r="AL23" s="404">
        <f>SUMPRODUCT(AL$22:AL$22,$S$22:$S$22)</f>
        <v>43.900805496152778</v>
      </c>
      <c r="AM23" s="406">
        <f>IFERROR(AJ23/AK23,"")</f>
        <v>9.7801610992305559</v>
      </c>
      <c r="AN23" s="404">
        <f>SUMPRODUCT(AN$22:AN$22,$S$22:$S$22)</f>
        <v>16.486134392744322</v>
      </c>
      <c r="AO23" s="404">
        <f>SUMPRODUCT(AO$22:AO$22,$S$22:$S$22)</f>
        <v>48.900805496152735</v>
      </c>
      <c r="AP23" s="404">
        <f>SUMPRODUCT(AP$22:AP$22,$S$22:$S$22)</f>
        <v>-32.414671103408409</v>
      </c>
      <c r="AQ23" s="407">
        <f>IFERROR(AN23/AO23,"")</f>
        <v>0.33713420925226611</v>
      </c>
      <c r="AR23" s="291"/>
      <c r="AS23" s="411">
        <f>IFERROR(VLOOKUP(ROUND($J23,0),'Seminole Avoided Cost'!$B$15:$Y$41,8,FALSE),"")</f>
        <v>0.055449999999999999</v>
      </c>
      <c r="AT23" s="491">
        <f>IFERROR(VLOOKUP(ROUND($J23,0),'Seminole Avoided Cost'!$B$15:$Y$41,24,FALSE),"")</f>
        <v>147.83999999999998</v>
      </c>
      <c r="AU23" s="412">
        <f>IFERROR(SUM(C23)/G23,"")</f>
        <v>0</v>
      </c>
    </row>
    <row r="24" spans="1:17" ht="17.25" customHeight="1" thickBot="1">
      <c r="A24" s="380"/>
      <c r="B24" s="379"/>
      <c r="C24" s="378"/>
      <c r="D24" s="378"/>
      <c r="E24" s="378"/>
      <c r="F24" s="378"/>
      <c r="G24" s="378"/>
      <c r="H24" s="378"/>
      <c r="I24" s="378"/>
      <c r="J24" s="378"/>
      <c r="K24" s="378"/>
      <c r="L24" s="378"/>
      <c r="M24" s="378"/>
      <c r="N24" s="1572"/>
    </row>
    <row r="25" spans="1:17" ht="63" thickBot="1">
      <c r="A25" s="130" t="s">
        <v>99</v>
      </c>
      <c r="B25" s="128" t="s">
        <v>89</v>
      </c>
      <c r="C25" s="107" t="s">
        <v>88</v>
      </c>
      <c r="D25" s="106" t="s">
        <v>87</v>
      </c>
      <c r="E25" s="105" t="s">
        <v>86</v>
      </c>
      <c r="F25" s="185" t="s">
        <v>85</v>
      </c>
      <c r="G25" s="185" t="s">
        <v>98</v>
      </c>
      <c r="H25" s="185" t="s">
        <v>97</v>
      </c>
      <c r="I25" s="185" t="s">
        <v>82</v>
      </c>
      <c r="J25" s="185" t="s">
        <v>96</v>
      </c>
      <c r="K25" s="152" t="s">
        <v>80</v>
      </c>
      <c r="L25" s="152" t="s">
        <v>79</v>
      </c>
      <c r="M25" s="152" t="s">
        <v>95</v>
      </c>
      <c r="N25" s="125" t="s">
        <v>78</v>
      </c>
    </row>
    <row r="26" spans="1:17" ht="16.8" thickTop="1" thickBot="1">
      <c r="A26" s="102"/>
      <c r="B26" s="323"/>
      <c r="C26" s="100">
        <v>0</v>
      </c>
      <c r="D26" s="169">
        <v>0</v>
      </c>
      <c r="E26" s="320">
        <f>SUM(C26:C26)</f>
        <v>0</v>
      </c>
      <c r="F26" s="167"/>
      <c r="G26" s="166">
        <v>0</v>
      </c>
      <c r="H26" s="318"/>
      <c r="I26" s="318"/>
      <c r="J26" s="318"/>
      <c r="K26" s="176">
        <f>(G26*H26)/1000</f>
        <v>0</v>
      </c>
      <c r="L26" s="176">
        <f>J26*K26</f>
        <v>0</v>
      </c>
      <c r="M26" s="176">
        <f>G26*I26</f>
        <v>0</v>
      </c>
      <c r="N26" s="316"/>
    </row>
    <row r="27" spans="1:46" s="24" customFormat="1" ht="22.5" customHeight="1" thickTop="1" thickBot="1">
      <c r="A27" s="321" t="s">
        <v>102</v>
      </c>
      <c r="B27" s="97"/>
      <c r="C27" s="96">
        <f>SUM(C26)</f>
        <v>0</v>
      </c>
      <c r="D27" s="96">
        <f>SUM(D26)</f>
        <v>0</v>
      </c>
      <c r="E27" s="96">
        <f>SUM(E26)</f>
        <v>0</v>
      </c>
      <c r="F27" s="95" t="s">
        <v>76</v>
      </c>
      <c r="G27" s="315">
        <f>SUM(G26)</f>
        <v>0</v>
      </c>
      <c r="H27" s="113"/>
      <c r="I27" s="113"/>
      <c r="J27" s="113"/>
      <c r="K27" s="112">
        <f>SUM(K26)</f>
        <v>0</v>
      </c>
      <c r="L27" s="112">
        <f>SUM(L26)</f>
        <v>0</v>
      </c>
      <c r="M27" s="112">
        <f>SUM(M26)</f>
        <v>0</v>
      </c>
      <c r="N27" s="158"/>
      <c r="O27" s="24"/>
      <c r="Q27" s="24"/>
      <c r="AS27" s="395"/>
      <c r="AT27" s="395"/>
    </row>
    <row r="28" spans="1:46" s="24" customFormat="1" ht="22.5" customHeight="1">
      <c r="A28" s="133"/>
      <c r="B28" s="133"/>
      <c r="C28" s="133"/>
      <c r="D28" s="133"/>
      <c r="E28" s="133"/>
      <c r="F28" s="133"/>
      <c r="G28" s="133"/>
      <c r="H28" s="133"/>
      <c r="I28" s="133"/>
      <c r="J28" s="133"/>
      <c r="K28" s="133"/>
      <c r="L28" s="133"/>
      <c r="M28" s="133"/>
      <c r="N28" s="133"/>
      <c r="O28" s="24"/>
      <c r="Q28" s="24"/>
      <c r="AS28" s="395"/>
      <c r="AT28" s="395"/>
    </row>
    <row r="29" spans="1:17" ht="37.5" customHeight="1">
      <c r="A29" s="1766" t="s">
        <v>101</v>
      </c>
      <c r="B29" s="1766"/>
      <c r="C29" s="1766"/>
      <c r="D29" s="1766"/>
      <c r="E29" s="1766"/>
      <c r="F29" s="1766"/>
      <c r="G29" s="1766"/>
      <c r="H29" s="1766"/>
      <c r="I29" s="1766"/>
      <c r="J29" s="1766"/>
      <c r="K29" s="1766"/>
      <c r="L29" s="1766"/>
      <c r="M29" s="1766"/>
      <c r="N29" s="1766"/>
    </row>
    <row r="30" spans="1:17" ht="62.4">
      <c r="A30" s="434" t="s">
        <v>90</v>
      </c>
      <c r="B30" s="434" t="s">
        <v>89</v>
      </c>
      <c r="C30" s="434" t="s">
        <v>88</v>
      </c>
      <c r="D30" s="1346" t="s">
        <v>87</v>
      </c>
      <c r="E30" s="434" t="s">
        <v>86</v>
      </c>
      <c r="F30" s="434" t="s">
        <v>85</v>
      </c>
      <c r="G30" s="434" t="s">
        <v>84</v>
      </c>
      <c r="H30" s="434" t="s">
        <v>97</v>
      </c>
      <c r="I30" s="434" t="s">
        <v>82</v>
      </c>
      <c r="J30" s="434" t="s">
        <v>96</v>
      </c>
      <c r="K30" s="434" t="s">
        <v>80</v>
      </c>
      <c r="L30" s="434" t="s">
        <v>79</v>
      </c>
      <c r="M30" s="434" t="s">
        <v>95</v>
      </c>
      <c r="N30" s="434" t="s">
        <v>78</v>
      </c>
    </row>
    <row r="31" spans="1:17" ht="31.2">
      <c r="A31" s="1468" t="s">
        <v>707</v>
      </c>
      <c r="B31" s="1464" t="s">
        <v>1440</v>
      </c>
      <c r="C31" s="1348">
        <v>0</v>
      </c>
      <c r="D31" s="1348">
        <v>0</v>
      </c>
      <c r="E31" s="1348">
        <f>SUM(C31:C31)</f>
        <v>0</v>
      </c>
      <c r="F31" s="318" t="s">
        <v>116</v>
      </c>
      <c r="G31" s="1469">
        <v>15</v>
      </c>
      <c r="H31" s="319">
        <f>'316W Streetlight'!$E$24-'316W Streetlight'!$E$51</f>
        <v>3169.7120000000004</v>
      </c>
      <c r="I31" s="318">
        <v>0</v>
      </c>
      <c r="J31" s="317">
        <f>'316W Streetlight'!$E$40</f>
        <v>12.367054167697255</v>
      </c>
      <c r="K31" s="1575">
        <f>(G31*H31)/1000</f>
        <v>47.545680000000004</v>
      </c>
      <c r="L31" s="1575">
        <f>J31*K31</f>
        <v>588.00000000000011</v>
      </c>
      <c r="M31" s="164">
        <f>G31*I31</f>
        <v>0</v>
      </c>
      <c r="N31" s="1445" t="s">
        <v>705</v>
      </c>
    </row>
    <row r="32" spans="1:17" ht="31.2">
      <c r="A32" s="1468" t="s">
        <v>707</v>
      </c>
      <c r="B32" s="1464" t="s">
        <v>1441</v>
      </c>
      <c r="C32" s="1348">
        <v>0</v>
      </c>
      <c r="D32" s="1348">
        <v>0</v>
      </c>
      <c r="E32" s="1348">
        <f>SUM(C32:C32)</f>
        <v>0</v>
      </c>
      <c r="F32" s="318" t="s">
        <v>116</v>
      </c>
      <c r="G32" s="1469">
        <v>16</v>
      </c>
      <c r="H32" s="319">
        <f>'107W Streetlight'!$E$24-'107W Streetlight'!$E$51</f>
        <v>760.08399999999995</v>
      </c>
      <c r="I32" s="318">
        <v>0</v>
      </c>
      <c r="J32" s="317">
        <f>'107W Streetlight'!$E$40</f>
        <v>12.367054167697255</v>
      </c>
      <c r="K32" s="1575">
        <f>(G32*H32)/1000</f>
        <v>12.161344</v>
      </c>
      <c r="L32" s="1575">
        <f>J32*K32</f>
        <v>150.40</v>
      </c>
      <c r="M32" s="164">
        <f>G32*I32</f>
        <v>0</v>
      </c>
      <c r="N32" s="1445" t="s">
        <v>705</v>
      </c>
    </row>
    <row r="33" spans="1:17" ht="22.5" customHeight="1">
      <c r="A33" s="1442" t="s">
        <v>100</v>
      </c>
      <c r="B33" s="1441"/>
      <c r="C33" s="1446">
        <f>SUM(C31:C32)</f>
        <v>0</v>
      </c>
      <c r="D33" s="1446">
        <f>SUM(D31:D32)</f>
        <v>0</v>
      </c>
      <c r="E33" s="1446">
        <f>SUM(E31:E32)</f>
        <v>0</v>
      </c>
      <c r="F33" s="1438" t="s">
        <v>76</v>
      </c>
      <c r="G33" s="1455">
        <f>SUM(G31:G32)</f>
        <v>31</v>
      </c>
      <c r="H33" s="1455">
        <f t="shared" si="1" ref="H33:J33">SUM(H31:H32)</f>
        <v>3929.7960000000003</v>
      </c>
      <c r="I33" s="1455">
        <f t="shared" si="1"/>
        <v>0</v>
      </c>
      <c r="J33" s="1455">
        <f t="shared" si="1"/>
        <v>24.734108335394509</v>
      </c>
      <c r="K33" s="1577">
        <f>SUM(K31:K32)</f>
        <v>59.707024000000004</v>
      </c>
      <c r="L33" s="1577">
        <f>SUM(L31:L32)</f>
        <v>738.40000000000009</v>
      </c>
      <c r="M33" s="1546">
        <f>SUM(M31:M32)</f>
        <v>0</v>
      </c>
      <c r="N33" s="1449"/>
    </row>
    <row r="34" spans="1:46" s="24" customFormat="1" ht="22.5" customHeight="1" thickBot="1">
      <c r="A34" s="137"/>
      <c r="B34" s="133"/>
      <c r="C34" s="135"/>
      <c r="D34" s="135"/>
      <c r="E34" s="135"/>
      <c r="F34" s="134"/>
      <c r="G34" s="133"/>
      <c r="H34" s="133"/>
      <c r="I34" s="133"/>
      <c r="J34" s="133"/>
      <c r="K34" s="132"/>
      <c r="L34" s="132"/>
      <c r="M34" s="132"/>
      <c r="N34" s="1576"/>
      <c r="O34" s="24"/>
      <c r="Q34" s="24"/>
      <c r="AS34" s="395"/>
      <c r="AT34" s="395"/>
    </row>
    <row r="35" spans="1:17" ht="63" thickBot="1">
      <c r="A35" s="130" t="s">
        <v>99</v>
      </c>
      <c r="B35" s="128" t="s">
        <v>89</v>
      </c>
      <c r="C35" s="129" t="s">
        <v>88</v>
      </c>
      <c r="D35" s="128" t="s">
        <v>87</v>
      </c>
      <c r="E35" s="127" t="s">
        <v>86</v>
      </c>
      <c r="F35" s="152" t="s">
        <v>85</v>
      </c>
      <c r="G35" s="152" t="s">
        <v>98</v>
      </c>
      <c r="H35" s="152" t="s">
        <v>97</v>
      </c>
      <c r="I35" s="152" t="s">
        <v>82</v>
      </c>
      <c r="J35" s="152" t="s">
        <v>96</v>
      </c>
      <c r="K35" s="152" t="s">
        <v>80</v>
      </c>
      <c r="L35" s="152" t="s">
        <v>79</v>
      </c>
      <c r="M35" s="152" t="s">
        <v>95</v>
      </c>
      <c r="N35" s="125" t="s">
        <v>78</v>
      </c>
    </row>
    <row r="36" spans="1:17" ht="16.8" thickTop="1" thickBot="1">
      <c r="A36" s="102"/>
      <c r="B36" s="323"/>
      <c r="C36" s="100">
        <v>0</v>
      </c>
      <c r="D36" s="169">
        <v>0</v>
      </c>
      <c r="E36" s="327">
        <f>SUM(C36:D36)</f>
        <v>0</v>
      </c>
      <c r="F36" s="167"/>
      <c r="G36" s="166">
        <v>0</v>
      </c>
      <c r="H36" s="318"/>
      <c r="I36" s="318"/>
      <c r="J36" s="318"/>
      <c r="K36" s="318"/>
      <c r="L36" s="318"/>
      <c r="M36" s="318"/>
      <c r="N36" s="316"/>
    </row>
    <row r="37" spans="1:46" s="24" customFormat="1" ht="22.5" customHeight="1" thickTop="1" thickBot="1">
      <c r="A37" s="321" t="s">
        <v>93</v>
      </c>
      <c r="B37" s="97"/>
      <c r="C37" s="96">
        <f>SUM(C36)</f>
        <v>0</v>
      </c>
      <c r="D37" s="96">
        <f>SUM(D36)</f>
        <v>0</v>
      </c>
      <c r="E37" s="96">
        <f>SUM(E36)</f>
        <v>0</v>
      </c>
      <c r="F37" s="95" t="s">
        <v>76</v>
      </c>
      <c r="G37" s="315">
        <f>SUM(G36:G36)</f>
        <v>0</v>
      </c>
      <c r="H37" s="113"/>
      <c r="I37" s="113"/>
      <c r="J37" s="113"/>
      <c r="K37" s="112">
        <f>SUM(K36)</f>
        <v>0</v>
      </c>
      <c r="L37" s="112">
        <f>SUM(L36)</f>
        <v>0</v>
      </c>
      <c r="M37" s="112">
        <f>SUM(M36)</f>
        <v>0</v>
      </c>
      <c r="N37" s="158"/>
      <c r="O37" s="24"/>
      <c r="Q37" s="24"/>
      <c r="AS37" s="395"/>
      <c r="AT37" s="395"/>
    </row>
    <row r="38" spans="1:17" ht="15.75" customHeight="1" thickBot="1">
      <c r="A38" s="110"/>
      <c r="B38" s="109"/>
      <c r="C38" s="109"/>
      <c r="D38" s="109"/>
      <c r="E38" s="109"/>
      <c r="F38" s="109"/>
      <c r="G38" s="109"/>
      <c r="H38" s="109"/>
      <c r="I38" s="109"/>
      <c r="J38" s="109"/>
      <c r="K38" s="109"/>
      <c r="L38" s="109"/>
      <c r="M38" s="79"/>
    </row>
    <row r="39" spans="1:17" ht="37.5" customHeight="1" thickBot="1">
      <c r="A39" s="1696" t="s">
        <v>91</v>
      </c>
      <c r="B39" s="1697"/>
      <c r="C39" s="1697"/>
      <c r="D39" s="1697"/>
      <c r="E39" s="1697"/>
      <c r="F39" s="1697"/>
      <c r="G39" s="1697"/>
      <c r="H39" s="1697"/>
      <c r="I39" s="1697"/>
      <c r="J39" s="1697"/>
      <c r="K39" s="1697"/>
      <c r="L39" s="1697"/>
      <c r="M39" s="1697"/>
      <c r="N39" s="1698"/>
    </row>
    <row r="40" spans="1:17" ht="63" thickBot="1">
      <c r="A40" s="91" t="s">
        <v>90</v>
      </c>
      <c r="B40" s="108" t="s">
        <v>89</v>
      </c>
      <c r="C40" s="107" t="s">
        <v>88</v>
      </c>
      <c r="D40" s="106" t="s">
        <v>87</v>
      </c>
      <c r="E40" s="105" t="s">
        <v>86</v>
      </c>
      <c r="F40" s="104" t="s">
        <v>85</v>
      </c>
      <c r="G40" s="103" t="s">
        <v>84</v>
      </c>
      <c r="H40" s="103" t="s">
        <v>83</v>
      </c>
      <c r="I40" s="103" t="s">
        <v>82</v>
      </c>
      <c r="J40" s="103" t="s">
        <v>81</v>
      </c>
      <c r="K40" s="90" t="s">
        <v>80</v>
      </c>
      <c r="L40" s="90" t="s">
        <v>79</v>
      </c>
      <c r="M40" s="90" t="s">
        <v>95</v>
      </c>
      <c r="N40" s="125" t="s">
        <v>78</v>
      </c>
    </row>
    <row r="41" spans="1:17" ht="16.8" thickTop="1" thickBot="1">
      <c r="A41" s="172" t="s">
        <v>1449</v>
      </c>
      <c r="B41" s="180" t="s">
        <v>1451</v>
      </c>
      <c r="C41" s="100">
        <v>0</v>
      </c>
      <c r="D41" s="169">
        <v>0</v>
      </c>
      <c r="E41" s="320">
        <f>SUM(C41:C41)</f>
        <v>0</v>
      </c>
      <c r="F41" s="178" t="s">
        <v>1450</v>
      </c>
      <c r="G41" s="580">
        <f>'System Savings Questionnaire'!$C$81</f>
        <v>3811169074</v>
      </c>
      <c r="H41" s="175">
        <f>G41*2*0.8%*(130/8760)</f>
        <v>904935.12259360729</v>
      </c>
      <c r="I41" s="176">
        <f>'System Savings Questionnaire'!$F$95*2*0.8%</f>
        <v>17176.511999999999</v>
      </c>
      <c r="J41" s="175">
        <v>1</v>
      </c>
      <c r="K41" s="164">
        <f>(H41)/1000</f>
        <v>904.93512259360728</v>
      </c>
      <c r="L41" s="164">
        <f>J41*K41</f>
        <v>904.93512259360728</v>
      </c>
      <c r="M41" s="164">
        <f>I41</f>
        <v>17176.511999999999</v>
      </c>
      <c r="N41" s="316" t="s">
        <v>1730</v>
      </c>
    </row>
    <row r="42" spans="1:17" ht="22.5" customHeight="1" thickTop="1" thickBot="1">
      <c r="A42" s="321" t="s">
        <v>77</v>
      </c>
      <c r="B42" s="97"/>
      <c r="C42" s="96">
        <f>SUM(C41:C41)</f>
        <v>0</v>
      </c>
      <c r="D42" s="96">
        <f>SUM(D41:D41)</f>
        <v>0</v>
      </c>
      <c r="E42" s="96">
        <f>SUM(E41:E41)</f>
        <v>0</v>
      </c>
      <c r="F42" s="95" t="s">
        <v>76</v>
      </c>
      <c r="G42" s="315">
        <f>SUM(G41)</f>
        <v>3811169074</v>
      </c>
      <c r="H42" s="94"/>
      <c r="I42" s="94"/>
      <c r="J42" s="159"/>
      <c r="K42" s="159">
        <f>SUM(K41)</f>
        <v>904.93512259360728</v>
      </c>
      <c r="L42" s="159">
        <f>SUM(L41)</f>
        <v>904.93512259360728</v>
      </c>
      <c r="M42" s="138">
        <f>SUM(M41)</f>
        <v>17176.511999999999</v>
      </c>
      <c r="N42" s="158"/>
    </row>
    <row r="43" spans="1:17" ht="15.75" customHeight="1" thickBot="1">
      <c r="A43" s="93"/>
      <c r="B43" s="92"/>
      <c r="C43" s="92"/>
      <c r="D43" s="92"/>
      <c r="E43" s="92"/>
      <c r="F43" s="92"/>
      <c r="G43" s="92"/>
      <c r="H43" s="92"/>
      <c r="I43" s="92"/>
      <c r="J43" s="92"/>
      <c r="K43" s="92"/>
      <c r="L43" s="92"/>
    </row>
    <row r="44" spans="1:17" ht="21.6" thickBot="1">
      <c r="A44" s="1679" t="s">
        <v>75</v>
      </c>
      <c r="B44" s="1680"/>
      <c r="C44" s="1681"/>
      <c r="H44" s="1300">
        <f>I41*130</f>
        <v>2232946.56</v>
      </c>
      <c r="I44" s="508"/>
    </row>
    <row r="45" spans="1:17" ht="15.6">
      <c r="A45" s="91" t="s">
        <v>74</v>
      </c>
      <c r="B45" s="90" t="s">
        <v>73</v>
      </c>
      <c r="C45" s="89" t="s">
        <v>72</v>
      </c>
    </row>
    <row r="46" spans="1:17" ht="14.4">
      <c r="A46" s="88" t="s">
        <v>61</v>
      </c>
      <c r="B46" s="314">
        <v>0</v>
      </c>
      <c r="C46" s="86">
        <v>0</v>
      </c>
    </row>
    <row r="47" spans="1:17" ht="14.4">
      <c r="A47" s="88" t="s">
        <v>60</v>
      </c>
      <c r="B47" s="314">
        <v>0</v>
      </c>
      <c r="C47" s="86">
        <v>0</v>
      </c>
    </row>
    <row r="48" spans="1:17" ht="14.4">
      <c r="A48" s="88" t="s">
        <v>59</v>
      </c>
      <c r="B48" s="314">
        <v>0</v>
      </c>
      <c r="C48" s="86">
        <v>0</v>
      </c>
    </row>
    <row r="49" spans="1:17" ht="16.2" thickBot="1">
      <c r="A49" s="85" t="str">
        <f>"Total for "&amp;A44</f>
        <v>Total for Advanced Metering</v>
      </c>
      <c r="B49" s="84">
        <f>SUM(B46:B48)</f>
        <v>0</v>
      </c>
      <c r="C49" s="83">
        <f>SUM(C46:C48)</f>
        <v>0</v>
      </c>
    </row>
  </sheetData>
  <mergeCells count="30">
    <mergeCell ref="A1:N2"/>
    <mergeCell ref="AS20:AT20"/>
    <mergeCell ref="A44:C44"/>
    <mergeCell ref="F16:H16"/>
    <mergeCell ref="F20:L20"/>
    <mergeCell ref="A19:N19"/>
    <mergeCell ref="A29:N29"/>
    <mergeCell ref="A39:N39"/>
    <mergeCell ref="C20:E20"/>
    <mergeCell ref="F10:H10"/>
    <mergeCell ref="A4:N4"/>
    <mergeCell ref="F6:H6"/>
    <mergeCell ref="F7:H7"/>
    <mergeCell ref="F8:H8"/>
    <mergeCell ref="F9:H9"/>
    <mergeCell ref="F12:H12"/>
    <mergeCell ref="F13:H13"/>
    <mergeCell ref="F14:H14"/>
    <mergeCell ref="F15:H15"/>
    <mergeCell ref="F11:H11"/>
    <mergeCell ref="S6:U6"/>
    <mergeCell ref="AB18:AE18"/>
    <mergeCell ref="AJ18:AM18"/>
    <mergeCell ref="S19:AA19"/>
    <mergeCell ref="AB19:AQ19"/>
    <mergeCell ref="S20:AA20"/>
    <mergeCell ref="AB20:AE20"/>
    <mergeCell ref="AF20:AI20"/>
    <mergeCell ref="AJ20:AM20"/>
    <mergeCell ref="AN20:AQ20"/>
  </mergeCells>
  <conditionalFormatting sqref="G26">
    <cfRule type="expression" priority="73" dxfId="9">
      <formula>ISBLANK(G26)</formula>
    </cfRule>
    <cfRule type="expression" priority="74">
      <formula>NOT(ISBLANK(G26))</formula>
    </cfRule>
  </conditionalFormatting>
  <conditionalFormatting sqref="C26:D26">
    <cfRule type="expression" priority="71" dxfId="9">
      <formula>ISBLANK(C26)</formula>
    </cfRule>
    <cfRule type="expression" priority="72">
      <formula>NOT(ISBLANK(C26))</formula>
    </cfRule>
  </conditionalFormatting>
  <conditionalFormatting sqref="B11">
    <cfRule type="expression" priority="83" dxfId="9">
      <formula>ISBLANK(B11)</formula>
    </cfRule>
    <cfRule type="expression" priority="84">
      <formula>NOT(ISBLANK(B11))</formula>
    </cfRule>
  </conditionalFormatting>
  <conditionalFormatting sqref="D22">
    <cfRule type="expression" priority="81" dxfId="9">
      <formula>ISBLANK(D22)</formula>
    </cfRule>
    <cfRule type="expression" priority="82">
      <formula>NOT(ISBLANK(D22))</formula>
    </cfRule>
  </conditionalFormatting>
  <conditionalFormatting sqref="C22">
    <cfRule type="expression" priority="77" dxfId="9">
      <formula>ISBLANK(C22)</formula>
    </cfRule>
    <cfRule type="expression" priority="78">
      <formula>NOT(ISBLANK(C22))</formula>
    </cfRule>
  </conditionalFormatting>
  <conditionalFormatting sqref="G22">
    <cfRule type="expression" priority="75" dxfId="9">
      <formula>ISBLANK(G22)</formula>
    </cfRule>
    <cfRule type="expression" priority="76">
      <formula>NOT(ISBLANK(G22))</formula>
    </cfRule>
  </conditionalFormatting>
  <conditionalFormatting sqref="C22">
    <cfRule type="expression" priority="79" dxfId="8">
      <formula>ISBLANK(C22)</formula>
    </cfRule>
    <cfRule type="expression" priority="80">
      <formula>NOT(ISBLANK(C22))</formula>
    </cfRule>
  </conditionalFormatting>
  <conditionalFormatting sqref="C26">
    <cfRule type="expression" priority="69" dxfId="8">
      <formula>ISBLANK(C26)</formula>
    </cfRule>
    <cfRule type="expression" priority="70">
      <formula>NOT(ISBLANK(C26))</formula>
    </cfRule>
  </conditionalFormatting>
  <conditionalFormatting sqref="G36">
    <cfRule type="expression" priority="63" dxfId="9">
      <formula>ISBLANK(G36)</formula>
    </cfRule>
    <cfRule type="expression" priority="64">
      <formula>NOT(ISBLANK(G36))</formula>
    </cfRule>
  </conditionalFormatting>
  <conditionalFormatting sqref="C36:D36">
    <cfRule type="expression" priority="61" dxfId="9">
      <formula>ISBLANK(C36)</formula>
    </cfRule>
    <cfRule type="expression" priority="62">
      <formula>NOT(ISBLANK(C36))</formula>
    </cfRule>
  </conditionalFormatting>
  <conditionalFormatting sqref="C36">
    <cfRule type="expression" priority="59" dxfId="8">
      <formula>ISBLANK(C36)</formula>
    </cfRule>
    <cfRule type="expression" priority="60">
      <formula>NOT(ISBLANK(C36))</formula>
    </cfRule>
  </conditionalFormatting>
  <conditionalFormatting sqref="AE23">
    <cfRule type="cellIs" priority="40" dxfId="0" operator="lessThan">
      <formula>1</formula>
    </cfRule>
  </conditionalFormatting>
  <conditionalFormatting sqref="AI23">
    <cfRule type="cellIs" priority="39" dxfId="0" operator="lessThan">
      <formula>1</formula>
    </cfRule>
  </conditionalFormatting>
  <conditionalFormatting sqref="AM23">
    <cfRule type="cellIs" priority="38" dxfId="0" operator="lessThan">
      <formula>1</formula>
    </cfRule>
  </conditionalFormatting>
  <conditionalFormatting sqref="AQ23">
    <cfRule type="cellIs" priority="37" dxfId="0" operator="lessThan">
      <formula>1</formula>
    </cfRule>
  </conditionalFormatting>
  <conditionalFormatting sqref="AE22">
    <cfRule type="colorScale" priority="29">
      <colorScale>
        <cfvo type="min" val="0"/>
        <cfvo type="percentile" val="50"/>
        <cfvo type="max" val="0"/>
        <color rgb="FFF8696B"/>
        <color rgb="FFFFEB84"/>
        <color rgb="FF63BE7B"/>
      </colorScale>
    </cfRule>
    <cfRule type="cellIs" priority="30" dxfId="0" operator="lessThan">
      <formula>1</formula>
    </cfRule>
  </conditionalFormatting>
  <conditionalFormatting sqref="AI22">
    <cfRule type="colorScale" priority="31">
      <colorScale>
        <cfvo type="min" val="0"/>
        <cfvo type="percentile" val="50"/>
        <cfvo type="max" val="0"/>
        <color rgb="FFF8696B"/>
        <color rgb="FFFFEB84"/>
        <color rgb="FF63BE7B"/>
      </colorScale>
    </cfRule>
    <cfRule type="cellIs" priority="32" dxfId="0" operator="lessThan">
      <formula>1</formula>
    </cfRule>
  </conditionalFormatting>
  <conditionalFormatting sqref="AM22">
    <cfRule type="colorScale" priority="33">
      <colorScale>
        <cfvo type="min" val="0"/>
        <cfvo type="percentile" val="50"/>
        <cfvo type="max" val="0"/>
        <color rgb="FFF8696B"/>
        <color rgb="FFFFEB84"/>
        <color rgb="FF63BE7B"/>
      </colorScale>
    </cfRule>
    <cfRule type="cellIs" priority="34" dxfId="0" operator="lessThan">
      <formula>1</formula>
    </cfRule>
  </conditionalFormatting>
  <conditionalFormatting sqref="AQ22">
    <cfRule type="colorScale" priority="35">
      <colorScale>
        <cfvo type="min" val="0"/>
        <cfvo type="percentile" val="50"/>
        <cfvo type="max" val="0"/>
        <color rgb="FFF8696B"/>
        <color rgb="FFFFEB84"/>
        <color rgb="FF63BE7B"/>
      </colorScale>
    </cfRule>
    <cfRule type="cellIs" priority="36" dxfId="0" operator="lessThan">
      <formula>1</formula>
    </cfRule>
  </conditionalFormatting>
  <conditionalFormatting sqref="C32">
    <cfRule type="expression" priority="27" dxfId="9">
      <formula>ISBLANK(C32)</formula>
    </cfRule>
    <cfRule type="expression" priority="28">
      <formula>NOT(ISBLANK(C32))</formula>
    </cfRule>
  </conditionalFormatting>
  <conditionalFormatting sqref="G32">
    <cfRule type="expression" priority="25" dxfId="9">
      <formula>ISBLANK(G32)</formula>
    </cfRule>
    <cfRule type="expression" priority="26">
      <formula>NOT(ISBLANK(G32))</formula>
    </cfRule>
  </conditionalFormatting>
  <conditionalFormatting sqref="C31:C32">
    <cfRule type="expression" priority="19" dxfId="8">
      <formula>ISBLANK(C31)</formula>
    </cfRule>
    <cfRule type="expression" priority="20">
      <formula>NOT(ISBLANK(C31))</formula>
    </cfRule>
  </conditionalFormatting>
  <conditionalFormatting sqref="C31:D32">
    <cfRule type="expression" priority="21" dxfId="9">
      <formula>ISBLANK(C31)</formula>
    </cfRule>
    <cfRule type="expression" priority="22">
      <formula>NOT(ISBLANK(C31))</formula>
    </cfRule>
  </conditionalFormatting>
  <conditionalFormatting sqref="G31:G32">
    <cfRule type="expression" priority="23" dxfId="9">
      <formula>ISBLANK(G31)</formula>
    </cfRule>
    <cfRule type="expression" priority="24">
      <formula>NOT(ISBLANK(G31))</formula>
    </cfRule>
  </conditionalFormatting>
  <conditionalFormatting sqref="C41:D41">
    <cfRule type="expression" priority="5" dxfId="9">
      <formula>ISBLANK(C41)</formula>
    </cfRule>
    <cfRule type="expression" priority="6">
      <formula>NOT(ISBLANK(C41))</formula>
    </cfRule>
  </conditionalFormatting>
  <conditionalFormatting sqref="C41">
    <cfRule type="expression" priority="3" dxfId="8">
      <formula>ISBLANK(C41)</formula>
    </cfRule>
    <cfRule type="expression" priority="4">
      <formula>NOT(ISBLANK(C41))</formula>
    </cfRule>
  </conditionalFormatting>
  <conditionalFormatting sqref="G41">
    <cfRule type="expression" priority="1" dxfId="9">
      <formula>ISBLANK(G41)</formula>
    </cfRule>
    <cfRule type="expression" priority="2">
      <formula>NOT(ISBLANK(G41))</formula>
    </cfRule>
  </conditionalFormatting>
  <pageMargins left="0.7" right="0.7" top="0.75" bottom="0.75" header="0.3" footer="0.3"/>
  <pageSetup orientation="portrait" r:id="rId2"/>
  <ignoredErrors>
    <ignoredError sqref="S8:AY21 S23:AY28 S22:AE22 AG22:AY22" unlockedFormula="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0" tint="-0.24997"/>
  </sheetPr>
  <dimension ref="A1:AU51"/>
  <sheetViews>
    <sheetView zoomScale="70" zoomScaleNormal="70" workbookViewId="0" topLeftCell="A28">
      <selection pane="topLeft" activeCell="A1" sqref="A1"/>
    </sheetView>
  </sheetViews>
  <sheetFormatPr defaultColWidth="8.88888888888889" defaultRowHeight="14.4" outlineLevelCol="1"/>
  <cols>
    <col min="1" max="2" width="22.6666666666667" customWidth="1"/>
    <col min="3" max="5" width="16.6666666666667" customWidth="1"/>
    <col min="6" max="13" width="12.6666666666667" customWidth="1"/>
    <col min="14" max="14" width="40.7777777777778" style="586" customWidth="1"/>
    <col min="15" max="15" width="10.5555555555556" hidden="1" customWidth="1"/>
    <col min="16" max="16" width="35.7777777777778" customWidth="1"/>
    <col min="17" max="17" width="44.7777777777778" hidden="1" customWidth="1"/>
    <col min="18" max="18" width="2.55555555555556" customWidth="1"/>
    <col min="19" max="19" width="33.7777777777778" bestFit="1" customWidth="1"/>
    <col min="20" max="20" width="13.2222222222222" bestFit="1" customWidth="1"/>
    <col min="21" max="21" width="40.2222222222222" bestFit="1" customWidth="1"/>
    <col min="22" max="27" width="10.7777777777778" customWidth="1"/>
    <col min="28" max="31" width="10.7777777777778" customWidth="1" outlineLevel="1"/>
    <col min="32" max="32" width="10.7777777777778" customWidth="1" collapsed="1"/>
    <col min="33" max="35" width="10.7777777777778" customWidth="1"/>
    <col min="36" max="39" width="10.7777777777778" customWidth="1" outlineLevel="1"/>
    <col min="40" max="40" width="10.7777777777778" customWidth="1" collapsed="1"/>
    <col min="41" max="41" width="10.7777777777778" customWidth="1"/>
    <col min="42" max="42" width="12" customWidth="1"/>
    <col min="43" max="43" width="10.7777777777778" customWidth="1"/>
    <col min="44" max="44" width="8.88888888888889" customWidth="1"/>
    <col min="45" max="46" width="11.2222222222222" style="241" customWidth="1"/>
    <col min="47" max="47" width="8.88888888888889" customWidth="1"/>
  </cols>
  <sheetData>
    <row r="1" spans="1:39" ht="14.4">
      <c r="A1" s="1691" t="s">
        <v>1625</v>
      </c>
      <c r="B1" s="1760"/>
      <c r="C1" s="1760"/>
      <c r="D1" s="1760"/>
      <c r="E1" s="1760"/>
      <c r="F1" s="1760"/>
      <c r="G1" s="1760"/>
      <c r="H1" s="1761"/>
      <c r="I1" s="1761"/>
      <c r="J1" s="1761"/>
      <c r="K1" s="1761"/>
      <c r="L1" s="1761"/>
      <c r="M1" s="1761"/>
      <c r="N1" s="1761"/>
    </row>
    <row r="2" spans="15:39" ht="14.4"/>
    <row r="3" spans="15:39" ht="14.4"/>
    <row r="4" spans="1:39" ht="25.8">
      <c r="A4" s="1709" t="str">
        <f>"Peace River "&amp;$T$4</f>
        <v>Peace River 2015</v>
      </c>
      <c r="B4" s="1710"/>
      <c r="C4" s="1710"/>
      <c r="D4" s="1710"/>
      <c r="E4" s="1710"/>
      <c r="F4" s="1710"/>
      <c r="G4" s="1710"/>
      <c r="H4" s="1710"/>
      <c r="I4" s="1710"/>
      <c r="J4" s="1710"/>
      <c r="K4" s="1710"/>
      <c r="L4" s="1710"/>
      <c r="M4" s="1710"/>
      <c r="N4" s="1710"/>
      <c r="S4" s="490" t="s">
        <v>1160</v>
      </c>
      <c r="T4" s="490">
        <f>'Save Spend Summary'!$C$2</f>
        <v>2015</v>
      </c>
    </row>
    <row r="5" spans="1:46" s="24" customFormat="1" ht="15" thickBot="1">
      <c r="A5" s="194"/>
      <c r="B5" s="194"/>
      <c r="C5" s="194"/>
      <c r="D5" s="194"/>
      <c r="E5" s="194"/>
      <c r="F5" s="194"/>
      <c r="G5" s="194"/>
      <c r="H5" s="194"/>
      <c r="I5" s="194"/>
      <c r="J5" s="194"/>
      <c r="K5" s="194"/>
      <c r="L5" s="194"/>
      <c r="N5" s="665"/>
      <c r="O5" s="24"/>
      <c r="P5" s="24"/>
      <c r="Q5" s="24"/>
      <c r="AB5" s="24"/>
      <c r="AC5" s="24"/>
      <c r="AD5" s="24"/>
      <c r="AE5" s="24"/>
      <c r="AJ5" s="24"/>
      <c r="AK5" s="24"/>
      <c r="AL5" s="24"/>
      <c r="AM5" s="24"/>
      <c r="AS5" s="395"/>
      <c r="AT5" s="395"/>
    </row>
    <row r="6" spans="1:46" s="24" customFormat="1" ht="84.6" thickBot="1">
      <c r="A6" s="313" t="s">
        <v>139</v>
      </c>
      <c r="B6" s="251" t="s">
        <v>88</v>
      </c>
      <c r="C6" s="250" t="s">
        <v>87</v>
      </c>
      <c r="D6" s="249" t="s">
        <v>86</v>
      </c>
      <c r="F6" s="1711" t="s">
        <v>138</v>
      </c>
      <c r="G6" s="1712"/>
      <c r="H6" s="1712"/>
      <c r="I6" s="248" t="s">
        <v>80</v>
      </c>
      <c r="J6" s="248" t="s">
        <v>79</v>
      </c>
      <c r="K6" s="247" t="s">
        <v>95</v>
      </c>
      <c r="N6" s="665"/>
      <c r="O6" s="24"/>
      <c r="P6" s="24"/>
      <c r="Q6" s="24"/>
      <c r="S6" s="1673" t="s">
        <v>834</v>
      </c>
      <c r="T6" s="1674"/>
      <c r="U6" s="1675"/>
      <c r="AB6" s="24"/>
      <c r="AC6" s="24"/>
      <c r="AD6" s="24"/>
      <c r="AE6" s="24"/>
      <c r="AJ6" s="24"/>
      <c r="AK6" s="24"/>
      <c r="AL6" s="24"/>
      <c r="AM6" s="24"/>
      <c r="AS6" s="395"/>
      <c r="AT6" s="395"/>
    </row>
    <row r="7" spans="1:46" s="24" customFormat="1" ht="15.6">
      <c r="A7" s="245" t="s">
        <v>136</v>
      </c>
      <c r="B7" s="244"/>
      <c r="C7" s="244"/>
      <c r="D7" s="243"/>
      <c r="F7" s="1676" t="s">
        <v>136</v>
      </c>
      <c r="G7" s="1677"/>
      <c r="H7" s="1678"/>
      <c r="I7" s="244"/>
      <c r="J7" s="244"/>
      <c r="K7" s="243"/>
      <c r="N7" s="665"/>
      <c r="O7" s="24"/>
      <c r="P7" s="24"/>
      <c r="Q7" s="24"/>
      <c r="S7" s="386" t="s">
        <v>196</v>
      </c>
      <c r="T7" s="386" t="s">
        <v>194</v>
      </c>
      <c r="U7" s="386" t="s">
        <v>78</v>
      </c>
      <c r="AB7" s="24"/>
      <c r="AC7" s="24"/>
      <c r="AD7" s="24"/>
      <c r="AE7" s="24"/>
      <c r="AJ7" s="24"/>
      <c r="AK7" s="24"/>
      <c r="AL7" s="24"/>
      <c r="AM7" s="24"/>
      <c r="AS7" s="395"/>
      <c r="AT7" s="395"/>
    </row>
    <row r="8" spans="1:46" s="24" customFormat="1" ht="15.6">
      <c r="A8" s="209" t="s">
        <v>134</v>
      </c>
      <c r="B8" s="207"/>
      <c r="C8" s="208">
        <f>$D$24</f>
        <v>3229.50</v>
      </c>
      <c r="D8" s="206">
        <f>SUM(B8:C8)</f>
        <v>3229.50</v>
      </c>
      <c r="F8" s="1669" t="s">
        <v>134</v>
      </c>
      <c r="G8" s="1647"/>
      <c r="H8" s="1648"/>
      <c r="I8" s="239">
        <f>K24</f>
        <v>26.123803350119996</v>
      </c>
      <c r="J8" s="211">
        <f>L24</f>
        <v>255.57023625083997</v>
      </c>
      <c r="K8" s="210">
        <f>M24</f>
        <v>3.00038439688716</v>
      </c>
      <c r="N8" s="665"/>
      <c r="O8" s="24"/>
      <c r="P8" s="24"/>
      <c r="Q8" s="24"/>
      <c r="S8" s="382" t="s">
        <v>833</v>
      </c>
      <c r="T8" s="385">
        <f>'Seminole Avoided Cost'!$C$8</f>
        <v>0.06</v>
      </c>
      <c r="U8" s="438" t="s">
        <v>1120</v>
      </c>
      <c r="AB8" s="24"/>
      <c r="AC8" s="24"/>
      <c r="AD8" s="24"/>
      <c r="AE8" s="24"/>
      <c r="AJ8" s="24"/>
      <c r="AK8" s="24"/>
      <c r="AL8" s="24"/>
      <c r="AM8" s="24"/>
      <c r="AS8" s="395"/>
      <c r="AT8" s="395"/>
    </row>
    <row r="9" spans="1:46" s="24" customFormat="1" ht="15.6">
      <c r="A9" s="209" t="s">
        <v>132</v>
      </c>
      <c r="B9" s="207">
        <f>C33</f>
        <v>165.98693390434528</v>
      </c>
      <c r="C9" s="208">
        <f>D33</f>
        <v>0</v>
      </c>
      <c r="D9" s="206">
        <f>SUM(B9:C9)</f>
        <v>165.98693390434528</v>
      </c>
      <c r="F9" s="1669" t="s">
        <v>132</v>
      </c>
      <c r="G9" s="1647"/>
      <c r="H9" s="1648"/>
      <c r="I9" s="239">
        <f>K33</f>
        <v>2.9109600000000002</v>
      </c>
      <c r="J9" s="239">
        <f>L33</f>
        <v>36</v>
      </c>
      <c r="K9" s="239">
        <f>M33</f>
        <v>0</v>
      </c>
      <c r="N9" s="665"/>
      <c r="O9" s="24"/>
      <c r="P9" s="24"/>
      <c r="Q9" s="24"/>
      <c r="S9" s="382" t="s">
        <v>832</v>
      </c>
      <c r="T9" s="384">
        <v>0</v>
      </c>
      <c r="U9" s="438" t="s">
        <v>857</v>
      </c>
      <c r="AB9" s="24"/>
      <c r="AC9" s="24"/>
      <c r="AD9" s="24"/>
      <c r="AE9" s="24"/>
      <c r="AJ9" s="24"/>
      <c r="AK9" s="24"/>
      <c r="AL9" s="24"/>
      <c r="AM9" s="24"/>
      <c r="AS9" s="395"/>
      <c r="AT9" s="395"/>
    </row>
    <row r="10" spans="1:46" s="24" customFormat="1" ht="16.2" thickBot="1">
      <c r="A10" s="236" t="s">
        <v>130</v>
      </c>
      <c r="B10" s="207">
        <f>C42</f>
        <v>0</v>
      </c>
      <c r="C10" s="208">
        <f>D42</f>
        <v>0</v>
      </c>
      <c r="D10" s="229">
        <f>SUM(B10:C10)</f>
        <v>0</v>
      </c>
      <c r="F10" s="1670" t="s">
        <v>130</v>
      </c>
      <c r="G10" s="1671"/>
      <c r="H10" s="1672"/>
      <c r="I10" s="234">
        <f>K44</f>
        <v>422.10791776255712</v>
      </c>
      <c r="J10" s="233">
        <f>L44</f>
        <v>782.44301110758681</v>
      </c>
      <c r="K10" s="232">
        <f>M44</f>
        <v>6178.5936385133336</v>
      </c>
      <c r="N10" s="665"/>
      <c r="O10" s="24"/>
      <c r="P10" s="24"/>
      <c r="Q10" s="24"/>
      <c r="S10" s="382" t="s">
        <v>831</v>
      </c>
      <c r="T10" s="384">
        <v>0</v>
      </c>
      <c r="U10" s="438" t="s">
        <v>857</v>
      </c>
      <c r="AB10" s="24"/>
      <c r="AC10" s="24"/>
      <c r="AD10" s="24"/>
      <c r="AE10" s="24"/>
      <c r="AJ10" s="24"/>
      <c r="AK10" s="24"/>
      <c r="AL10" s="24"/>
      <c r="AM10" s="24"/>
      <c r="AS10" s="395"/>
      <c r="AT10" s="395"/>
    </row>
    <row r="11" spans="1:46" s="24" customFormat="1" ht="16.8" thickTop="1" thickBot="1">
      <c r="A11" s="231" t="s">
        <v>129</v>
      </c>
      <c r="B11" s="332">
        <v>0</v>
      </c>
      <c r="C11" s="331"/>
      <c r="D11" s="229">
        <f>SUM(B11:C11)</f>
        <v>0</v>
      </c>
      <c r="F11" s="1665" t="s">
        <v>128</v>
      </c>
      <c r="G11" s="1666"/>
      <c r="H11" s="1667"/>
      <c r="I11" s="228">
        <f>SUM(I8:I10)</f>
        <v>451.14268111267711</v>
      </c>
      <c r="J11" s="228">
        <f>SUM(J8:J10)</f>
        <v>1074.0132473584267</v>
      </c>
      <c r="K11" s="227">
        <f>SUM(K8:K10)</f>
        <v>6181.5940229102207</v>
      </c>
      <c r="N11" s="665"/>
      <c r="O11" s="24"/>
      <c r="P11" s="24"/>
      <c r="Q11" s="24"/>
      <c r="S11" s="382" t="s">
        <v>830</v>
      </c>
      <c r="T11" s="384">
        <v>0</v>
      </c>
      <c r="U11" s="438" t="s">
        <v>857</v>
      </c>
      <c r="AB11" s="24"/>
      <c r="AC11" s="24"/>
      <c r="AD11" s="24"/>
      <c r="AE11" s="24"/>
      <c r="AJ11" s="24"/>
      <c r="AK11" s="24"/>
      <c r="AL11" s="24"/>
      <c r="AM11" s="24"/>
      <c r="AS11" s="395"/>
      <c r="AT11" s="395"/>
    </row>
    <row r="12" spans="1:46" s="46" customFormat="1" ht="16.2" thickTop="1">
      <c r="A12" s="226" t="s">
        <v>128</v>
      </c>
      <c r="B12" s="225">
        <f>SUM(B8:B11)</f>
        <v>165.98693390434528</v>
      </c>
      <c r="C12" s="224">
        <f>SUM(C8:C11)</f>
        <v>3229.50</v>
      </c>
      <c r="D12" s="223">
        <f>SUM(D8:D11)</f>
        <v>3395.4869339043453</v>
      </c>
      <c r="F12" s="1668" t="s">
        <v>127</v>
      </c>
      <c r="G12" s="1662"/>
      <c r="H12" s="1663"/>
      <c r="I12" s="222"/>
      <c r="J12" s="222"/>
      <c r="K12" s="221"/>
      <c r="N12" s="457"/>
      <c r="O12" s="46"/>
      <c r="P12" s="46"/>
      <c r="Q12" s="46"/>
      <c r="S12" s="382" t="s">
        <v>829</v>
      </c>
      <c r="T12" s="383">
        <f>VLOOKUP($U12,'2015 Annual Sales and Revenue '!$B$3:$H$29,7,FALSE)</f>
        <v>0.13966161438465141</v>
      </c>
      <c r="U12" s="438" t="s">
        <v>1156</v>
      </c>
      <c r="AB12" s="46"/>
      <c r="AC12" s="46"/>
      <c r="AD12" s="46"/>
      <c r="AE12" s="46"/>
      <c r="AJ12" s="46"/>
      <c r="AK12" s="46"/>
      <c r="AL12" s="46"/>
      <c r="AM12" s="46"/>
      <c r="AS12" s="396"/>
      <c r="AT12" s="396"/>
    </row>
    <row r="13" spans="1:46" s="24" customFormat="1" ht="15.6">
      <c r="A13" s="220" t="s">
        <v>127</v>
      </c>
      <c r="B13" s="219"/>
      <c r="C13" s="219"/>
      <c r="D13" s="218"/>
      <c r="F13" s="1669" t="s">
        <v>126</v>
      </c>
      <c r="G13" s="1647"/>
      <c r="H13" s="1648"/>
      <c r="I13" s="217">
        <f>K28</f>
        <v>0</v>
      </c>
      <c r="J13" s="217">
        <f>L28</f>
        <v>0</v>
      </c>
      <c r="K13" s="216">
        <f>M28</f>
        <v>0</v>
      </c>
      <c r="N13" s="665"/>
      <c r="O13" s="24"/>
      <c r="P13" s="24"/>
      <c r="Q13" s="24"/>
      <c r="S13" s="382" t="s">
        <v>856</v>
      </c>
      <c r="T13" s="383">
        <f>VLOOKUP($U13,'2015 Annual Sales and Revenue '!$B$3:$H$29,7,FALSE)</f>
        <v>0.12589502025571092</v>
      </c>
      <c r="U13" s="438" t="s">
        <v>1157</v>
      </c>
      <c r="AB13" s="24"/>
      <c r="AC13" s="24"/>
      <c r="AD13" s="24"/>
      <c r="AE13" s="24"/>
      <c r="AJ13" s="24"/>
      <c r="AK13" s="24"/>
      <c r="AL13" s="24"/>
      <c r="AM13" s="24"/>
      <c r="AS13" s="395"/>
      <c r="AT13" s="395"/>
    </row>
    <row r="14" spans="1:42" s="24" customFormat="1" ht="15" thickBot="1">
      <c r="A14" s="215" t="s">
        <v>126</v>
      </c>
      <c r="B14" s="214">
        <f>C28</f>
        <v>0</v>
      </c>
      <c r="C14" s="213">
        <f>D28</f>
        <v>0</v>
      </c>
      <c r="D14" s="212">
        <f>SUM(B14:C14)</f>
        <v>0</v>
      </c>
      <c r="F14" s="1670" t="s">
        <v>125</v>
      </c>
      <c r="G14" s="1671"/>
      <c r="H14" s="1672"/>
      <c r="I14" s="211">
        <f>K36</f>
        <v>0</v>
      </c>
      <c r="J14" s="211">
        <f>L36</f>
        <v>0</v>
      </c>
      <c r="K14" s="210">
        <f>M36</f>
        <v>0</v>
      </c>
      <c r="N14" s="665"/>
      <c r="O14" s="24"/>
      <c r="P14" s="24"/>
      <c r="Q14" s="24"/>
      <c r="AB14" s="24"/>
      <c r="AC14" s="24"/>
      <c r="AD14" s="24"/>
      <c r="AE14" s="24"/>
      <c r="AJ14" s="24"/>
      <c r="AK14" s="24"/>
      <c r="AL14" s="24"/>
      <c r="AM14" s="24"/>
      <c r="AO14" s="395"/>
      <c r="AP14" s="395"/>
    </row>
    <row r="15" spans="1:42" s="24" customFormat="1" ht="15" thickBot="1">
      <c r="A15" s="209" t="s">
        <v>124</v>
      </c>
      <c r="B15" s="208">
        <f>C38</f>
        <v>0</v>
      </c>
      <c r="C15" s="207">
        <f>D38</f>
        <v>0</v>
      </c>
      <c r="D15" s="206">
        <f>SUM(B15:C15)</f>
        <v>0</v>
      </c>
      <c r="F15" s="1706" t="s">
        <v>123</v>
      </c>
      <c r="G15" s="1707"/>
      <c r="H15" s="1708"/>
      <c r="I15" s="205">
        <f>SUM(I13:I14)</f>
        <v>0</v>
      </c>
      <c r="J15" s="205">
        <f>SUM(J13:J14)</f>
        <v>0</v>
      </c>
      <c r="K15" s="204">
        <f>SUM(K13:K14)</f>
        <v>0</v>
      </c>
      <c r="N15" s="665"/>
      <c r="O15" s="24"/>
      <c r="P15" s="24"/>
      <c r="Q15" s="24"/>
      <c r="AB15" s="24"/>
      <c r="AC15" s="24"/>
      <c r="AD15" s="24"/>
      <c r="AE15" s="24"/>
      <c r="AJ15" s="24"/>
      <c r="AK15" s="24"/>
      <c r="AL15" s="24"/>
      <c r="AM15" s="24"/>
      <c r="AO15" s="395"/>
      <c r="AP15" s="395"/>
    </row>
    <row r="16" spans="1:46" s="24" customFormat="1" ht="16.2" thickBot="1">
      <c r="A16" s="203" t="s">
        <v>123</v>
      </c>
      <c r="B16" s="202">
        <f>SUM(B14:B15)</f>
        <v>0</v>
      </c>
      <c r="C16" s="202">
        <f>SUM(C14:C15)</f>
        <v>0</v>
      </c>
      <c r="D16" s="201">
        <f>SUM(D14:D15)</f>
        <v>0</v>
      </c>
      <c r="F16" s="1762" t="s">
        <v>801</v>
      </c>
      <c r="G16" s="1763"/>
      <c r="H16" s="1764"/>
      <c r="I16" s="200">
        <f>SUM(I11,I15)</f>
        <v>451.14268111267711</v>
      </c>
      <c r="J16" s="200">
        <f>SUM(J11,J15)</f>
        <v>1074.0132473584267</v>
      </c>
      <c r="K16" s="199">
        <f>SUM(K11,K15)</f>
        <v>6181.5940229102207</v>
      </c>
      <c r="N16" s="665"/>
      <c r="O16" s="24"/>
      <c r="P16" s="24"/>
      <c r="Q16" s="24"/>
      <c r="AB16" s="24"/>
      <c r="AC16" s="24"/>
      <c r="AD16" s="24"/>
      <c r="AE16" s="24"/>
      <c r="AJ16" s="24"/>
      <c r="AK16" s="24"/>
      <c r="AL16" s="24"/>
      <c r="AM16" s="24"/>
      <c r="AS16" s="395"/>
      <c r="AT16" s="395"/>
    </row>
    <row r="17" spans="1:46" s="24" customFormat="1" ht="16.2" thickBot="1">
      <c r="A17" s="198" t="s">
        <v>801</v>
      </c>
      <c r="B17" s="197">
        <f>SUM(B12,B16)</f>
        <v>165.98693390434528</v>
      </c>
      <c r="C17" s="197">
        <f>SUM(C12,C16)</f>
        <v>3229.50</v>
      </c>
      <c r="D17" s="196">
        <f>SUM(D12,D16)</f>
        <v>3395.4869339043453</v>
      </c>
      <c r="N17" s="665"/>
      <c r="O17" s="24"/>
      <c r="P17" s="24"/>
      <c r="Q17" s="24"/>
      <c r="AB17" s="24"/>
      <c r="AC17" s="24"/>
      <c r="AD17" s="24"/>
      <c r="AE17" s="24"/>
      <c r="AJ17" s="24"/>
      <c r="AK17" s="24"/>
      <c r="AL17" s="24"/>
      <c r="AM17" s="24"/>
      <c r="AS17" s="395"/>
      <c r="AT17" s="395"/>
    </row>
    <row r="18" spans="1:46" s="24" customFormat="1" ht="15" thickBot="1">
      <c r="A18" s="195"/>
      <c r="B18" s="195"/>
      <c r="C18" s="194"/>
      <c r="D18" s="194"/>
      <c r="E18" s="194"/>
      <c r="F18" s="194"/>
      <c r="G18" s="194"/>
      <c r="H18" s="194"/>
      <c r="I18" s="194"/>
      <c r="J18" s="194"/>
      <c r="K18" s="194"/>
      <c r="N18" s="665"/>
      <c r="O18" s="24"/>
      <c r="P18" s="24"/>
      <c r="Q18" s="24"/>
      <c r="AB18" s="1627" t="s">
        <v>1161</v>
      </c>
      <c r="AC18" s="1627"/>
      <c r="AD18" s="1627"/>
      <c r="AE18" s="1627"/>
      <c r="AJ18" s="1627" t="s">
        <v>1161</v>
      </c>
      <c r="AK18" s="1627"/>
      <c r="AL18" s="1627"/>
      <c r="AM18" s="1627"/>
      <c r="AS18" s="395"/>
      <c r="AT18" s="395"/>
    </row>
    <row r="19" spans="1:45" ht="21.6" thickBot="1">
      <c r="A19" s="1699" t="s">
        <v>122</v>
      </c>
      <c r="B19" s="1699"/>
      <c r="C19" s="1699"/>
      <c r="D19" s="1699"/>
      <c r="E19" s="1699"/>
      <c r="F19" s="1699"/>
      <c r="G19" s="1699"/>
      <c r="H19" s="1699"/>
      <c r="I19" s="1699"/>
      <c r="J19" s="1699"/>
      <c r="K19" s="1699"/>
      <c r="L19" s="1699"/>
      <c r="M19" s="1699"/>
      <c r="N19" s="1699"/>
      <c r="S19" s="1703" t="s">
        <v>855</v>
      </c>
      <c r="T19" s="1704"/>
      <c r="U19" s="1704"/>
      <c r="V19" s="1704"/>
      <c r="W19" s="1704"/>
      <c r="X19" s="1704"/>
      <c r="Y19" s="1704"/>
      <c r="Z19" s="1704"/>
      <c r="AA19" s="1704"/>
      <c r="AB19" s="1704" t="s">
        <v>854</v>
      </c>
      <c r="AC19" s="1704"/>
      <c r="AD19" s="1704"/>
      <c r="AE19" s="1704"/>
      <c r="AF19" s="1704"/>
      <c r="AG19" s="1704"/>
      <c r="AH19" s="1704"/>
      <c r="AI19" s="1704"/>
      <c r="AJ19" s="1704"/>
      <c r="AK19" s="1704"/>
      <c r="AL19" s="1704"/>
      <c r="AM19" s="1704"/>
      <c r="AN19" s="1704"/>
      <c r="AO19" s="1704"/>
      <c r="AP19" s="1704"/>
      <c r="AQ19" s="1705"/>
      <c r="AR19" s="291"/>
      <c r="AS19" s="46"/>
    </row>
    <row r="20" spans="1:47" s="1470" customFormat="1" ht="15.6">
      <c r="A20" s="1438"/>
      <c r="B20" s="1438"/>
      <c r="C20" s="1765" t="s">
        <v>121</v>
      </c>
      <c r="D20" s="1765"/>
      <c r="E20" s="1765"/>
      <c r="F20" s="1765" t="s">
        <v>120</v>
      </c>
      <c r="G20" s="1765"/>
      <c r="H20" s="1765"/>
      <c r="I20" s="1765"/>
      <c r="J20" s="1765"/>
      <c r="K20" s="1765"/>
      <c r="L20" s="1765"/>
      <c r="M20" s="1440"/>
      <c r="N20" s="1525"/>
      <c r="O20" s="1470"/>
      <c r="P20" s="1470"/>
      <c r="Q20" s="1470"/>
      <c r="S20" s="1688"/>
      <c r="T20" s="1689"/>
      <c r="U20" s="1689"/>
      <c r="V20" s="1689"/>
      <c r="W20" s="1689"/>
      <c r="X20" s="1689"/>
      <c r="Y20" s="1689"/>
      <c r="Z20" s="1689"/>
      <c r="AA20" s="1689"/>
      <c r="AB20" s="1690" t="s">
        <v>853</v>
      </c>
      <c r="AC20" s="1690"/>
      <c r="AD20" s="1690"/>
      <c r="AE20" s="1690"/>
      <c r="AF20" s="1690" t="s">
        <v>852</v>
      </c>
      <c r="AG20" s="1690"/>
      <c r="AH20" s="1690"/>
      <c r="AI20" s="1690"/>
      <c r="AJ20" s="1690" t="s">
        <v>851</v>
      </c>
      <c r="AK20" s="1690"/>
      <c r="AL20" s="1690"/>
      <c r="AM20" s="1690"/>
      <c r="AN20" s="1690" t="s">
        <v>850</v>
      </c>
      <c r="AO20" s="1690"/>
      <c r="AP20" s="1690"/>
      <c r="AQ20" s="1693"/>
      <c r="AR20" s="1488"/>
      <c r="AS20" s="1694" t="s">
        <v>849</v>
      </c>
      <c r="AT20" s="1695"/>
      <c r="AU20" s="408" t="s">
        <v>858</v>
      </c>
    </row>
    <row r="21" spans="1:47" s="1470" customFormat="1" ht="62.4">
      <c r="A21" s="434" t="s">
        <v>119</v>
      </c>
      <c r="B21" s="434" t="s">
        <v>89</v>
      </c>
      <c r="C21" s="434" t="s">
        <v>88</v>
      </c>
      <c r="D21" s="1346" t="s">
        <v>87</v>
      </c>
      <c r="E21" s="434" t="s">
        <v>86</v>
      </c>
      <c r="F21" s="434" t="s">
        <v>85</v>
      </c>
      <c r="G21" s="434" t="s">
        <v>84</v>
      </c>
      <c r="H21" s="434" t="s">
        <v>97</v>
      </c>
      <c r="I21" s="434" t="s">
        <v>82</v>
      </c>
      <c r="J21" s="434" t="s">
        <v>96</v>
      </c>
      <c r="K21" s="434" t="s">
        <v>80</v>
      </c>
      <c r="L21" s="434" t="s">
        <v>79</v>
      </c>
      <c r="M21" s="434" t="s">
        <v>95</v>
      </c>
      <c r="N21" s="434" t="s">
        <v>78</v>
      </c>
      <c r="O21" s="1470"/>
      <c r="P21" s="1489" t="str">
        <f>K21&amp;" Weighting"</f>
        <v>Total Annual MWh Weighting</v>
      </c>
      <c r="Q21" s="1470"/>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1488"/>
      <c r="AS21" s="397" t="s">
        <v>791</v>
      </c>
      <c r="AT21" s="386" t="s">
        <v>1164</v>
      </c>
      <c r="AU21" s="398" t="s">
        <v>752</v>
      </c>
    </row>
    <row r="22" spans="1:47" s="1506" customFormat="1" ht="15.6">
      <c r="A22" s="1468" t="s">
        <v>666</v>
      </c>
      <c r="B22" s="1521" t="s">
        <v>665</v>
      </c>
      <c r="C22" s="1467">
        <v>0</v>
      </c>
      <c r="D22" s="1467">
        <f>1.75*G22</f>
        <v>1382.50</v>
      </c>
      <c r="E22" s="1467">
        <f>SUM(C22:D22)</f>
        <v>1382.50</v>
      </c>
      <c r="F22" s="1474" t="s">
        <v>116</v>
      </c>
      <c r="G22" s="1350">
        <v>790</v>
      </c>
      <c r="H22" s="175">
        <f>'13W CFL Giveaway Savings'!$D$14</f>
        <v>25.988883227999995</v>
      </c>
      <c r="I22" s="1527">
        <f>'13W CFL Giveaway Savings'!$D$16</f>
        <v>0.0029760350194552535</v>
      </c>
      <c r="J22" s="175">
        <f>'13W CFL Giveaway Savings'!$D$13</f>
        <v>7</v>
      </c>
      <c r="K22" s="1356">
        <f>(G22*H22)/1000</f>
        <v>20.531217750119996</v>
      </c>
      <c r="L22" s="1356">
        <f>J22*K22</f>
        <v>143.71852425083998</v>
      </c>
      <c r="M22" s="176">
        <f>G22*I22</f>
        <v>2.3510676653696501</v>
      </c>
      <c r="N22" s="1490"/>
      <c r="O22" s="1506"/>
      <c r="P22" s="1491">
        <f>K22:K23/$K$24</f>
        <v>0.78591993190860121</v>
      </c>
      <c r="Q22" s="1506"/>
      <c r="S22" s="1492">
        <f>IFERROR(IF(G22/$G$24=0,0,G22/$G$24),"")</f>
        <v>0.79797979797979801</v>
      </c>
      <c r="T22" s="1493" t="s">
        <v>836</v>
      </c>
      <c r="U22" s="1493" t="s">
        <v>835</v>
      </c>
      <c r="V22" s="1494">
        <v>0.90</v>
      </c>
      <c r="W22" s="1495">
        <f>IF($H22*$T$12=0,"",$H22*$T$12)</f>
        <v>3.62964938767667</v>
      </c>
      <c r="X22" s="1495">
        <f>IFERROR($W22*((1+$T$9)/(1+$T$8)*(1-((1+$T$9)/(1+$T$8))^$J22)/(1-((1+$T$9)/(1+$T$8)))),"")</f>
        <v>20.262087374122387</v>
      </c>
      <c r="Y22" s="1496">
        <f>IFERROR(D22/G22,"")</f>
        <v>1.75</v>
      </c>
      <c r="Z22" s="1497">
        <v>5</v>
      </c>
      <c r="AA22" s="1498"/>
      <c r="AB22" s="1497">
        <f>IFERROR(($AS22*$H22*$V22*((1+$T$11)/(1+$T$8)*(1-((1+$T$11)/(1+$T$8))^$J22)/(1-((1+$T$11)/(1+$T$8)))))+($AT$22*$I22),"")</f>
        <v>4.8676228087319116</v>
      </c>
      <c r="AC22" s="1497">
        <f>IFERROR((SUM($C22)/$G22)+($Z22*$V22),"")</f>
        <v>4.50</v>
      </c>
      <c r="AD22" s="1499">
        <f>IFERROR(IF(AB22="","",AB22-AC22),"")</f>
        <v>0.36762280873191155</v>
      </c>
      <c r="AE22" s="1500">
        <f>IFERROR(AB22/AC22,"")</f>
        <v>1.0816939574959803</v>
      </c>
      <c r="AF22" s="1497">
        <f>IFERROR(($AS22*$H22*$V22*((1+$T$11)/(1+$T$8)*(1-((1+$T$11)/(1+$T$8))^$J22)/(1-((1+$T$11)/(1+$T$8)))))+($AT22*$I22),"")</f>
        <v>4.8676228087319116</v>
      </c>
      <c r="AG22" s="1499">
        <f>IFERROR(-PV($T$8,1,($E22/$G22)),"")</f>
        <v>1.6509433962264164</v>
      </c>
      <c r="AH22" s="1499">
        <f>IFERROR(IF(AF22="","",AF22-AG22),"")</f>
        <v>3.2166794125054952</v>
      </c>
      <c r="AI22" s="1500">
        <f>IFERROR(AF22/AG22,"")</f>
        <v>2.9483886727176127</v>
      </c>
      <c r="AJ22" s="1499">
        <f>IFERROR(-PV($T$8,$J22,$W22)+($Y22),"")</f>
        <v>22.012087374122409</v>
      </c>
      <c r="AK22" s="1499">
        <f>IF(Z22="","",Z22)</f>
        <v>5</v>
      </c>
      <c r="AL22" s="1499">
        <f>IFERROR(IF(AJ22="","",AJ22-AK22),"")</f>
        <v>17.012087374122409</v>
      </c>
      <c r="AM22" s="1500">
        <f>IFERROR(AJ22/AK22,"")</f>
        <v>4.4024174748244818</v>
      </c>
      <c r="AN22" s="1499">
        <f>IFERROR(($AS22*$H22*$V22*((1+$T$11)/(1+$T$8)*(1-((1+$T$11)/(1+$T$8))^$J22)/(1-((1+$T$11)/(1+$T$8)))))+($AT22*$I22),"")</f>
        <v>4.8676228087319116</v>
      </c>
      <c r="AO22" s="1501">
        <f>IFERROR((SUM($C22)/$G22)+X22+Y22,"")</f>
        <v>22.012087374122387</v>
      </c>
      <c r="AP22" s="1499">
        <f>IFERROR(IF(AN22="","",AN22-AO22),"")</f>
        <v>-17.144464565390475</v>
      </c>
      <c r="AQ22" s="1502">
        <f>IFERROR(AN22/AO22,"")</f>
        <v>0.22113408537776086</v>
      </c>
      <c r="AR22" s="1488"/>
      <c r="AS22" s="1503">
        <f>IFERROR(VLOOKUP(ROUND($J22,0),'Seminole Avoided Cost'!$B$15:$Y$41,8,FALSE),"")</f>
        <v>0.03499</v>
      </c>
      <c r="AT22" s="1504">
        <f>IFERROR(VLOOKUP(ROUND($J22,0),'Seminole Avoided Cost'!$B$15:$Y$41,24,FALSE),"")</f>
        <v>100.44</v>
      </c>
      <c r="AU22" s="1505">
        <f>IFERROR(SUM(C22)/G22,"")</f>
        <v>0</v>
      </c>
    </row>
    <row r="23" spans="1:47" s="1506" customFormat="1" ht="15.6">
      <c r="A23" s="1468" t="s">
        <v>118</v>
      </c>
      <c r="B23" s="1521" t="s">
        <v>117</v>
      </c>
      <c r="C23" s="1467">
        <v>0</v>
      </c>
      <c r="D23" s="1467">
        <v>1847</v>
      </c>
      <c r="E23" s="1467">
        <f>SUM(C23:D23)</f>
        <v>1847</v>
      </c>
      <c r="F23" s="1474" t="s">
        <v>116</v>
      </c>
      <c r="G23" s="1350">
        <v>200</v>
      </c>
      <c r="H23" s="175">
        <f>'10W LED Giveaway Savings'!$D$14</f>
        <v>27.962927999999998</v>
      </c>
      <c r="I23" s="1527">
        <f>'10W LED Giveaway Savings'!$D$16</f>
        <v>0.0032465836575875486</v>
      </c>
      <c r="J23" s="175">
        <f>'10W LED Giveaway Savings'!$D$13</f>
        <v>20</v>
      </c>
      <c r="K23" s="1356">
        <f>(G23*H23)/1000</f>
        <v>5.5925855999999996</v>
      </c>
      <c r="L23" s="1356">
        <f>J23*K23</f>
        <v>111.85171199999999</v>
      </c>
      <c r="M23" s="176">
        <f>G23*I23</f>
        <v>0.64931673151750968</v>
      </c>
      <c r="N23" s="1490"/>
      <c r="O23" s="1506"/>
      <c r="P23" s="1491">
        <f>K23:K24/$K$24</f>
        <v>0.21408006809139876</v>
      </c>
      <c r="Q23" s="1506"/>
      <c r="S23" s="1492">
        <f>IFERROR(IF(G23/$G$24=0,0,G23/$G$24),"")</f>
        <v>0.20202020202020202</v>
      </c>
      <c r="T23" s="1493" t="s">
        <v>836</v>
      </c>
      <c r="U23" s="1493" t="s">
        <v>835</v>
      </c>
      <c r="V23" s="1494">
        <v>0.90</v>
      </c>
      <c r="W23" s="1495">
        <f>IF($H23*$T$12=0,"",$H23*$T$12)</f>
        <v>3.9053476674017715</v>
      </c>
      <c r="X23" s="1495">
        <f>IFERROR($W23*((1+$T$9)/(1+$T$8)*(1-((1+$T$9)/(1+$T$8))^$J23)/(1-((1+$T$9)/(1+$T$8)))),"")</f>
        <v>44.794030076205885</v>
      </c>
      <c r="Y23" s="1496">
        <f>IFERROR(D23/G23,"")</f>
        <v>9.2349999999999994</v>
      </c>
      <c r="Z23" s="1497">
        <v>5</v>
      </c>
      <c r="AA23" s="1498"/>
      <c r="AB23" s="1497">
        <f>IFERROR(($AS23*$H23*$V23*((1+$T$11)/(1+$T$8)*(1-((1+$T$11)/(1+$T$8))^$J23)/(1-((1+$T$11)/(1+$T$8)))))+($AT$22*$I23),"")</f>
        <v>16.332246327374673</v>
      </c>
      <c r="AC23" s="1497">
        <f>IFERROR((SUM($C23)/$G23)+($Z23*$V23),"")</f>
        <v>4.50</v>
      </c>
      <c r="AD23" s="1499">
        <f>IFERROR(IF(AB23="","",AB23-AC23),"")</f>
        <v>11.832246327374673</v>
      </c>
      <c r="AE23" s="1500">
        <f>IFERROR(AB23/AC23,"")</f>
        <v>3.6293880727499275</v>
      </c>
      <c r="AF23" s="1497">
        <f>IFERROR(($AS23*$H23*$V23*((1+$T$11)/(1+$T$8)*(1-((1+$T$11)/(1+$T$8))^$J23)/(1-((1+$T$11)/(1+$T$8)))))+($AT23*$I23),"")</f>
        <v>16.486134392744322</v>
      </c>
      <c r="AG23" s="1499">
        <f>IFERROR(-PV($T$8,1,($E23/$G23)),"")</f>
        <v>8.7122641509434029</v>
      </c>
      <c r="AH23" s="1499">
        <f>IFERROR(IF(AF23="","",AF23-AG23),"")</f>
        <v>7.7738702418009193</v>
      </c>
      <c r="AI23" s="1500">
        <f>IFERROR(AF23/AG23,"")</f>
        <v>1.8922904663030826</v>
      </c>
      <c r="AJ23" s="1499">
        <f>IFERROR(-PV($T$8,$J23,$W23)+($Y23),"")</f>
        <v>54.029030076205935</v>
      </c>
      <c r="AK23" s="1499">
        <f>IF(Z23="","",Z23)</f>
        <v>5</v>
      </c>
      <c r="AL23" s="1499">
        <f>IFERROR(IF(AJ23="","",AJ23-AK23),"")</f>
        <v>49.029030076205935</v>
      </c>
      <c r="AM23" s="1500">
        <f>IFERROR(AJ23/AK23,"")</f>
        <v>10.805806015241187</v>
      </c>
      <c r="AN23" s="1499">
        <f>IFERROR(($AS23*$H23*$V23*((1+$T$11)/(1+$T$8)*(1-((1+$T$11)/(1+$T$8))^$J23)/(1-((1+$T$11)/(1+$T$8)))))+($AT23*$I23),"")</f>
        <v>16.486134392744322</v>
      </c>
      <c r="AO23" s="1501">
        <f>IFERROR((SUM($C23)/$G23)+X23+Y23,"")</f>
        <v>54.029030076205885</v>
      </c>
      <c r="AP23" s="1499">
        <f>IFERROR(IF(AN23="","",AN23-AO23),"")</f>
        <v>-37.542895683461566</v>
      </c>
      <c r="AQ23" s="1502">
        <f>IFERROR(AN23/AO23,"")</f>
        <v>0.30513474644077931</v>
      </c>
      <c r="AR23" s="1488"/>
      <c r="AS23" s="1503">
        <f>IFERROR(VLOOKUP(ROUND($J23,0),'Seminole Avoided Cost'!$B$15:$Y$41,8,FALSE),"")</f>
        <v>0.055449999999999999</v>
      </c>
      <c r="AT23" s="1504">
        <f>IFERROR(VLOOKUP(ROUND($J23,0),'Seminole Avoided Cost'!$B$15:$Y$41,24,FALSE),"")</f>
        <v>147.83999999999998</v>
      </c>
      <c r="AU23" s="1505">
        <f>IFERROR(SUM(C23)/G23,"")</f>
        <v>0</v>
      </c>
    </row>
    <row r="24" spans="1:47" s="1470" customFormat="1" ht="16.2" thickBot="1">
      <c r="A24" s="1442" t="s">
        <v>103</v>
      </c>
      <c r="B24" s="1442"/>
      <c r="C24" s="1446">
        <f>SUM(C22:C23)</f>
        <v>0</v>
      </c>
      <c r="D24" s="1446">
        <f>SUM(D22:D23)</f>
        <v>3229.50</v>
      </c>
      <c r="E24" s="1446">
        <f>SUM(E22:E23)</f>
        <v>3229.50</v>
      </c>
      <c r="F24" s="1438" t="s">
        <v>76</v>
      </c>
      <c r="G24" s="1442">
        <f>SUM(G22:G23)</f>
        <v>990</v>
      </c>
      <c r="H24" s="1455">
        <f t="shared" si="0" ref="H24:I24">SUM(H22:H23)</f>
        <v>53.951811227999997</v>
      </c>
      <c r="I24" s="1454">
        <f t="shared" si="0"/>
        <v>0.0062226186770428021</v>
      </c>
      <c r="J24" s="1452">
        <f>SUMPRODUCT(J22:J23,P22:P23)</f>
        <v>9.783040885188182</v>
      </c>
      <c r="K24" s="1452">
        <f>SUM(K22:K23)</f>
        <v>26.123803350119996</v>
      </c>
      <c r="L24" s="1452">
        <f>SUM(L22:L23)</f>
        <v>255.57023625083997</v>
      </c>
      <c r="M24" s="1447">
        <f>SUM(M22:M23)</f>
        <v>3.00038439688716</v>
      </c>
      <c r="N24" s="1526"/>
      <c r="O24" s="1470"/>
      <c r="P24" s="1578">
        <f>SUM(P22:P23)</f>
        <v>1</v>
      </c>
      <c r="Q24" s="1470"/>
      <c r="S24" s="1509">
        <f>SUM(S22:S23)</f>
        <v>1</v>
      </c>
      <c r="T24" s="1510"/>
      <c r="U24" s="1510"/>
      <c r="V24" s="1510"/>
      <c r="W24" s="1511"/>
      <c r="X24" s="1511"/>
      <c r="Y24" s="1511"/>
      <c r="Z24" s="1512"/>
      <c r="AA24" s="1513"/>
      <c r="AB24" s="1512">
        <f>SUMPRODUCT(AB$22:AB$23,$S$22:$S$23)</f>
        <v>7.1837083680536811</v>
      </c>
      <c r="AC24" s="1512">
        <f>SUMPRODUCT(AC$22:AC$23,$S$22:$S$23)</f>
        <v>4.50</v>
      </c>
      <c r="AD24" s="1512">
        <f>SUMPRODUCT(AD$22:AD$23,$S$22:$S$23)</f>
        <v>2.6837083680536815</v>
      </c>
      <c r="AE24" s="1514">
        <f>IFERROR(AB24/AC24,"")</f>
        <v>1.5963796373452626</v>
      </c>
      <c r="AF24" s="1512">
        <f>SUMPRODUCT(AF$22:AF$23,$S$22:$S$23)</f>
        <v>7.2147968661081556</v>
      </c>
      <c r="AG24" s="1512">
        <f>SUMPRODUCT(AG$22:AG$23,$S$22:$S$23)</f>
        <v>3.0774728416237873</v>
      </c>
      <c r="AH24" s="1512">
        <f>SUMPRODUCT(AH$22:AH$23,$S$22:$S$23)</f>
        <v>4.1373240244843688</v>
      </c>
      <c r="AI24" s="1514">
        <f>IFERROR(AF24/AG24,"")</f>
        <v>2.3443901010354211</v>
      </c>
      <c r="AJ24" s="1512">
        <f>SUMPRODUCT(AJ$22:AJ$23,$S$22:$S$23)</f>
        <v>28.480156606866558</v>
      </c>
      <c r="AK24" s="1512">
        <f>SUMPRODUCT(AK$22:AK$23,$S$22:$S$23)</f>
        <v>5</v>
      </c>
      <c r="AL24" s="1512">
        <f>SUMPRODUCT(AL$22:AL$23,$S$22:$S$23)</f>
        <v>23.480156606866558</v>
      </c>
      <c r="AM24" s="1514">
        <f>IFERROR(AJ24/AK24,"")</f>
        <v>5.6960313213733116</v>
      </c>
      <c r="AN24" s="1512">
        <f>SUMPRODUCT(AN$22:AN$23,$S$22:$S$23)</f>
        <v>7.2147968661081556</v>
      </c>
      <c r="AO24" s="1512">
        <f>SUMPRODUCT(AO$22:AO$23,$S$22:$S$23)</f>
        <v>28.48015660686653</v>
      </c>
      <c r="AP24" s="1512">
        <f>SUMPRODUCT(AP$22:AP$23,$S$22:$S$23)</f>
        <v>-21.265359740758374</v>
      </c>
      <c r="AQ24" s="1514">
        <f>IFERROR(AN24/AO24,"")</f>
        <v>0.25332714864245787</v>
      </c>
      <c r="AR24" s="1488"/>
      <c r="AS24" s="1515">
        <f>IFERROR(VLOOKUP(ROUND($J24,0),'Seminole Avoided Cost'!$B$15:$Y$41,8,FALSE),"")</f>
        <v>0.038550000000000001</v>
      </c>
      <c r="AT24" s="1516">
        <f>IFERROR(VLOOKUP(ROUND($J24,0),'Seminole Avoided Cost'!$B$15:$Y$41,24,FALSE),"")</f>
        <v>110.03999999999999</v>
      </c>
      <c r="AU24" s="1517">
        <f>IFERROR(SUM(C24)/G24,"")</f>
        <v>0</v>
      </c>
    </row>
    <row r="25" spans="1:17" ht="15" thickBot="1">
      <c r="A25" s="380"/>
      <c r="B25" s="379"/>
      <c r="C25" s="378"/>
      <c r="D25" s="378"/>
      <c r="E25" s="378"/>
      <c r="F25" s="378"/>
      <c r="G25" s="378"/>
      <c r="H25" s="378"/>
      <c r="I25" s="378"/>
      <c r="J25" s="378"/>
      <c r="K25" s="378"/>
      <c r="L25" s="378"/>
      <c r="M25" s="378"/>
      <c r="N25" s="1541"/>
    </row>
    <row r="26" spans="1:17" ht="63" thickBot="1">
      <c r="A26" s="130" t="s">
        <v>99</v>
      </c>
      <c r="B26" s="108" t="s">
        <v>89</v>
      </c>
      <c r="C26" s="107" t="s">
        <v>88</v>
      </c>
      <c r="D26" s="106" t="s">
        <v>87</v>
      </c>
      <c r="E26" s="105" t="s">
        <v>86</v>
      </c>
      <c r="F26" s="104" t="s">
        <v>85</v>
      </c>
      <c r="G26" s="104" t="s">
        <v>98</v>
      </c>
      <c r="H26" s="104" t="s">
        <v>97</v>
      </c>
      <c r="I26" s="104" t="s">
        <v>82</v>
      </c>
      <c r="J26" s="104" t="s">
        <v>96</v>
      </c>
      <c r="K26" s="152" t="s">
        <v>80</v>
      </c>
      <c r="L26" s="152" t="s">
        <v>79</v>
      </c>
      <c r="M26" s="152" t="s">
        <v>95</v>
      </c>
      <c r="N26" s="125" t="s">
        <v>78</v>
      </c>
    </row>
    <row r="27" spans="1:46" s="173" customFormat="1" ht="16.8" thickTop="1" thickBot="1">
      <c r="A27" s="172"/>
      <c r="B27" s="180"/>
      <c r="C27" s="170">
        <v>0</v>
      </c>
      <c r="D27" s="179">
        <v>0</v>
      </c>
      <c r="E27" s="327">
        <f>SUM(C27:D27)</f>
        <v>0</v>
      </c>
      <c r="F27" s="178"/>
      <c r="G27" s="367"/>
      <c r="H27" s="175"/>
      <c r="I27" s="181"/>
      <c r="J27" s="175"/>
      <c r="K27" s="176"/>
      <c r="L27" s="176"/>
      <c r="M27" s="176"/>
      <c r="N27" s="842"/>
      <c r="O27" s="173"/>
      <c r="Q27" s="173"/>
      <c r="S27"/>
      <c r="T27"/>
      <c r="U27"/>
      <c r="V27"/>
      <c r="W27"/>
      <c r="X27"/>
      <c r="Y27"/>
      <c r="Z27"/>
      <c r="AA27"/>
      <c r="AB27"/>
      <c r="AC27"/>
      <c r="AD27"/>
      <c r="AE27"/>
      <c r="AF27"/>
      <c r="AG27"/>
      <c r="AH27"/>
      <c r="AI27"/>
      <c r="AJ27"/>
      <c r="AK27"/>
      <c r="AL27"/>
      <c r="AM27"/>
      <c r="AN27"/>
      <c r="AO27"/>
      <c r="AP27"/>
      <c r="AQ27"/>
      <c r="AR27"/>
      <c r="AS27" s="241"/>
      <c r="AT27" s="241"/>
    </row>
    <row r="28" spans="1:46" s="24" customFormat="1" ht="16.8" thickTop="1" thickBot="1">
      <c r="A28" s="321" t="s">
        <v>102</v>
      </c>
      <c r="B28" s="97"/>
      <c r="C28" s="96">
        <f>SUM(C27)</f>
        <v>0</v>
      </c>
      <c r="D28" s="96">
        <f>SUM(D27)</f>
        <v>0</v>
      </c>
      <c r="E28" s="96">
        <f>SUM(E27)</f>
        <v>0</v>
      </c>
      <c r="F28" s="95" t="s">
        <v>76</v>
      </c>
      <c r="G28" s="94">
        <f>SUM(G27)</f>
        <v>0</v>
      </c>
      <c r="H28" s="94"/>
      <c r="I28" s="94"/>
      <c r="J28" s="159"/>
      <c r="K28" s="159">
        <f>SUM(K27)</f>
        <v>0</v>
      </c>
      <c r="L28" s="159">
        <f>SUM(L27)</f>
        <v>0</v>
      </c>
      <c r="M28" s="138">
        <f>SUM(M27)</f>
        <v>0</v>
      </c>
      <c r="N28" s="669"/>
      <c r="O28" s="24"/>
      <c r="Q28" s="24"/>
      <c r="S28"/>
      <c r="T28"/>
      <c r="U28"/>
      <c r="V28"/>
      <c r="W28"/>
      <c r="X28"/>
      <c r="Y28"/>
      <c r="Z28"/>
      <c r="AA28"/>
      <c r="AB28"/>
      <c r="AC28"/>
      <c r="AD28"/>
      <c r="AE28"/>
      <c r="AF28"/>
      <c r="AG28"/>
      <c r="AH28"/>
      <c r="AI28"/>
      <c r="AJ28"/>
      <c r="AK28"/>
      <c r="AL28"/>
      <c r="AM28"/>
      <c r="AN28"/>
      <c r="AO28"/>
      <c r="AP28"/>
      <c r="AQ28"/>
      <c r="AR28"/>
      <c r="AS28" s="241"/>
      <c r="AT28" s="241"/>
    </row>
    <row r="29" spans="1:46" s="24" customFormat="1" ht="14.4">
      <c r="A29" s="133"/>
      <c r="B29" s="133"/>
      <c r="C29" s="133"/>
      <c r="D29" s="133"/>
      <c r="E29" s="133"/>
      <c r="F29" s="133"/>
      <c r="G29" s="133"/>
      <c r="H29" s="133"/>
      <c r="I29" s="133"/>
      <c r="J29" s="133"/>
      <c r="K29" s="133"/>
      <c r="L29" s="133"/>
      <c r="M29" s="133"/>
      <c r="N29" s="670"/>
      <c r="O29" s="24"/>
      <c r="Q29" s="24"/>
      <c r="AS29" s="395"/>
      <c r="AT29" s="395"/>
    </row>
    <row r="30" spans="1:46" ht="21">
      <c r="A30" s="1699" t="s">
        <v>101</v>
      </c>
      <c r="B30" s="1699"/>
      <c r="C30" s="1699"/>
      <c r="D30" s="1699"/>
      <c r="E30" s="1699"/>
      <c r="F30" s="1699"/>
      <c r="G30" s="1699"/>
      <c r="H30" s="1699"/>
      <c r="I30" s="1699"/>
      <c r="J30" s="1699"/>
      <c r="K30" s="1699"/>
      <c r="L30" s="1699"/>
      <c r="M30" s="1699"/>
      <c r="N30" s="1699"/>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395"/>
      <c r="AT30" s="395"/>
    </row>
    <row r="31" spans="1:46" s="1470" customFormat="1" ht="62.4">
      <c r="A31" s="434" t="s">
        <v>90</v>
      </c>
      <c r="B31" s="434" t="s">
        <v>89</v>
      </c>
      <c r="C31" s="434" t="s">
        <v>88</v>
      </c>
      <c r="D31" s="434" t="s">
        <v>87</v>
      </c>
      <c r="E31" s="434" t="s">
        <v>86</v>
      </c>
      <c r="F31" s="434" t="s">
        <v>85</v>
      </c>
      <c r="G31" s="434" t="s">
        <v>84</v>
      </c>
      <c r="H31" s="434" t="s">
        <v>97</v>
      </c>
      <c r="I31" s="434" t="s">
        <v>82</v>
      </c>
      <c r="J31" s="434" t="s">
        <v>96</v>
      </c>
      <c r="K31" s="434" t="s">
        <v>80</v>
      </c>
      <c r="L31" s="434" t="s">
        <v>79</v>
      </c>
      <c r="M31" s="434" t="s">
        <v>95</v>
      </c>
      <c r="N31" s="434" t="s">
        <v>78</v>
      </c>
      <c r="O31" s="1470"/>
      <c r="Q31" s="1470"/>
      <c r="AS31" s="1471"/>
      <c r="AT31" s="1471"/>
    </row>
    <row r="32" spans="1:46" s="1470" customFormat="1" ht="31.2">
      <c r="A32" s="1468" t="s">
        <v>707</v>
      </c>
      <c r="B32" s="1464" t="s">
        <v>1439</v>
      </c>
      <c r="C32" s="1582">
        <f>'48W Streetlight'!$E$56*G32</f>
        <v>165.98693390434528</v>
      </c>
      <c r="D32" s="1582">
        <v>0</v>
      </c>
      <c r="E32" s="1582">
        <f>SUM(C32:C32)</f>
        <v>165.98693390434528</v>
      </c>
      <c r="F32" s="1464"/>
      <c r="G32" s="1583">
        <v>8</v>
      </c>
      <c r="H32" s="1592">
        <f>'48W Streetlight'!$E$24-'48W Streetlight'!$E$51</f>
        <v>363.87</v>
      </c>
      <c r="I32" s="1464">
        <v>0</v>
      </c>
      <c r="J32" s="1580">
        <f>'48W Streetlight'!$E$40</f>
        <v>12.367054167697255</v>
      </c>
      <c r="K32" s="1581">
        <f>(G32*H32)/1000</f>
        <v>2.9109600000000002</v>
      </c>
      <c r="L32" s="1581">
        <f>J32*K32</f>
        <v>36</v>
      </c>
      <c r="M32" s="1581">
        <f>G32*I32</f>
        <v>0</v>
      </c>
      <c r="N32" s="1507" t="s">
        <v>705</v>
      </c>
      <c r="O32" s="1470"/>
      <c r="Q32" s="1470"/>
      <c r="AS32" s="1471"/>
      <c r="AT32" s="1471"/>
    </row>
    <row r="33" spans="1:46" s="1470" customFormat="1" ht="16.2" thickBot="1">
      <c r="A33" s="1587" t="s">
        <v>100</v>
      </c>
      <c r="B33" s="1588"/>
      <c r="C33" s="1579">
        <f>SUM(C32:C32)</f>
        <v>165.98693390434528</v>
      </c>
      <c r="D33" s="1579">
        <f>SUM(D32:D32)</f>
        <v>0</v>
      </c>
      <c r="E33" s="1579">
        <f>SUM(E32:E32)</f>
        <v>165.98693390434528</v>
      </c>
      <c r="F33" s="1584" t="s">
        <v>76</v>
      </c>
      <c r="G33" s="1585">
        <f>SUM(G32:G32)</f>
        <v>8</v>
      </c>
      <c r="H33" s="1593">
        <f t="shared" si="1" ref="H33:J33">SUM(H32:H32)</f>
        <v>363.87</v>
      </c>
      <c r="I33" s="1585">
        <f t="shared" si="1"/>
        <v>0</v>
      </c>
      <c r="J33" s="1591">
        <f t="shared" si="1"/>
        <v>12.367054167697255</v>
      </c>
      <c r="K33" s="1590">
        <f>SUM(K32:K32)</f>
        <v>2.9109600000000002</v>
      </c>
      <c r="L33" s="1590">
        <f>SUM(L32:L32)</f>
        <v>36</v>
      </c>
      <c r="M33" s="1586">
        <f>SUM(M32:M32)</f>
        <v>0</v>
      </c>
      <c r="N33" s="1589"/>
      <c r="O33" s="1470"/>
      <c r="Q33" s="1470"/>
      <c r="AS33" s="1471"/>
      <c r="AT33" s="1471"/>
    </row>
    <row r="34" spans="1:46" s="24" customFormat="1" ht="15" thickBot="1">
      <c r="A34" s="347"/>
      <c r="B34" s="344"/>
      <c r="C34" s="346"/>
      <c r="D34" s="346"/>
      <c r="E34" s="346"/>
      <c r="F34" s="345"/>
      <c r="G34" s="344"/>
      <c r="H34" s="344"/>
      <c r="I34" s="344"/>
      <c r="J34" s="344"/>
      <c r="K34" s="343"/>
      <c r="L34" s="343"/>
      <c r="M34" s="343"/>
      <c r="N34" s="668"/>
      <c r="O34" s="24"/>
      <c r="Q34" s="24"/>
      <c r="S34"/>
      <c r="T34"/>
      <c r="U34"/>
      <c r="V34"/>
      <c r="W34"/>
      <c r="X34"/>
      <c r="Y34"/>
      <c r="Z34"/>
      <c r="AA34"/>
      <c r="AB34"/>
      <c r="AC34"/>
      <c r="AD34"/>
      <c r="AE34"/>
      <c r="AF34"/>
      <c r="AG34"/>
      <c r="AH34"/>
      <c r="AI34"/>
      <c r="AJ34"/>
      <c r="AK34"/>
      <c r="AL34"/>
      <c r="AM34"/>
      <c r="AN34"/>
      <c r="AO34"/>
      <c r="AP34"/>
      <c r="AQ34"/>
      <c r="AR34"/>
      <c r="AS34" s="241"/>
      <c r="AT34" s="241"/>
    </row>
    <row r="35" spans="1:46" ht="63" thickBot="1">
      <c r="A35" s="373" t="s">
        <v>99</v>
      </c>
      <c r="B35" s="372" t="s">
        <v>89</v>
      </c>
      <c r="C35" s="371" t="s">
        <v>88</v>
      </c>
      <c r="D35" s="370" t="s">
        <v>87</v>
      </c>
      <c r="E35" s="369" t="s">
        <v>86</v>
      </c>
      <c r="F35" s="90" t="s">
        <v>85</v>
      </c>
      <c r="G35" s="90" t="s">
        <v>98</v>
      </c>
      <c r="H35" s="90" t="s">
        <v>97</v>
      </c>
      <c r="I35" s="90" t="s">
        <v>82</v>
      </c>
      <c r="J35" s="90" t="s">
        <v>96</v>
      </c>
      <c r="K35" s="90" t="s">
        <v>80</v>
      </c>
      <c r="L35" s="90" t="s">
        <v>79</v>
      </c>
      <c r="M35" s="90" t="s">
        <v>95</v>
      </c>
      <c r="N35" s="368" t="s">
        <v>78</v>
      </c>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395"/>
      <c r="AT35" s="395"/>
    </row>
    <row r="36" spans="1:17" ht="16.8" thickTop="1" thickBot="1">
      <c r="A36" s="140" t="s">
        <v>660</v>
      </c>
      <c r="B36" s="322"/>
      <c r="C36" s="100">
        <v>0</v>
      </c>
      <c r="D36" s="169">
        <v>0</v>
      </c>
      <c r="E36" s="320">
        <f>SUM(C36:D36)</f>
        <v>0</v>
      </c>
      <c r="F36" s="318"/>
      <c r="G36" s="166">
        <v>2</v>
      </c>
      <c r="H36" s="319"/>
      <c r="I36" s="318"/>
      <c r="J36" s="317"/>
      <c r="K36" s="176">
        <f>(G36*H36)/1000</f>
        <v>0</v>
      </c>
      <c r="L36" s="176">
        <f>J36*K36</f>
        <v>0</v>
      </c>
      <c r="M36" s="176">
        <f>G36*I36</f>
        <v>0</v>
      </c>
      <c r="N36" s="667"/>
    </row>
    <row r="37" spans="1:17" ht="16.8" thickTop="1" thickBot="1">
      <c r="A37" s="140" t="s">
        <v>659</v>
      </c>
      <c r="B37" s="322"/>
      <c r="C37" s="100">
        <v>0</v>
      </c>
      <c r="D37" s="169">
        <v>0</v>
      </c>
      <c r="E37" s="320">
        <f>SUM(C37:D37)</f>
        <v>0</v>
      </c>
      <c r="F37" s="318"/>
      <c r="G37" s="166">
        <v>2</v>
      </c>
      <c r="H37" s="319"/>
      <c r="I37" s="318"/>
      <c r="J37" s="317"/>
      <c r="K37" s="176">
        <f>(G37*H37)/1000</f>
        <v>0</v>
      </c>
      <c r="L37" s="176">
        <f>J37*K37</f>
        <v>0</v>
      </c>
      <c r="M37" s="176">
        <f>G37*I37</f>
        <v>0</v>
      </c>
      <c r="N37" s="842"/>
    </row>
    <row r="38" spans="1:46" s="24" customFormat="1" ht="16.8" thickTop="1" thickBot="1">
      <c r="A38" s="321" t="s">
        <v>93</v>
      </c>
      <c r="B38" s="97"/>
      <c r="C38" s="96">
        <f>SUM(C36:C37)</f>
        <v>0</v>
      </c>
      <c r="D38" s="96">
        <f>SUM(D36:D37)</f>
        <v>0</v>
      </c>
      <c r="E38" s="96">
        <f>SUM(E36:E37)</f>
        <v>0</v>
      </c>
      <c r="F38" s="95" t="s">
        <v>76</v>
      </c>
      <c r="G38" s="94">
        <f>SUM(G36:G37)</f>
        <v>4</v>
      </c>
      <c r="H38" s="94"/>
      <c r="I38" s="94"/>
      <c r="J38" s="159"/>
      <c r="K38" s="159">
        <f>SUM(K36:K37)</f>
        <v>0</v>
      </c>
      <c r="L38" s="159">
        <f>SUM(L36:L37)</f>
        <v>0</v>
      </c>
      <c r="M38" s="138">
        <f>SUM(M36:M37)</f>
        <v>0</v>
      </c>
      <c r="N38" s="669"/>
      <c r="O38" s="24"/>
      <c r="Q38" s="24"/>
      <c r="AS38" s="395"/>
      <c r="AT38" s="395"/>
    </row>
    <row r="39" spans="1:17" ht="14.4">
      <c r="A39" s="110"/>
      <c r="B39" s="109"/>
      <c r="C39" s="109"/>
      <c r="D39" s="109"/>
      <c r="E39" s="109"/>
      <c r="F39" s="109"/>
      <c r="G39" s="109"/>
      <c r="H39" s="109"/>
      <c r="I39" s="109"/>
      <c r="J39" s="109"/>
      <c r="K39" s="109"/>
      <c r="L39" s="109"/>
      <c r="M39" s="79"/>
    </row>
    <row r="40" spans="1:17" ht="21">
      <c r="A40" s="1699" t="s">
        <v>91</v>
      </c>
      <c r="B40" s="1699"/>
      <c r="C40" s="1699"/>
      <c r="D40" s="1699"/>
      <c r="E40" s="1699"/>
      <c r="F40" s="1699"/>
      <c r="G40" s="1699"/>
      <c r="H40" s="1699"/>
      <c r="I40" s="1699"/>
      <c r="J40" s="1699"/>
      <c r="K40" s="1699"/>
      <c r="L40" s="1699"/>
      <c r="M40" s="1699"/>
      <c r="N40" s="1699"/>
    </row>
    <row r="41" spans="1:17" ht="62.4">
      <c r="A41" s="434" t="s">
        <v>90</v>
      </c>
      <c r="B41" s="434" t="s">
        <v>89</v>
      </c>
      <c r="C41" s="434" t="s">
        <v>88</v>
      </c>
      <c r="D41" s="1346" t="s">
        <v>87</v>
      </c>
      <c r="E41" s="434" t="s">
        <v>86</v>
      </c>
      <c r="F41" s="434" t="s">
        <v>85</v>
      </c>
      <c r="G41" s="434" t="s">
        <v>84</v>
      </c>
      <c r="H41" s="434" t="s">
        <v>83</v>
      </c>
      <c r="I41" s="434" t="s">
        <v>82</v>
      </c>
      <c r="J41" s="434" t="s">
        <v>81</v>
      </c>
      <c r="K41" s="434" t="s">
        <v>80</v>
      </c>
      <c r="L41" s="434" t="s">
        <v>79</v>
      </c>
      <c r="M41" s="434" t="s">
        <v>95</v>
      </c>
      <c r="N41" s="434" t="s">
        <v>78</v>
      </c>
    </row>
    <row r="42" spans="1:17" ht="31.2">
      <c r="A42" s="1451" t="s">
        <v>1339</v>
      </c>
      <c r="B42" s="1464" t="s">
        <v>1446</v>
      </c>
      <c r="C42" s="1348">
        <v>0</v>
      </c>
      <c r="D42" s="1348">
        <v>0</v>
      </c>
      <c r="E42" s="1348">
        <f>SUM(C42:C42)</f>
        <v>0</v>
      </c>
      <c r="F42" s="1444"/>
      <c r="G42" s="1349">
        <f>SUMIFS('General Lighting Calculations'!$S:$S,'General Lighting Calculations'!$AF:$AF,1,'General Lighting Calculations'!$B:$B,"Peace River")</f>
        <v>55</v>
      </c>
      <c r="H42" s="165">
        <f>SUMIFS('General Lighting Calculations'!$Y:$Y,'General Lighting Calculations'!$AF:$AF,1,'General Lighting Calculations'!$B:$B,"Peace River")/$G42</f>
        <v>340.78054545454546</v>
      </c>
      <c r="I42" s="328">
        <f>AVERAGEIFS('General Lighting Calculations'!$AE:$AE,'General Lighting Calculations'!$AF:$AF,1,'General Lighting Calculations'!$B:$B,"Peace River")/$G42</f>
        <v>0.017338882060606069</v>
      </c>
      <c r="J42" s="165">
        <f>AVERAGEIFS('General Lighting Calculations'!$Q:$Q,'General Lighting Calculations'!$AF:$AF,1,'General Lighting Calculations'!$B:$B,"Peace River")</f>
        <v>20.225120797283545</v>
      </c>
      <c r="K42" s="164">
        <f>(G42*H42)/1000</f>
        <v>18.742930000000001</v>
      </c>
      <c r="L42" s="164">
        <f>J42*K42</f>
        <v>379.07802334502969</v>
      </c>
      <c r="M42" s="164">
        <f>G42*I42</f>
        <v>0.95363851333333383</v>
      </c>
      <c r="N42" s="1507"/>
    </row>
    <row r="43" spans="1:46" s="613" customFormat="1" ht="200.1" customHeight="1">
      <c r="A43" s="1602" t="s">
        <v>1449</v>
      </c>
      <c r="B43" s="825" t="s">
        <v>1731</v>
      </c>
      <c r="C43" s="1599">
        <v>0</v>
      </c>
      <c r="D43" s="1599">
        <v>0</v>
      </c>
      <c r="E43" s="1599">
        <f>SUM(C43:C43)</f>
        <v>0</v>
      </c>
      <c r="F43" s="1406" t="s">
        <v>1450</v>
      </c>
      <c r="G43" s="1600">
        <f>'System Savings Questionnaire'!$C$78</f>
        <v>679514864</v>
      </c>
      <c r="H43" s="762">
        <f>G43*5*0.8%*(130/8760)</f>
        <v>403364.98776255711</v>
      </c>
      <c r="I43" s="764">
        <f>'System Savings Questionnaire'!$F$90*5*0.8%</f>
        <v>6177.64</v>
      </c>
      <c r="J43" s="762">
        <v>1</v>
      </c>
      <c r="K43" s="764">
        <f>(H43)/1000</f>
        <v>403.36498776255712</v>
      </c>
      <c r="L43" s="764">
        <f>J43*K43</f>
        <v>403.36498776255712</v>
      </c>
      <c r="M43" s="764">
        <f>I43</f>
        <v>6177.64</v>
      </c>
      <c r="N43" s="1407" t="s">
        <v>1732</v>
      </c>
      <c r="O43" s="613"/>
      <c r="Q43" s="613"/>
      <c r="AS43" s="671"/>
      <c r="AT43" s="671"/>
    </row>
    <row r="44" spans="1:17" ht="15.6">
      <c r="A44" s="1442" t="s">
        <v>77</v>
      </c>
      <c r="B44" s="1442"/>
      <c r="C44" s="1446">
        <f>SUM(C42:C43)</f>
        <v>0</v>
      </c>
      <c r="D44" s="1446">
        <f>SUM(D42:D43)</f>
        <v>0</v>
      </c>
      <c r="E44" s="1446">
        <f>SUM(E42:E43)</f>
        <v>0</v>
      </c>
      <c r="F44" s="1439" t="s">
        <v>76</v>
      </c>
      <c r="G44" s="1442">
        <f>SUM(G42:G43)</f>
        <v>679514919</v>
      </c>
      <c r="H44" s="1442"/>
      <c r="I44" s="1442"/>
      <c r="J44" s="1447"/>
      <c r="K44" s="1447">
        <f>SUM(K42:K43)</f>
        <v>422.10791776255712</v>
      </c>
      <c r="L44" s="1447">
        <f>SUM(L42:L43)</f>
        <v>782.44301110758681</v>
      </c>
      <c r="M44" s="1448">
        <f>SUM(M42:M43)</f>
        <v>6178.5936385133336</v>
      </c>
      <c r="N44" s="1526"/>
    </row>
    <row r="45" spans="1:17" ht="16.2" thickBot="1">
      <c r="A45" s="1603"/>
      <c r="B45" s="1604"/>
      <c r="C45" s="1604"/>
      <c r="D45" s="1604"/>
      <c r="E45" s="1604"/>
      <c r="F45" s="1604"/>
      <c r="G45" s="1604"/>
      <c r="H45" s="1604"/>
      <c r="I45" s="1604"/>
      <c r="J45" s="1604"/>
      <c r="K45" s="1604"/>
      <c r="L45" s="1604"/>
      <c r="M45" s="1470"/>
      <c r="N45" s="1601"/>
    </row>
    <row r="46" spans="1:17" ht="21.6" thickBot="1">
      <c r="A46" s="1679" t="s">
        <v>75</v>
      </c>
      <c r="B46" s="1680"/>
      <c r="C46" s="1681"/>
      <c r="I46" s="508"/>
    </row>
    <row r="47" spans="1:17" ht="15.6">
      <c r="A47" s="91" t="s">
        <v>74</v>
      </c>
      <c r="B47" s="90" t="s">
        <v>73</v>
      </c>
      <c r="C47" s="89" t="s">
        <v>72</v>
      </c>
      <c r="H47" s="366">
        <f>I43*130</f>
        <v>803093.20000000007</v>
      </c>
      <c r="J47" s="508"/>
    </row>
    <row r="48" spans="1:17" ht="14.4">
      <c r="A48" s="88" t="s">
        <v>61</v>
      </c>
      <c r="B48" s="314">
        <v>31718</v>
      </c>
      <c r="C48" s="86">
        <v>0</v>
      </c>
    </row>
    <row r="49" spans="1:17" ht="14.4">
      <c r="A49" s="88" t="s">
        <v>60</v>
      </c>
      <c r="B49" s="314">
        <v>6486</v>
      </c>
      <c r="C49" s="86">
        <v>0</v>
      </c>
    </row>
    <row r="50" spans="1:17" ht="14.4">
      <c r="A50" s="88" t="s">
        <v>59</v>
      </c>
      <c r="B50" s="314">
        <v>38</v>
      </c>
      <c r="C50" s="86">
        <v>0</v>
      </c>
    </row>
    <row r="51" spans="1:17" ht="16.2" thickBot="1">
      <c r="A51" s="85" t="str">
        <f>"Total for "&amp;A46</f>
        <v>Total for Advanced Metering</v>
      </c>
      <c r="B51" s="84">
        <f>SUM(B48:B50)</f>
        <v>38242</v>
      </c>
      <c r="C51" s="83">
        <f>SUM(C48:C50)</f>
        <v>0</v>
      </c>
    </row>
  </sheetData>
  <mergeCells count="30">
    <mergeCell ref="A1:N1"/>
    <mergeCell ref="AS20:AT20"/>
    <mergeCell ref="A40:N40"/>
    <mergeCell ref="C20:E20"/>
    <mergeCell ref="A46:C46"/>
    <mergeCell ref="F11:H11"/>
    <mergeCell ref="F12:H12"/>
    <mergeCell ref="F13:H13"/>
    <mergeCell ref="F14:H14"/>
    <mergeCell ref="F15:H15"/>
    <mergeCell ref="F16:H16"/>
    <mergeCell ref="F20:L20"/>
    <mergeCell ref="A19:N19"/>
    <mergeCell ref="A30:N30"/>
    <mergeCell ref="F10:H10"/>
    <mergeCell ref="A4:N4"/>
    <mergeCell ref="F6:H6"/>
    <mergeCell ref="F7:H7"/>
    <mergeCell ref="F8:H8"/>
    <mergeCell ref="F9:H9"/>
    <mergeCell ref="S6:U6"/>
    <mergeCell ref="AB18:AE18"/>
    <mergeCell ref="AJ18:AM18"/>
    <mergeCell ref="S19:AA19"/>
    <mergeCell ref="AB19:AQ19"/>
    <mergeCell ref="S20:AA20"/>
    <mergeCell ref="AB20:AE20"/>
    <mergeCell ref="AF20:AI20"/>
    <mergeCell ref="AJ20:AM20"/>
    <mergeCell ref="AN20:AQ20"/>
  </mergeCells>
  <conditionalFormatting sqref="D22:D23">
    <cfRule type="expression" priority="99" dxfId="9">
      <formula>ISBLANK(D22)</formula>
    </cfRule>
    <cfRule type="expression" priority="100">
      <formula>NOT(ISBLANK(D22))</formula>
    </cfRule>
  </conditionalFormatting>
  <conditionalFormatting sqref="C37">
    <cfRule type="expression" priority="83" dxfId="9">
      <formula>ISBLANK(C37)</formula>
    </cfRule>
    <cfRule type="expression" priority="84">
      <formula>NOT(ISBLANK(C37))</formula>
    </cfRule>
  </conditionalFormatting>
  <conditionalFormatting sqref="G27">
    <cfRule type="expression" priority="85" dxfId="9">
      <formula>ISBLANK(G27)</formula>
    </cfRule>
    <cfRule type="expression" priority="86">
      <formula>NOT(ISBLANK(G27))</formula>
    </cfRule>
  </conditionalFormatting>
  <conditionalFormatting sqref="G37">
    <cfRule type="expression" priority="81" dxfId="9">
      <formula>ISBLANK(G37)</formula>
    </cfRule>
    <cfRule type="expression" priority="82">
      <formula>NOT(ISBLANK(G37))</formula>
    </cfRule>
  </conditionalFormatting>
  <conditionalFormatting sqref="C22:C23">
    <cfRule type="expression" priority="97" dxfId="8">
      <formula>ISBLANK(C22)</formula>
    </cfRule>
    <cfRule type="expression" priority="98">
      <formula>NOT(ISBLANK(C22))</formula>
    </cfRule>
  </conditionalFormatting>
  <conditionalFormatting sqref="C22:C23">
    <cfRule type="expression" priority="95" dxfId="9">
      <formula>ISBLANK(C22)</formula>
    </cfRule>
    <cfRule type="expression" priority="96">
      <formula>NOT(ISBLANK(C22))</formula>
    </cfRule>
  </conditionalFormatting>
  <conditionalFormatting sqref="C42">
    <cfRule type="expression" priority="61" dxfId="9">
      <formula>ISBLANK(C42)</formula>
    </cfRule>
    <cfRule type="expression" priority="62">
      <formula>NOT(ISBLANK(C42))</formula>
    </cfRule>
  </conditionalFormatting>
  <conditionalFormatting sqref="G22:G23">
    <cfRule type="expression" priority="93" dxfId="9">
      <formula>ISBLANK(G22)</formula>
    </cfRule>
    <cfRule type="expression" priority="94">
      <formula>NOT(ISBLANK(G22))</formula>
    </cfRule>
  </conditionalFormatting>
  <conditionalFormatting sqref="D27">
    <cfRule type="expression" priority="91" dxfId="9">
      <formula>ISBLANK(D27)</formula>
    </cfRule>
    <cfRule type="expression" priority="92">
      <formula>NOT(ISBLANK(D27))</formula>
    </cfRule>
  </conditionalFormatting>
  <conditionalFormatting sqref="C27">
    <cfRule type="expression" priority="89" dxfId="8">
      <formula>ISBLANK(C27)</formula>
    </cfRule>
    <cfRule type="expression" priority="90">
      <formula>NOT(ISBLANK(C27))</formula>
    </cfRule>
  </conditionalFormatting>
  <conditionalFormatting sqref="C27">
    <cfRule type="expression" priority="87" dxfId="9">
      <formula>ISBLANK(C27)</formula>
    </cfRule>
    <cfRule type="expression" priority="88">
      <formula>NOT(ISBLANK(C27))</formula>
    </cfRule>
  </conditionalFormatting>
  <conditionalFormatting sqref="G42">
    <cfRule type="expression" priority="59" dxfId="9">
      <formula>ISBLANK(G42)</formula>
    </cfRule>
    <cfRule type="expression" priority="60">
      <formula>NOT(ISBLANK(G42))</formula>
    </cfRule>
  </conditionalFormatting>
  <conditionalFormatting sqref="C36:D37">
    <cfRule type="expression" priority="77" dxfId="9">
      <formula>ISBLANK(C36)</formula>
    </cfRule>
    <cfRule type="expression" priority="78">
      <formula>NOT(ISBLANK(C36))</formula>
    </cfRule>
  </conditionalFormatting>
  <conditionalFormatting sqref="G36:G37">
    <cfRule type="expression" priority="79" dxfId="9">
      <formula>ISBLANK(G36)</formula>
    </cfRule>
    <cfRule type="expression" priority="80">
      <formula>NOT(ISBLANK(G36))</formula>
    </cfRule>
  </conditionalFormatting>
  <conditionalFormatting sqref="C36:C37">
    <cfRule type="expression" priority="75" dxfId="8">
      <formula>ISBLANK(C36)</formula>
    </cfRule>
    <cfRule type="expression" priority="76">
      <formula>NOT(ISBLANK(C36))</formula>
    </cfRule>
  </conditionalFormatting>
  <conditionalFormatting sqref="D42">
    <cfRule type="expression" priority="65" dxfId="9">
      <formula>ISBLANK(D42)</formula>
    </cfRule>
    <cfRule type="expression" priority="66">
      <formula>NOT(ISBLANK(D42))</formula>
    </cfRule>
  </conditionalFormatting>
  <conditionalFormatting sqref="C42">
    <cfRule type="expression" priority="63" dxfId="8">
      <formula>ISBLANK(C42)</formula>
    </cfRule>
    <cfRule type="expression" priority="64">
      <formula>NOT(ISBLANK(C42))</formula>
    </cfRule>
  </conditionalFormatting>
  <conditionalFormatting sqref="B11">
    <cfRule type="expression" priority="57" dxfId="9">
      <formula>ISBLANK(B11)</formula>
    </cfRule>
    <cfRule type="expression" priority="58">
      <formula>NOT(ISBLANK(B11))</formula>
    </cfRule>
  </conditionalFormatting>
  <conditionalFormatting sqref="AE22">
    <cfRule type="colorScale" priority="25">
      <colorScale>
        <cfvo type="min" val="0"/>
        <cfvo type="percentile" val="50"/>
        <cfvo type="max" val="0"/>
        <color rgb="FFF8696B"/>
        <color rgb="FFFFEB84"/>
        <color rgb="FF63BE7B"/>
      </colorScale>
    </cfRule>
    <cfRule type="cellIs" priority="26" dxfId="0" operator="lessThan">
      <formula>1</formula>
    </cfRule>
  </conditionalFormatting>
  <conditionalFormatting sqref="AI22">
    <cfRule type="colorScale" priority="27">
      <colorScale>
        <cfvo type="min" val="0"/>
        <cfvo type="percentile" val="50"/>
        <cfvo type="max" val="0"/>
        <color rgb="FFF8696B"/>
        <color rgb="FFFFEB84"/>
        <color rgb="FF63BE7B"/>
      </colorScale>
    </cfRule>
    <cfRule type="cellIs" priority="28" dxfId="0" operator="lessThan">
      <formula>1</formula>
    </cfRule>
  </conditionalFormatting>
  <conditionalFormatting sqref="AM22">
    <cfRule type="colorScale" priority="29">
      <colorScale>
        <cfvo type="min" val="0"/>
        <cfvo type="percentile" val="50"/>
        <cfvo type="max" val="0"/>
        <color rgb="FFF8696B"/>
        <color rgb="FFFFEB84"/>
        <color rgb="FF63BE7B"/>
      </colorScale>
    </cfRule>
    <cfRule type="cellIs" priority="30" dxfId="0" operator="lessThan">
      <formula>1</formula>
    </cfRule>
  </conditionalFormatting>
  <conditionalFormatting sqref="AQ22">
    <cfRule type="colorScale" priority="31">
      <colorScale>
        <cfvo type="min" val="0"/>
        <cfvo type="percentile" val="50"/>
        <cfvo type="max" val="0"/>
        <color rgb="FFF8696B"/>
        <color rgb="FFFFEB84"/>
        <color rgb="FF63BE7B"/>
      </colorScale>
    </cfRule>
    <cfRule type="cellIs" priority="32" dxfId="0" operator="lessThan">
      <formula>1</formula>
    </cfRule>
  </conditionalFormatting>
  <conditionalFormatting sqref="AE24">
    <cfRule type="cellIs" priority="24" dxfId="0" operator="lessThan">
      <formula>1</formula>
    </cfRule>
  </conditionalFormatting>
  <conditionalFormatting sqref="AI24">
    <cfRule type="cellIs" priority="23" dxfId="0" operator="lessThan">
      <formula>1</formula>
    </cfRule>
  </conditionalFormatting>
  <conditionalFormatting sqref="AQ24">
    <cfRule type="cellIs" priority="21" dxfId="0" operator="lessThan">
      <formula>1</formula>
    </cfRule>
  </conditionalFormatting>
  <conditionalFormatting sqref="AM24">
    <cfRule type="cellIs" priority="22" dxfId="0" operator="lessThan">
      <formula>1</formula>
    </cfRule>
  </conditionalFormatting>
  <conditionalFormatting sqref="AE23">
    <cfRule type="colorScale" priority="13">
      <colorScale>
        <cfvo type="min" val="0"/>
        <cfvo type="percentile" val="50"/>
        <cfvo type="max" val="0"/>
        <color rgb="FFF8696B"/>
        <color rgb="FFFFEB84"/>
        <color rgb="FF63BE7B"/>
      </colorScale>
    </cfRule>
    <cfRule type="cellIs" priority="14" dxfId="0" operator="lessThan">
      <formula>1</formula>
    </cfRule>
  </conditionalFormatting>
  <conditionalFormatting sqref="AI23">
    <cfRule type="colorScale" priority="15">
      <colorScale>
        <cfvo type="min" val="0"/>
        <cfvo type="percentile" val="50"/>
        <cfvo type="max" val="0"/>
        <color rgb="FFF8696B"/>
        <color rgb="FFFFEB84"/>
        <color rgb="FF63BE7B"/>
      </colorScale>
    </cfRule>
    <cfRule type="cellIs" priority="16" dxfId="0" operator="lessThan">
      <formula>1</formula>
    </cfRule>
  </conditionalFormatting>
  <conditionalFormatting sqref="AM23">
    <cfRule type="colorScale" priority="17">
      <colorScale>
        <cfvo type="min" val="0"/>
        <cfvo type="percentile" val="50"/>
        <cfvo type="max" val="0"/>
        <color rgb="FFF8696B"/>
        <color rgb="FFFFEB84"/>
        <color rgb="FF63BE7B"/>
      </colorScale>
    </cfRule>
    <cfRule type="cellIs" priority="18" dxfId="0" operator="lessThan">
      <formula>1</formula>
    </cfRule>
  </conditionalFormatting>
  <conditionalFormatting sqref="AQ23">
    <cfRule type="colorScale" priority="19">
      <colorScale>
        <cfvo type="min" val="0"/>
        <cfvo type="percentile" val="50"/>
        <cfvo type="max" val="0"/>
        <color rgb="FFF8696B"/>
        <color rgb="FFFFEB84"/>
        <color rgb="FF63BE7B"/>
      </colorScale>
    </cfRule>
    <cfRule type="cellIs" priority="20" dxfId="0" operator="lessThan">
      <formula>1</formula>
    </cfRule>
  </conditionalFormatting>
  <conditionalFormatting sqref="C32:D32">
    <cfRule type="expression" priority="9" dxfId="9">
      <formula>ISBLANK(C32)</formula>
    </cfRule>
    <cfRule type="expression" priority="10">
      <formula>NOT(ISBLANK(C32))</formula>
    </cfRule>
  </conditionalFormatting>
  <conditionalFormatting sqref="G32">
    <cfRule type="expression" priority="11" dxfId="9">
      <formula>ISBLANK(G32)</formula>
    </cfRule>
    <cfRule type="expression" priority="12">
      <formula>NOT(ISBLANK(G32))</formula>
    </cfRule>
  </conditionalFormatting>
  <conditionalFormatting sqref="C32">
    <cfRule type="expression" priority="7" dxfId="8">
      <formula>ISBLANK(C32)</formula>
    </cfRule>
    <cfRule type="expression" priority="8">
      <formula>NOT(ISBLANK(C32))</formula>
    </cfRule>
  </conditionalFormatting>
  <conditionalFormatting sqref="C43:D43">
    <cfRule type="expression" priority="5" dxfId="9">
      <formula>ISBLANK(C43)</formula>
    </cfRule>
    <cfRule type="expression" priority="6">
      <formula>NOT(ISBLANK(C43))</formula>
    </cfRule>
  </conditionalFormatting>
  <conditionalFormatting sqref="C43">
    <cfRule type="expression" priority="3" dxfId="8">
      <formula>ISBLANK(C43)</formula>
    </cfRule>
    <cfRule type="expression" priority="4">
      <formula>NOT(ISBLANK(C43))</formula>
    </cfRule>
  </conditionalFormatting>
  <conditionalFormatting sqref="G43">
    <cfRule type="expression" priority="1" dxfId="9">
      <formula>ISBLANK(G43)</formula>
    </cfRule>
    <cfRule type="expression" priority="2">
      <formula>NOT(ISBLANK(G43))</formula>
    </cfRule>
  </conditionalFormatting>
  <pageMargins left="0.7" right="0.7" top="0.75" bottom="0.75" header="0.3" footer="0.3"/>
  <pageSetup orientation="portrait" r:id="rId2"/>
  <ignoredErrors>
    <ignoredError sqref="S8:AV21 S24:AV30 S22:AE22 AG22:AV22 S23:AE23 AG23:AV23" unlockedFormula="1"/>
  </ignoredError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8" tint="0.39998"/>
  </sheetPr>
  <dimension ref="B1:P43"/>
  <sheetViews>
    <sheetView zoomScale="85" zoomScaleNormal="85" workbookViewId="0" topLeftCell="A1">
      <selection pane="topLeft" activeCell="A1" sqref="A1"/>
    </sheetView>
  </sheetViews>
  <sheetFormatPr defaultColWidth="9.21875" defaultRowHeight="14.4"/>
  <cols>
    <col min="1" max="1" width="9.22222222222222" style="267"/>
    <col min="2" max="2" width="18.7777777777778" style="267" customWidth="1"/>
    <col min="3" max="3" width="20.2222222222222" style="267" customWidth="1"/>
    <col min="4" max="4" width="13.7777777777778" style="267" customWidth="1"/>
    <col min="5" max="5" width="14.7777777777778" style="267" customWidth="1"/>
    <col min="6" max="6" width="19.5555555555556" style="267" customWidth="1"/>
    <col min="7" max="7" width="16" style="267" customWidth="1"/>
    <col min="8" max="8" width="15.7777777777778" style="267" customWidth="1"/>
    <col min="9" max="14" width="16.2222222222222" style="267" customWidth="1"/>
    <col min="15" max="15" width="8.77777777777778" style="267" customWidth="1"/>
    <col min="16" max="16" width="9.22222222222222" style="267"/>
    <col min="17" max="16384" width="9.22222222222222" style="267"/>
  </cols>
  <sheetData>
    <row r="1" spans="2:14" ht="14.4">
      <c r="B1" s="1613" t="s">
        <v>1622</v>
      </c>
      <c r="C1" s="1614"/>
      <c r="D1" s="1614"/>
      <c r="E1" s="619"/>
      <c r="F1" s="620"/>
      <c r="G1" s="621"/>
      <c r="I1" s="267"/>
      <c r="J1" s="267"/>
      <c r="K1" s="267"/>
      <c r="L1" s="267"/>
      <c r="M1" s="267"/>
      <c r="N1" s="267"/>
    </row>
    <row r="2" spans="2:14" ht="15" thickBot="1">
      <c r="B2" s="593" t="s">
        <v>1160</v>
      </c>
      <c r="C2" s="594">
        <v>2015</v>
      </c>
      <c r="D2" s="352"/>
      <c r="E2" s="600" t="s">
        <v>1764</v>
      </c>
      <c r="F2" s="598" t="s">
        <v>1766</v>
      </c>
      <c r="G2" s="599" t="s">
        <v>1765</v>
      </c>
      <c r="I2" s="267"/>
      <c r="J2" s="267"/>
      <c r="K2" s="267"/>
      <c r="L2" s="267"/>
      <c r="M2" s="267"/>
      <c r="N2" s="267"/>
    </row>
    <row r="3" spans="2:14" ht="14.4">
      <c r="B3" s="352"/>
      <c r="C3" s="352"/>
      <c r="D3" s="352"/>
      <c r="E3" s="352"/>
      <c r="F3" s="417"/>
      <c r="G3" s="417"/>
      <c r="H3" s="417"/>
      <c r="I3" s="267"/>
      <c r="J3" s="267"/>
      <c r="K3" s="267"/>
      <c r="L3" s="267"/>
      <c r="M3" s="267"/>
      <c r="N3" s="267"/>
    </row>
    <row r="4" spans="2:14" ht="15" thickBot="1">
      <c r="B4" s="514" t="s">
        <v>1454</v>
      </c>
      <c r="C4" s="352"/>
      <c r="D4" s="352"/>
      <c r="E4" s="352"/>
      <c r="F4" s="417"/>
      <c r="G4" s="417"/>
      <c r="H4" s="417"/>
      <c r="I4" s="267" t="s">
        <v>1541</v>
      </c>
      <c r="J4" s="267" t="s">
        <v>1541</v>
      </c>
      <c r="K4" s="267" t="s">
        <v>1541</v>
      </c>
      <c r="L4" s="267" t="s">
        <v>1541</v>
      </c>
      <c r="M4" s="267" t="s">
        <v>1541</v>
      </c>
      <c r="N4" s="267" t="s">
        <v>1541</v>
      </c>
    </row>
    <row r="5" spans="2:16" ht="43.8" thickBot="1">
      <c r="B5" s="595" t="s">
        <v>881</v>
      </c>
      <c r="C5" s="596" t="s">
        <v>882</v>
      </c>
      <c r="D5" s="596" t="s">
        <v>883</v>
      </c>
      <c r="E5" s="596" t="s">
        <v>95</v>
      </c>
      <c r="F5" s="596" t="str">
        <f>"% of "&amp;C5</f>
        <v>% of Total Annual MWhs</v>
      </c>
      <c r="G5" s="596" t="str">
        <f>"% of "&amp;D5</f>
        <v>% of Total Lifetime MWhs</v>
      </c>
      <c r="H5" s="597" t="str">
        <f>"% of "&amp;E5</f>
        <v>% of Total Coincident Demand (kW)</v>
      </c>
      <c r="I5" s="267" t="s">
        <v>882</v>
      </c>
      <c r="J5" s="267" t="s">
        <v>883</v>
      </c>
      <c r="K5" s="267" t="s">
        <v>95</v>
      </c>
      <c r="L5" s="267" t="s">
        <v>882</v>
      </c>
      <c r="M5" s="267" t="s">
        <v>883</v>
      </c>
      <c r="N5" s="267" t="s">
        <v>95</v>
      </c>
      <c r="P5" s="418"/>
    </row>
    <row r="6" spans="2:16" ht="14.4">
      <c r="B6" s="591" t="s">
        <v>892</v>
      </c>
      <c r="C6" s="419">
        <f>'Talquin 2015'!I16</f>
        <v>465.16517473752543</v>
      </c>
      <c r="D6" s="419">
        <f>'Talquin 2015'!J16</f>
        <v>571.42430113752539</v>
      </c>
      <c r="E6" s="419">
        <f>'Talquin 2015'!K16</f>
        <v>4459.8013167315175</v>
      </c>
      <c r="F6" s="420">
        <f t="shared" si="0" ref="F6:F15">C6/C$16</f>
        <v>0.040650275994461922</v>
      </c>
      <c r="G6" s="420">
        <f t="shared" si="1" ref="G6:G15">D6/D$16</f>
        <v>0.017699009906876402</v>
      </c>
      <c r="H6" s="421">
        <f t="shared" si="2" ref="H6:H15">E6/E$16</f>
        <v>0.056829270186272825</v>
      </c>
      <c r="I6" s="267">
        <v>720.54666585372388</v>
      </c>
      <c r="J6" s="267">
        <v>834.55697161851231</v>
      </c>
      <c r="K6" s="267">
        <v>27595.496923083825</v>
      </c>
      <c r="L6" s="267" t="str">
        <f>IF(I6=C6,"OK","CHECK")</f>
        <v>CHECK</v>
      </c>
      <c r="M6" s="267" t="str">
        <f t="shared" si="3" ref="M6:M16">IF(J6=D6,"OK","CHECK")</f>
        <v>CHECK</v>
      </c>
      <c r="N6" s="267" t="str">
        <f t="shared" si="4" ref="N6:N16">IF(K6=E6,"OK","CHECK")</f>
        <v>CHECK</v>
      </c>
      <c r="P6" s="417"/>
    </row>
    <row r="7" spans="2:16" ht="14.4">
      <c r="B7" s="523" t="s">
        <v>893</v>
      </c>
      <c r="C7" s="422">
        <f>'Tri-County 2015'!I16</f>
        <v>447.9731617142628</v>
      </c>
      <c r="D7" s="422">
        <f>'Tri-County 2015'!J16</f>
        <v>554.23228811426281</v>
      </c>
      <c r="E7" s="422">
        <f>'Tri-County 2015'!K16</f>
        <v>6.4612332067296965</v>
      </c>
      <c r="F7" s="423">
        <f t="shared" si="0"/>
        <v>0.039147884774632644</v>
      </c>
      <c r="G7" s="423">
        <f t="shared" si="1"/>
        <v>0.017166513112091608</v>
      </c>
      <c r="H7" s="424">
        <f t="shared" si="2"/>
        <v>8.2332629093634753E-05</v>
      </c>
      <c r="I7" s="267">
        <v>469.38801738869699</v>
      </c>
      <c r="J7" s="267">
        <v>583.39832315348531</v>
      </c>
      <c r="K7" s="267">
        <v>103.74485668139137</v>
      </c>
      <c r="L7" s="267" t="str">
        <f t="shared" si="5" ref="L7:L16">IF(I7=C7,"OK","CHECK")</f>
        <v>CHECK</v>
      </c>
      <c r="M7" s="267" t="str">
        <f t="shared" si="3"/>
        <v>CHECK</v>
      </c>
      <c r="N7" s="267" t="str">
        <f t="shared" si="4"/>
        <v>CHECK</v>
      </c>
      <c r="P7" s="417"/>
    </row>
    <row r="8" spans="2:16" ht="14.4">
      <c r="B8" s="523" t="s">
        <v>890</v>
      </c>
      <c r="C8" s="422">
        <f>'Suwannee 2015'!I16</f>
        <v>1812.1827299608965</v>
      </c>
      <c r="D8" s="422">
        <f>'Suwannee 2015'!J16</f>
        <v>1918.4418563608965</v>
      </c>
      <c r="E8" s="422">
        <f>'Suwannee 2015'!K16</f>
        <v>67.518518660467947</v>
      </c>
      <c r="F8" s="423">
        <f t="shared" si="0"/>
        <v>0.15836466727517726</v>
      </c>
      <c r="G8" s="423">
        <f t="shared" si="1"/>
        <v>0.059420856540236613</v>
      </c>
      <c r="H8" s="424">
        <f t="shared" si="2"/>
        <v>0.0008603585377531354</v>
      </c>
      <c r="I8" s="267">
        <v>1898.3784869207855</v>
      </c>
      <c r="J8" s="267">
        <v>2012.3887926855739</v>
      </c>
      <c r="K8" s="267">
        <v>421.82556677119624</v>
      </c>
      <c r="L8" s="267" t="str">
        <f t="shared" si="5"/>
        <v>CHECK</v>
      </c>
      <c r="M8" s="267" t="str">
        <f t="shared" si="3"/>
        <v>CHECK</v>
      </c>
      <c r="N8" s="267" t="str">
        <f t="shared" si="4"/>
        <v>CHECK</v>
      </c>
      <c r="P8" s="417"/>
    </row>
    <row r="9" spans="2:14" ht="14.4">
      <c r="B9" s="523" t="s">
        <v>891</v>
      </c>
      <c r="C9" s="422">
        <f>'Clay 2015 without Resizing'!I16</f>
        <v>1118.8159964864908</v>
      </c>
      <c r="D9" s="422">
        <f>'Clay 2015 without Resizing'!J16</f>
        <v>9474.7686983526273</v>
      </c>
      <c r="E9" s="422">
        <f>'Clay 2015 without Resizing'!K16</f>
        <v>17536.85361241694</v>
      </c>
      <c r="F9" s="423">
        <f t="shared" si="0"/>
        <v>0.097772106585273674</v>
      </c>
      <c r="G9" s="423">
        <f t="shared" si="1"/>
        <v>0.29346673693029801</v>
      </c>
      <c r="H9" s="424">
        <f t="shared" si="2"/>
        <v>0.22346434770945048</v>
      </c>
      <c r="I9" s="267">
        <v>696.39825862447265</v>
      </c>
      <c r="J9" s="267">
        <v>8999.1362421193699</v>
      </c>
      <c r="K9" s="267">
        <v>205.70634029527275</v>
      </c>
      <c r="L9" s="267" t="str">
        <f t="shared" si="5"/>
        <v>CHECK</v>
      </c>
      <c r="M9" s="267" t="str">
        <f t="shared" si="3"/>
        <v>CHECK</v>
      </c>
      <c r="N9" s="267" t="str">
        <f t="shared" si="4"/>
        <v>CHECK</v>
      </c>
    </row>
    <row r="10" spans="2:14" ht="14.4">
      <c r="B10" s="523" t="s">
        <v>894</v>
      </c>
      <c r="C10" s="422">
        <f>'Central Florida 2015'!I16</f>
        <v>612.07791007891046</v>
      </c>
      <c r="D10" s="422">
        <f>'Central Florida 2015'!J16</f>
        <v>952.23698553091037</v>
      </c>
      <c r="E10" s="422">
        <f>'Central Florida 2015'!K16</f>
        <v>1245.0209224728815</v>
      </c>
      <c r="F10" s="423">
        <f t="shared" si="0"/>
        <v>0.053488819297060682</v>
      </c>
      <c r="G10" s="423">
        <f t="shared" si="1"/>
        <v>0.029494111130827658</v>
      </c>
      <c r="H10" s="424">
        <f t="shared" si="2"/>
        <v>0.015864749428485227</v>
      </c>
      <c r="I10" s="267">
        <v>600.24041714312204</v>
      </c>
      <c r="J10" s="267">
        <v>867.38510901587608</v>
      </c>
      <c r="K10" s="267">
        <v>121.95523449094647</v>
      </c>
      <c r="L10" s="267" t="str">
        <f t="shared" si="5"/>
        <v>CHECK</v>
      </c>
      <c r="M10" s="267" t="str">
        <f t="shared" si="3"/>
        <v>CHECK</v>
      </c>
      <c r="N10" s="267" t="str">
        <f t="shared" si="4"/>
        <v>CHECK</v>
      </c>
    </row>
    <row r="11" spans="2:14" ht="14.4">
      <c r="B11" s="523" t="s">
        <v>895</v>
      </c>
      <c r="C11" s="422">
        <f>'Sumter 2015'!I16</f>
        <v>5219.5430472889429</v>
      </c>
      <c r="D11" s="422">
        <f>'Sumter 2015'!J16</f>
        <v>10209.106981288942</v>
      </c>
      <c r="E11" s="422">
        <f>'Sumter 2015'!K16</f>
        <v>31787.645335079273</v>
      </c>
      <c r="F11" s="423">
        <f t="shared" si="0"/>
        <v>0.45613015969433418</v>
      </c>
      <c r="G11" s="423">
        <f t="shared" si="1"/>
        <v>0.3162117628572938</v>
      </c>
      <c r="H11" s="424">
        <f t="shared" si="2"/>
        <v>0.40505586617848549</v>
      </c>
      <c r="I11" s="267">
        <v>4546.2890774892749</v>
      </c>
      <c r="J11" s="267">
        <v>9570.7732924329248</v>
      </c>
      <c r="K11" s="267">
        <v>17923.277750682446</v>
      </c>
      <c r="L11" s="267" t="str">
        <f t="shared" si="5"/>
        <v>CHECK</v>
      </c>
      <c r="M11" s="267" t="str">
        <f t="shared" si="3"/>
        <v>CHECK</v>
      </c>
      <c r="N11" s="267" t="str">
        <f t="shared" si="4"/>
        <v>CHECK</v>
      </c>
    </row>
    <row r="12" spans="2:14" ht="14.4">
      <c r="B12" s="523" t="s">
        <v>896</v>
      </c>
      <c r="C12" s="422">
        <f>'Withlacoochee 2015'!I16</f>
        <v>970.23473219360721</v>
      </c>
      <c r="D12" s="422">
        <f>'Withlacoochee 2015'!J16</f>
        <v>1755.1868345936073</v>
      </c>
      <c r="E12" s="422">
        <f>'Withlacoochee 2015'!K16</f>
        <v>17177.161316731515</v>
      </c>
      <c r="F12" s="423">
        <f t="shared" si="0"/>
        <v>0.084787752362024113</v>
      </c>
      <c r="G12" s="423">
        <f t="shared" si="1"/>
        <v>0.054364277319061405</v>
      </c>
      <c r="H12" s="424">
        <f t="shared" si="2"/>
        <v>0.21888094831478674</v>
      </c>
      <c r="I12" s="267">
        <v>666.51915824867319</v>
      </c>
      <c r="J12" s="267">
        <v>1357.1979000134616</v>
      </c>
      <c r="K12" s="267">
        <v>0.59888039182879382</v>
      </c>
      <c r="L12" s="267" t="str">
        <f t="shared" si="5"/>
        <v>CHECK</v>
      </c>
      <c r="M12" s="267" t="str">
        <f t="shared" si="3"/>
        <v>CHECK</v>
      </c>
      <c r="N12" s="267" t="str">
        <f t="shared" si="4"/>
        <v>CHECK</v>
      </c>
    </row>
    <row r="13" spans="2:14" ht="14.4">
      <c r="B13" s="523" t="s">
        <v>897</v>
      </c>
      <c r="C13" s="422">
        <f>'Peace River 2015'!I16</f>
        <v>451.14268111267711</v>
      </c>
      <c r="D13" s="422">
        <f>'Peace River 2015'!J16</f>
        <v>1074.0132473584267</v>
      </c>
      <c r="E13" s="422">
        <f>'Peace River 2015'!K16</f>
        <v>6181.5940229102207</v>
      </c>
      <c r="F13" s="423">
        <f t="shared" si="0"/>
        <v>0.039424865609210477</v>
      </c>
      <c r="G13" s="423">
        <f t="shared" si="1"/>
        <v>0.033265948030688282</v>
      </c>
      <c r="H13" s="424">
        <f t="shared" si="2"/>
        <v>0.078769310998650088</v>
      </c>
      <c r="I13" s="267">
        <v>29.183455609733315</v>
      </c>
      <c r="J13" s="267">
        <v>269.20891785119022</v>
      </c>
      <c r="K13" s="267">
        <v>6.3444277814721151</v>
      </c>
      <c r="L13" s="267" t="str">
        <f t="shared" si="5"/>
        <v>CHECK</v>
      </c>
      <c r="M13" s="267" t="str">
        <f t="shared" si="3"/>
        <v>CHECK</v>
      </c>
      <c r="N13" s="267" t="str">
        <f t="shared" si="4"/>
        <v>CHECK</v>
      </c>
    </row>
    <row r="14" spans="2:14" ht="14.4">
      <c r="B14" s="523" t="s">
        <v>898</v>
      </c>
      <c r="C14" s="422">
        <f>'Glades 2015'!I16</f>
        <v>61.474931599999998</v>
      </c>
      <c r="D14" s="422">
        <f>'Glades 2015'!J16</f>
        <v>802.95171200000004</v>
      </c>
      <c r="E14" s="422">
        <f>'Glades 2015'!K16</f>
        <v>0.64931673151750968</v>
      </c>
      <c r="F14" s="423">
        <f t="shared" si="0"/>
        <v>0.0053722270539507634</v>
      </c>
      <c r="G14" s="423">
        <f t="shared" si="1"/>
        <v>0.024870223889920075</v>
      </c>
      <c r="H14" s="424">
        <f t="shared" si="2"/>
        <v>8.2739551274269328E-06</v>
      </c>
      <c r="I14" s="267">
        <v>56.667418408673072</v>
      </c>
      <c r="J14" s="267">
        <v>746.61084817346159</v>
      </c>
      <c r="K14" s="267">
        <v>0.59888039182879382</v>
      </c>
      <c r="L14" s="267" t="str">
        <f t="shared" si="5"/>
        <v>CHECK</v>
      </c>
      <c r="M14" s="267" t="str">
        <f t="shared" si="3"/>
        <v>CHECK</v>
      </c>
      <c r="N14" s="267" t="str">
        <f t="shared" si="4"/>
        <v>CHECK</v>
      </c>
    </row>
    <row r="15" spans="2:8" ht="15" thickBot="1">
      <c r="B15" s="592" t="s">
        <v>1580</v>
      </c>
      <c r="C15" s="422">
        <f>'Seminole 2015'!I16</f>
        <v>284.48967185714287</v>
      </c>
      <c r="D15" s="422">
        <f>'Seminole 2015'!J16</f>
        <v>4973.3018948240633</v>
      </c>
      <c r="E15" s="534">
        <f>'Seminole 2015'!K16</f>
        <v>14.482342073599998</v>
      </c>
      <c r="F15" s="423">
        <f t="shared" si="0"/>
        <v>0.024861241353874367</v>
      </c>
      <c r="G15" s="423">
        <f t="shared" si="1"/>
        <v>0.15404056028270624</v>
      </c>
      <c r="H15" s="424">
        <f t="shared" si="2"/>
        <v>0.0001845420618947692</v>
      </c>
    </row>
    <row r="16" spans="2:14" ht="15" thickBot="1">
      <c r="B16" s="425" t="s">
        <v>889</v>
      </c>
      <c r="C16" s="426">
        <f t="shared" si="6" ref="C16:H16">SUM(C6:C15)</f>
        <v>11443.100037030456</v>
      </c>
      <c r="D16" s="426">
        <f t="shared" si="6"/>
        <v>32285.664799561258</v>
      </c>
      <c r="E16" s="426">
        <f t="shared" si="6"/>
        <v>78477.187937014678</v>
      </c>
      <c r="F16" s="427">
        <f t="shared" si="6"/>
        <v>1</v>
      </c>
      <c r="G16" s="427">
        <f t="shared" si="6"/>
        <v>1</v>
      </c>
      <c r="H16" s="428">
        <f t="shared" si="6"/>
        <v>0.99999999999999989</v>
      </c>
      <c r="I16" s="267">
        <f>SUM(I6:I14)</f>
        <v>9683.6109556871543</v>
      </c>
      <c r="J16" s="267">
        <f>SUM(J6:J14)</f>
        <v>25240.656397063853</v>
      </c>
      <c r="K16" s="267">
        <f>SUM(K6:K14)</f>
        <v>46379.548860570212</v>
      </c>
      <c r="L16" s="267" t="str">
        <f t="shared" si="5"/>
        <v>CHECK</v>
      </c>
      <c r="M16" s="267" t="str">
        <f t="shared" si="3"/>
        <v>CHECK</v>
      </c>
      <c r="N16" s="267" t="str">
        <f t="shared" si="4"/>
        <v>CHECK</v>
      </c>
    </row>
    <row r="17" ht="14.4"/>
    <row r="18" spans="2:14" ht="15" thickBot="1">
      <c r="B18" s="514" t="s">
        <v>1455</v>
      </c>
      <c r="C18" s="352"/>
      <c r="D18" s="352"/>
      <c r="E18" s="352"/>
      <c r="F18" s="417"/>
      <c r="G18" s="417"/>
      <c r="H18" s="417"/>
      <c r="I18" s="267" t="s">
        <v>1541</v>
      </c>
      <c r="J18" s="267" t="s">
        <v>1541</v>
      </c>
      <c r="K18" s="267" t="s">
        <v>1541</v>
      </c>
      <c r="L18" s="267" t="s">
        <v>1541</v>
      </c>
      <c r="M18" s="267" t="s">
        <v>1541</v>
      </c>
      <c r="N18" s="267" t="s">
        <v>1541</v>
      </c>
    </row>
    <row r="19" spans="2:14" ht="43.8" thickBot="1">
      <c r="B19" s="595" t="s">
        <v>881</v>
      </c>
      <c r="C19" s="596" t="s">
        <v>882</v>
      </c>
      <c r="D19" s="596" t="s">
        <v>883</v>
      </c>
      <c r="E19" s="596" t="s">
        <v>95</v>
      </c>
      <c r="F19" s="596" t="str">
        <f>"% of "&amp;C19</f>
        <v>% of Total Annual MWhs</v>
      </c>
      <c r="G19" s="596" t="str">
        <f>"% of "&amp;D19</f>
        <v>% of Total Lifetime MWhs</v>
      </c>
      <c r="H19" s="597" t="str">
        <f>"% of "&amp;E19</f>
        <v>% of Total Coincident Demand (kW)</v>
      </c>
      <c r="I19" s="267" t="s">
        <v>882</v>
      </c>
      <c r="J19" s="267" t="s">
        <v>883</v>
      </c>
      <c r="K19" s="267" t="s">
        <v>95</v>
      </c>
      <c r="L19" s="267" t="s">
        <v>882</v>
      </c>
      <c r="M19" s="267" t="s">
        <v>883</v>
      </c>
      <c r="N19" s="267" t="s">
        <v>95</v>
      </c>
    </row>
    <row r="20" spans="2:14" ht="14.4">
      <c r="B20" s="591" t="s">
        <v>892</v>
      </c>
      <c r="C20" s="419">
        <f>(1+INDEX('T&amp;D Loss Factors'!$B$28:$AD$37,MATCH($B20,'T&amp;D Loss Factors'!$B$28:$B$37,0),MATCH($C$2,'T&amp;D Loss Factors'!$B$28:$AD$28,0)))*C6</f>
        <v>498.14538562641599</v>
      </c>
      <c r="D20" s="419">
        <f>(1+INDEX('T&amp;D Loss Factors'!$B$28:$AD$37,MATCH($B20,'T&amp;D Loss Factors'!$B$28:$B$37,0),MATCH($C$2,'T&amp;D Loss Factors'!$B$28:$AD$28,0)))*D6</f>
        <v>611.93828408817592</v>
      </c>
      <c r="E20" s="419">
        <f>(1+INDEX('T&amp;D Loss Factors'!$B$28:$AD$37,MATCH($B20,'T&amp;D Loss Factors'!$B$28:$B$37,0),MATCH($C$2,'T&amp;D Loss Factors'!$B$28:$AD$28,0)))*E6</f>
        <v>4776.0012300877816</v>
      </c>
      <c r="F20" s="1286">
        <f t="shared" si="7" ref="F20:F29">C20/C$30</f>
        <v>0.040324690317495068</v>
      </c>
      <c r="G20" s="1286">
        <f t="shared" si="8" ref="G20:G29">D20/D$30</f>
        <v>0.017748301128242321</v>
      </c>
      <c r="H20" s="1287">
        <f t="shared" si="9" ref="H20:H29">E20/E$30</f>
        <v>0.056170875952954905</v>
      </c>
      <c r="I20" s="267">
        <v>774.01603210450935</v>
      </c>
      <c r="J20" s="267">
        <v>896.48666262575011</v>
      </c>
      <c r="K20" s="267">
        <v>29643.266764756132</v>
      </c>
      <c r="L20" s="267" t="str">
        <f t="shared" si="10" ref="L20:L28">IF(I20=C20,"OK","CHECK")</f>
        <v>CHECK</v>
      </c>
      <c r="M20" s="267" t="str">
        <f t="shared" si="11" ref="M20:M28">IF(J20=D20,"OK","CHECK")</f>
        <v>CHECK</v>
      </c>
      <c r="N20" s="267" t="str">
        <f t="shared" si="12" ref="N20:N28">IF(K20=E20,"OK","CHECK")</f>
        <v>CHECK</v>
      </c>
    </row>
    <row r="21" spans="2:14" ht="14.4">
      <c r="B21" s="523" t="s">
        <v>893</v>
      </c>
      <c r="C21" s="422">
        <f>(1+INDEX('T&amp;D Loss Factors'!$B$28:$AD$37,MATCH($B21,'T&amp;D Loss Factors'!$B$28:$B$37,0),MATCH($C$2,'T&amp;D Loss Factors'!$B$28:$AD$28,0)))*C7</f>
        <v>488.9627060111178</v>
      </c>
      <c r="D21" s="422">
        <f>(1+INDEX('T&amp;D Loss Factors'!$B$28:$AD$37,MATCH($B21,'T&amp;D Loss Factors'!$B$28:$B$37,0),MATCH($C$2,'T&amp;D Loss Factors'!$B$28:$AD$28,0)))*D7</f>
        <v>604.94454247671786</v>
      </c>
      <c r="E21" s="422">
        <f>(1+INDEX('T&amp;D Loss Factors'!$B$28:$AD$37,MATCH($B21,'T&amp;D Loss Factors'!$B$28:$B$37,0),MATCH($C$2,'T&amp;D Loss Factors'!$B$28:$AD$28,0)))*E7</f>
        <v>7.0524360451454635</v>
      </c>
      <c r="F21" s="1285">
        <f t="shared" si="7"/>
        <v>0.039581355695804184</v>
      </c>
      <c r="G21" s="1285">
        <f t="shared" si="8"/>
        <v>0.017545458725077054</v>
      </c>
      <c r="H21" s="1288">
        <f t="shared" si="9"/>
        <v>8.2944180952552378E-05</v>
      </c>
      <c r="I21" s="267">
        <v>504.21973753238763</v>
      </c>
      <c r="J21" s="267">
        <v>626.69036805362828</v>
      </c>
      <c r="K21" s="267">
        <v>111.4434166795285</v>
      </c>
      <c r="L21" s="267" t="str">
        <f t="shared" si="10"/>
        <v>CHECK</v>
      </c>
      <c r="M21" s="267" t="str">
        <f t="shared" si="11"/>
        <v>CHECK</v>
      </c>
      <c r="N21" s="267" t="str">
        <f t="shared" si="12"/>
        <v>CHECK</v>
      </c>
    </row>
    <row r="22" spans="2:14" ht="14.4">
      <c r="B22" s="523" t="s">
        <v>890</v>
      </c>
      <c r="C22" s="422">
        <f>(1+INDEX('T&amp;D Loss Factors'!$B$28:$AD$37,MATCH($B22,'T&amp;D Loss Factors'!$B$28:$B$37,0),MATCH($C$2,'T&amp;D Loss Factors'!$B$28:$AD$28,0)))*C8</f>
        <v>1971.6548101974556</v>
      </c>
      <c r="D22" s="422">
        <f>(1+INDEX('T&amp;D Loss Factors'!$B$28:$AD$37,MATCH($B22,'T&amp;D Loss Factors'!$B$28:$B$37,0),MATCH($C$2,'T&amp;D Loss Factors'!$B$28:$AD$28,0)))*D8</f>
        <v>2087.2647397206556</v>
      </c>
      <c r="E22" s="422">
        <f>(1+INDEX('T&amp;D Loss Factors'!$B$28:$AD$37,MATCH($B22,'T&amp;D Loss Factors'!$B$28:$B$37,0),MATCH($C$2,'T&amp;D Loss Factors'!$B$28:$AD$28,0)))*E8</f>
        <v>73.460148302589133</v>
      </c>
      <c r="F22" s="1285">
        <f t="shared" si="7"/>
        <v>0.15960474979454634</v>
      </c>
      <c r="G22" s="1285">
        <f t="shared" si="8"/>
        <v>0.060537809282719346</v>
      </c>
      <c r="H22" s="1288">
        <f t="shared" si="9"/>
        <v>0.00086396981051752465</v>
      </c>
      <c r="I22" s="267">
        <v>2039.2508265068873</v>
      </c>
      <c r="J22" s="267">
        <v>2161.721457028128</v>
      </c>
      <c r="K22" s="267">
        <v>453.12783599606416</v>
      </c>
      <c r="L22" s="267" t="str">
        <f t="shared" si="10"/>
        <v>CHECK</v>
      </c>
      <c r="M22" s="267" t="str">
        <f t="shared" si="11"/>
        <v>CHECK</v>
      </c>
      <c r="N22" s="267" t="str">
        <f t="shared" si="12"/>
        <v>CHECK</v>
      </c>
    </row>
    <row r="23" spans="2:14" ht="14.4">
      <c r="B23" s="523" t="s">
        <v>891</v>
      </c>
      <c r="C23" s="422">
        <f>(1+INDEX('T&amp;D Loss Factors'!$B$28:$AD$37,MATCH($B23,'T&amp;D Loss Factors'!$B$28:$B$37,0),MATCH($C$2,'T&amp;D Loss Factors'!$B$28:$AD$28,0)))*C9</f>
        <v>1204.0697754187615</v>
      </c>
      <c r="D23" s="422">
        <f>(1+INDEX('T&amp;D Loss Factors'!$B$28:$AD$37,MATCH($B23,'T&amp;D Loss Factors'!$B$28:$B$37,0),MATCH($C$2,'T&amp;D Loss Factors'!$B$28:$AD$28,0)))*D9</f>
        <v>10196.746073167098</v>
      </c>
      <c r="E23" s="422">
        <f>(1+INDEX('T&amp;D Loss Factors'!$B$28:$AD$37,MATCH($B23,'T&amp;D Loss Factors'!$B$28:$B$37,0),MATCH($C$2,'T&amp;D Loss Factors'!$B$28:$AD$28,0)))*E9</f>
        <v>18873.161857683113</v>
      </c>
      <c r="F23" s="1285">
        <f t="shared" si="7"/>
        <v>0.097469016506820091</v>
      </c>
      <c r="G23" s="1285">
        <f t="shared" si="8"/>
        <v>0.2957404766796955</v>
      </c>
      <c r="H23" s="1288">
        <f t="shared" si="9"/>
        <v>0.22196854281975831</v>
      </c>
      <c r="I23" s="267">
        <v>748.07565206946629</v>
      </c>
      <c r="J23" s="267">
        <v>9666.9321455262416</v>
      </c>
      <c r="K23" s="267">
        <v>220.971122120784</v>
      </c>
      <c r="L23" s="267" t="str">
        <f t="shared" si="10"/>
        <v>CHECK</v>
      </c>
      <c r="M23" s="267" t="str">
        <f t="shared" si="11"/>
        <v>CHECK</v>
      </c>
      <c r="N23" s="267" t="str">
        <f t="shared" si="12"/>
        <v>CHECK</v>
      </c>
    </row>
    <row r="24" spans="2:14" ht="14.4">
      <c r="B24" s="523" t="s">
        <v>894</v>
      </c>
      <c r="C24" s="422">
        <f>(1+INDEX('T&amp;D Loss Factors'!$B$28:$AD$37,MATCH($B24,'T&amp;D Loss Factors'!$B$28:$B$37,0),MATCH($C$2,'T&amp;D Loss Factors'!$B$28:$AD$28,0)))*C10</f>
        <v>664.47177918166517</v>
      </c>
      <c r="D24" s="422">
        <f>(1+INDEX('T&amp;D Loss Factors'!$B$28:$AD$37,MATCH($B24,'T&amp;D Loss Factors'!$B$28:$B$37,0),MATCH($C$2,'T&amp;D Loss Factors'!$B$28:$AD$28,0)))*D10</f>
        <v>1033.7484714923562</v>
      </c>
      <c r="E24" s="422">
        <f>(1+INDEX('T&amp;D Loss Factors'!$B$28:$AD$37,MATCH($B24,'T&amp;D Loss Factors'!$B$28:$B$37,0),MATCH($C$2,'T&amp;D Loss Factors'!$B$28:$AD$28,0)))*E10</f>
        <v>1351.5947134365599</v>
      </c>
      <c r="F24" s="1285">
        <f t="shared" si="7"/>
        <v>0.053788752226463933</v>
      </c>
      <c r="G24" s="1285">
        <f t="shared" si="8"/>
        <v>0.029982237817078379</v>
      </c>
      <c r="H24" s="1288">
        <f t="shared" si="9"/>
        <v>0.015896197536305754</v>
      </c>
      <c r="I24" s="267">
        <v>635.43851520439478</v>
      </c>
      <c r="J24" s="267">
        <v>918.24857180856714</v>
      </c>
      <c r="K24" s="267">
        <v>129.10668944149558</v>
      </c>
      <c r="L24" s="267" t="str">
        <f t="shared" si="10"/>
        <v>CHECK</v>
      </c>
      <c r="M24" s="267" t="str">
        <f t="shared" si="11"/>
        <v>CHECK</v>
      </c>
      <c r="N24" s="267" t="str">
        <f t="shared" si="12"/>
        <v>CHECK</v>
      </c>
    </row>
    <row r="25" spans="2:14" ht="14.4">
      <c r="B25" s="523" t="s">
        <v>895</v>
      </c>
      <c r="C25" s="422">
        <f>(1+INDEX('T&amp;D Loss Factors'!$B$28:$AD$37,MATCH($B25,'T&amp;D Loss Factors'!$B$28:$B$37,0),MATCH($C$2,'T&amp;D Loss Factors'!$B$28:$AD$28,0)))*C11</f>
        <v>5605.7892327883246</v>
      </c>
      <c r="D25" s="422">
        <f>(1+INDEX('T&amp;D Loss Factors'!$B$28:$AD$37,MATCH($B25,'T&amp;D Loss Factors'!$B$28:$B$37,0),MATCH($C$2,'T&amp;D Loss Factors'!$B$28:$AD$28,0)))*D11</f>
        <v>10964.580897904325</v>
      </c>
      <c r="E25" s="422">
        <f>(1+INDEX('T&amp;D Loss Factors'!$B$28:$AD$37,MATCH($B25,'T&amp;D Loss Factors'!$B$28:$B$37,0),MATCH($C$2,'T&amp;D Loss Factors'!$B$28:$AD$28,0)))*E11</f>
        <v>34139.931089875143</v>
      </c>
      <c r="F25" s="1285">
        <f t="shared" si="7"/>
        <v>0.45378662800033426</v>
      </c>
      <c r="G25" s="1285">
        <f t="shared" si="8"/>
        <v>0.31801031015888959</v>
      </c>
      <c r="H25" s="1288">
        <f t="shared" si="9"/>
        <v>0.40152205619439485</v>
      </c>
      <c r="I25" s="267">
        <v>4883.6540356328287</v>
      </c>
      <c r="J25" s="267">
        <v>10280.98847588673</v>
      </c>
      <c r="K25" s="267">
        <v>19253.304448301424</v>
      </c>
      <c r="L25" s="267" t="str">
        <f t="shared" si="10"/>
        <v>CHECK</v>
      </c>
      <c r="M25" s="267" t="str">
        <f t="shared" si="11"/>
        <v>CHECK</v>
      </c>
      <c r="N25" s="267" t="str">
        <f t="shared" si="12"/>
        <v>CHECK</v>
      </c>
    </row>
    <row r="26" spans="2:14" ht="14.4">
      <c r="B26" s="523" t="s">
        <v>896</v>
      </c>
      <c r="C26" s="422">
        <f>(1+INDEX('T&amp;D Loss Factors'!$B$28:$AD$37,MATCH($B26,'T&amp;D Loss Factors'!$B$28:$B$37,0),MATCH($C$2,'T&amp;D Loss Factors'!$B$28:$AD$28,0)))*C12</f>
        <v>1076.8635292616848</v>
      </c>
      <c r="D26" s="422">
        <f>(1+INDEX('T&amp;D Loss Factors'!$B$28:$AD$37,MATCH($B26,'T&amp;D Loss Factors'!$B$28:$B$37,0),MATCH($C$2,'T&amp;D Loss Factors'!$B$28:$AD$28,0)))*D12</f>
        <v>1948.081867715445</v>
      </c>
      <c r="E26" s="422">
        <f>(1+INDEX('T&amp;D Loss Factors'!$B$28:$AD$37,MATCH($B26,'T&amp;D Loss Factors'!$B$28:$B$37,0),MATCH($C$2,'T&amp;D Loss Factors'!$B$28:$AD$28,0)))*E12</f>
        <v>19064.931345440309</v>
      </c>
      <c r="F26" s="1285">
        <f t="shared" si="7"/>
        <v>0.087171716500146781</v>
      </c>
      <c r="G26" s="1285">
        <f t="shared" si="8"/>
        <v>0.056501030430219673</v>
      </c>
      <c r="H26" s="1288">
        <f t="shared" si="9"/>
        <v>0.22422395683441784</v>
      </c>
      <c r="I26" s="267">
        <v>721.80025723381823</v>
      </c>
      <c r="J26" s="267">
        <v>1469.763893840578</v>
      </c>
      <c r="K26" s="267">
        <v>0.64855153152707401</v>
      </c>
      <c r="L26" s="267" t="str">
        <f t="shared" si="10"/>
        <v>CHECK</v>
      </c>
      <c r="M26" s="267" t="str">
        <f t="shared" si="11"/>
        <v>CHECK</v>
      </c>
      <c r="N26" s="267" t="str">
        <f t="shared" si="12"/>
        <v>CHECK</v>
      </c>
    </row>
    <row r="27" spans="2:14" ht="14.4">
      <c r="B27" s="523" t="s">
        <v>897</v>
      </c>
      <c r="C27" s="422">
        <f>(1+INDEX('T&amp;D Loss Factors'!$B$28:$AD$37,MATCH($B27,'T&amp;D Loss Factors'!$B$28:$B$37,0),MATCH($C$2,'T&amp;D Loss Factors'!$B$28:$AD$28,0)))*C13</f>
        <v>490.79812278248147</v>
      </c>
      <c r="D27" s="422">
        <f>(1+INDEX('T&amp;D Loss Factors'!$B$28:$AD$37,MATCH($B27,'T&amp;D Loss Factors'!$B$28:$B$37,0),MATCH($C$2,'T&amp;D Loss Factors'!$B$28:$AD$28,0)))*D13</f>
        <v>1168.4190118012325</v>
      </c>
      <c r="E27" s="422">
        <f>(1+INDEX('T&amp;D Loss Factors'!$B$28:$AD$37,MATCH($B27,'T&amp;D Loss Factors'!$B$28:$B$37,0),MATCH($C$2,'T&amp;D Loss Factors'!$B$28:$AD$28,0)))*E13</f>
        <v>6724.9561375240301</v>
      </c>
      <c r="F27" s="1285">
        <f t="shared" si="7"/>
        <v>0.039729932025213931</v>
      </c>
      <c r="G27" s="1285">
        <f t="shared" si="8"/>
        <v>0.033888143632509637</v>
      </c>
      <c r="H27" s="1288">
        <f t="shared" si="9"/>
        <v>0.079092667441164402</v>
      </c>
      <c r="I27" s="267">
        <v>31.349062572346263</v>
      </c>
      <c r="J27" s="267">
        <v>289.18601428186753</v>
      </c>
      <c r="K27" s="267">
        <v>6.8152266190425568</v>
      </c>
      <c r="L27" s="267" t="str">
        <f t="shared" si="10"/>
        <v>CHECK</v>
      </c>
      <c r="M27" s="267" t="str">
        <f t="shared" si="11"/>
        <v>CHECK</v>
      </c>
      <c r="N27" s="267" t="str">
        <f t="shared" si="12"/>
        <v>CHECK</v>
      </c>
    </row>
    <row r="28" spans="2:14" ht="14.4">
      <c r="B28" s="523" t="s">
        <v>898</v>
      </c>
      <c r="C28" s="422">
        <f>(1+INDEX('T&amp;D Loss Factors'!$B$28:$AD$37,MATCH($B28,'T&amp;D Loss Factors'!$B$28:$B$37,0),MATCH($C$2,'T&amp;D Loss Factors'!$B$28:$AD$28,0)))*C14</f>
        <v>68.114224212800011</v>
      </c>
      <c r="D28" s="422">
        <f>(1+INDEX('T&amp;D Loss Factors'!$B$28:$AD$37,MATCH($B28,'T&amp;D Loss Factors'!$B$28:$B$37,0),MATCH($C$2,'T&amp;D Loss Factors'!$B$28:$AD$28,0)))*D14</f>
        <v>889.67049689600015</v>
      </c>
      <c r="E28" s="422">
        <f>(1+INDEX('T&amp;D Loss Factors'!$B$28:$AD$37,MATCH($B28,'T&amp;D Loss Factors'!$B$28:$B$37,0),MATCH($C$2,'T&amp;D Loss Factors'!$B$28:$AD$28,0)))*E14</f>
        <v>0.71944293852140084</v>
      </c>
      <c r="F28" s="1285">
        <f t="shared" si="7"/>
        <v>0.0055138220223472281</v>
      </c>
      <c r="G28" s="1285">
        <f t="shared" si="8"/>
        <v>0.025803484263697316</v>
      </c>
      <c r="H28" s="1288">
        <f t="shared" si="9"/>
        <v>8.4614174301986537E-06</v>
      </c>
      <c r="I28" s="267">
        <v>61.259745996511938</v>
      </c>
      <c r="J28" s="267">
        <v>807.11619130943882</v>
      </c>
      <c r="K28" s="267">
        <v>0.64741365878259927</v>
      </c>
      <c r="L28" s="267" t="str">
        <f t="shared" si="10"/>
        <v>CHECK</v>
      </c>
      <c r="M28" s="267" t="str">
        <f t="shared" si="11"/>
        <v>CHECK</v>
      </c>
      <c r="N28" s="267" t="str">
        <f t="shared" si="12"/>
        <v>CHECK</v>
      </c>
    </row>
    <row r="29" spans="2:8" ht="15" thickBot="1">
      <c r="B29" s="592" t="s">
        <v>1580</v>
      </c>
      <c r="C29" s="534">
        <f>C15</f>
        <v>284.48967185714287</v>
      </c>
      <c r="D29" s="534">
        <f>D15</f>
        <v>4973.3018948240633</v>
      </c>
      <c r="E29" s="534">
        <f>E15</f>
        <v>14.482342073599998</v>
      </c>
      <c r="F29" s="1285">
        <f t="shared" si="7"/>
        <v>0.023029336910828018</v>
      </c>
      <c r="G29" s="1285">
        <f t="shared" si="8"/>
        <v>0.14424274788187114</v>
      </c>
      <c r="H29" s="1288">
        <f t="shared" si="9"/>
        <v>0.00017032781210349346</v>
      </c>
    </row>
    <row r="30" spans="2:14" ht="15" thickBot="1">
      <c r="B30" s="425" t="s">
        <v>889</v>
      </c>
      <c r="C30" s="1289">
        <f t="shared" si="13" ref="C30:H30">SUM(C20:C29)</f>
        <v>12353.359237337852</v>
      </c>
      <c r="D30" s="1289">
        <f t="shared" si="13"/>
        <v>34478.696280086071</v>
      </c>
      <c r="E30" s="1289">
        <f t="shared" si="13"/>
        <v>85026.290743406804</v>
      </c>
      <c r="F30" s="427">
        <f t="shared" si="13"/>
        <v>0.99999999999999967</v>
      </c>
      <c r="G30" s="427">
        <f t="shared" si="13"/>
        <v>1</v>
      </c>
      <c r="H30" s="428">
        <f t="shared" si="13"/>
        <v>0.99999999999999978</v>
      </c>
      <c r="I30" s="267">
        <f>SUM(I20:I28)</f>
        <v>10399.063864853151</v>
      </c>
      <c r="J30" s="267">
        <f>SUM(J20:J28)</f>
        <v>27117.133780360931</v>
      </c>
      <c r="K30" s="267">
        <f>SUM(K20:K28)</f>
        <v>49819.331469104785</v>
      </c>
      <c r="L30" s="267" t="str">
        <f>IF(I30=C30,"OK","CHECK")</f>
        <v>CHECK</v>
      </c>
      <c r="M30" s="267" t="str">
        <f>IF(J30=D30,"OK","CHECK")</f>
        <v>CHECK</v>
      </c>
      <c r="N30" s="267" t="str">
        <f>IF(K30=E30,"OK","CHECK")</f>
        <v>CHECK</v>
      </c>
    </row>
    <row r="31" ht="15" thickBot="1"/>
    <row r="32" spans="2:8" ht="42" thickBot="1">
      <c r="B32" s="1261" t="s">
        <v>881</v>
      </c>
      <c r="C32" s="1262" t="s">
        <v>884</v>
      </c>
      <c r="D32" s="1262" t="s">
        <v>885</v>
      </c>
      <c r="E32" s="1262" t="s">
        <v>886</v>
      </c>
      <c r="F32" s="1263" t="str">
        <f>"% of "&amp;C32</f>
        <v>% of Implementation 
Costs</v>
      </c>
      <c r="G32" s="1263" t="str">
        <f>"% of "&amp;D32</f>
        <v>% of Incentive 
Costs</v>
      </c>
      <c r="H32" s="1264" t="str">
        <f>"% of "&amp;E32</f>
        <v>% of Total Program 
Costs</v>
      </c>
    </row>
    <row r="33" spans="2:8" ht="14.4">
      <c r="B33" s="1265" t="s">
        <v>892</v>
      </c>
      <c r="C33" s="1266">
        <f>'Talquin 2015'!B17</f>
        <v>251160.21</v>
      </c>
      <c r="D33" s="1266">
        <f>'Talquin 2015'!C17</f>
        <v>1847</v>
      </c>
      <c r="E33" s="1266">
        <f>'Talquin 2015'!D17</f>
        <v>253007.21</v>
      </c>
      <c r="F33" s="1267">
        <f t="shared" si="14" ref="F33:F41">C33/C$43</f>
        <v>0.53125952224301543</v>
      </c>
      <c r="G33" s="1267">
        <f t="shared" si="15" ref="G33:G41">D33/D$43</f>
        <v>0.0079466255237695318</v>
      </c>
      <c r="H33" s="1268">
        <f t="shared" si="16" ref="H33:H41">E33/E$43</f>
        <v>0.35877909536740477</v>
      </c>
    </row>
    <row r="34" spans="2:8" ht="14.4">
      <c r="B34" s="1269" t="s">
        <v>893</v>
      </c>
      <c r="C34" s="1270">
        <f>'Tri-County 2015'!B17</f>
        <v>0</v>
      </c>
      <c r="D34" s="1270">
        <f>'Tri-County 2015'!C17</f>
        <v>1847</v>
      </c>
      <c r="E34" s="1270">
        <f>'Tri-County 2015'!D17</f>
        <v>1847</v>
      </c>
      <c r="F34" s="1271">
        <f t="shared" si="14"/>
        <v>0</v>
      </c>
      <c r="G34" s="1271">
        <f t="shared" si="15"/>
        <v>0.0079466255237695318</v>
      </c>
      <c r="H34" s="1272">
        <f t="shared" si="16"/>
        <v>0.0026191545653722541</v>
      </c>
    </row>
    <row r="35" spans="2:8" ht="14.4">
      <c r="B35" s="1269" t="s">
        <v>890</v>
      </c>
      <c r="C35" s="1270">
        <f>'Suwannee 2015'!B17</f>
        <v>200</v>
      </c>
      <c r="D35" s="1270">
        <f>'Suwannee 2015'!C17</f>
        <v>1847</v>
      </c>
      <c r="E35" s="1270">
        <f>'Suwannee 2015'!D17</f>
        <v>2047</v>
      </c>
      <c r="F35" s="1271">
        <f t="shared" si="14"/>
        <v>0.00042304433671481274</v>
      </c>
      <c r="G35" s="1271">
        <f t="shared" si="15"/>
        <v>0.0079466255237695318</v>
      </c>
      <c r="H35" s="1272">
        <f t="shared" si="16"/>
        <v>0.0029027663212328123</v>
      </c>
    </row>
    <row r="36" spans="2:8" ht="14.4">
      <c r="B36" s="1269" t="s">
        <v>891</v>
      </c>
      <c r="C36" s="1270">
        <f>'Clay 2015 without Resizing'!B17</f>
        <v>150973.85815104519</v>
      </c>
      <c r="D36" s="1270">
        <f>'Clay 2015 without Resizing'!C17</f>
        <v>193808.40000000002</v>
      </c>
      <c r="E36" s="1270">
        <f>'Clay 2015 without Resizing'!D17</f>
        <v>344782.25815104519</v>
      </c>
      <c r="F36" s="1271">
        <f t="shared" si="14"/>
        <v>0.31934317841392568</v>
      </c>
      <c r="G36" s="1271">
        <f t="shared" si="15"/>
        <v>0.83385098980018135</v>
      </c>
      <c r="H36" s="1272">
        <f t="shared" si="16"/>
        <v>0.48892150811893076</v>
      </c>
    </row>
    <row r="37" spans="2:8" ht="14.4">
      <c r="B37" s="1269" t="s">
        <v>894</v>
      </c>
      <c r="C37" s="1270">
        <f>'Central Florida 2015'!B17</f>
        <v>2400</v>
      </c>
      <c r="D37" s="1270">
        <f>'Central Florida 2015'!C17</f>
        <v>4817</v>
      </c>
      <c r="E37" s="1270">
        <f>'Central Florida 2015'!D17</f>
        <v>7217</v>
      </c>
      <c r="F37" s="1271">
        <f t="shared" si="14"/>
        <v>0.0050765320405777529</v>
      </c>
      <c r="G37" s="1271">
        <f t="shared" si="15"/>
        <v>0.020724902624795795</v>
      </c>
      <c r="H37" s="1272">
        <f t="shared" si="16"/>
        <v>0.01023413021022824</v>
      </c>
    </row>
    <row r="38" spans="2:8" ht="14.4">
      <c r="B38" s="1269" t="s">
        <v>895</v>
      </c>
      <c r="C38" s="1270">
        <f>'Sumter 2015'!B17</f>
        <v>65187.091684510786</v>
      </c>
      <c r="D38" s="1270">
        <f>'Sumter 2015'!C17</f>
        <v>21335.80</v>
      </c>
      <c r="E38" s="1270">
        <f>'Sumter 2015'!D17</f>
        <v>86522.891684510789</v>
      </c>
      <c r="F38" s="1271">
        <f t="shared" si="14"/>
        <v>0.13788514982020775</v>
      </c>
      <c r="G38" s="1271">
        <f t="shared" si="15"/>
        <v>0.09179621702763506</v>
      </c>
      <c r="H38" s="1272">
        <f t="shared" si="16"/>
        <v>0.12269454616388494</v>
      </c>
    </row>
    <row r="39" spans="2:8" ht="14.4">
      <c r="B39" s="1269" t="s">
        <v>896</v>
      </c>
      <c r="C39" s="1270">
        <f>'Withlacoochee 2015'!B17</f>
        <v>0</v>
      </c>
      <c r="D39" s="1270">
        <f>'Withlacoochee 2015'!C17</f>
        <v>1847</v>
      </c>
      <c r="E39" s="1270">
        <f>'Withlacoochee 2015'!D17</f>
        <v>1847</v>
      </c>
      <c r="F39" s="1271">
        <f t="shared" si="14"/>
        <v>0</v>
      </c>
      <c r="G39" s="1271">
        <f t="shared" si="15"/>
        <v>0.0079466255237695318</v>
      </c>
      <c r="H39" s="1272">
        <f t="shared" si="16"/>
        <v>0.0026191545653722541</v>
      </c>
    </row>
    <row r="40" spans="2:8" ht="14.4">
      <c r="B40" s="1269" t="s">
        <v>897</v>
      </c>
      <c r="C40" s="1270">
        <f>'Peace River 2015'!B17</f>
        <v>165.98693390434528</v>
      </c>
      <c r="D40" s="1270">
        <f>'Peace River 2015'!C17</f>
        <v>3229.50</v>
      </c>
      <c r="E40" s="1270">
        <f>'Peace River 2015'!D17</f>
        <v>3395.4869339043453</v>
      </c>
      <c r="F40" s="1271">
        <f t="shared" si="14"/>
        <v>0.00035109916178444604</v>
      </c>
      <c r="G40" s="1271">
        <f t="shared" si="15"/>
        <v>0.013894762928540173</v>
      </c>
      <c r="H40" s="1272">
        <f t="shared" si="16"/>
        <v>0.0048150000566309714</v>
      </c>
    </row>
    <row r="41" spans="2:8" ht="14.4">
      <c r="B41" s="1269" t="s">
        <v>898</v>
      </c>
      <c r="C41" s="1270">
        <f>'Glades 2015'!B17</f>
        <v>2676.5393092075674</v>
      </c>
      <c r="D41" s="1270">
        <f>'Glades 2015'!C17</f>
        <v>1847</v>
      </c>
      <c r="E41" s="1270">
        <f>'Glades 2015'!D17</f>
        <v>4523.5393092075674</v>
      </c>
      <c r="F41" s="1271">
        <f t="shared" si="14"/>
        <v>0.0056614739837741925</v>
      </c>
      <c r="G41" s="1271">
        <f t="shared" si="15"/>
        <v>0.0079466255237695318</v>
      </c>
      <c r="H41" s="1272">
        <f t="shared" si="16"/>
        <v>0.0064146446309430718</v>
      </c>
    </row>
    <row r="42" spans="2:8" ht="15" thickBot="1">
      <c r="B42" s="1273" t="s">
        <v>1580</v>
      </c>
      <c r="C42" s="1274">
        <f>'Seminole 2015'!B17</f>
        <v>0</v>
      </c>
      <c r="D42" s="1274">
        <f>'Seminole 2015'!C17</f>
        <v>0</v>
      </c>
      <c r="E42" s="1274">
        <f>'Seminole 2015'!D17</f>
        <v>0</v>
      </c>
      <c r="F42" s="1271">
        <f>C42/C$43</f>
        <v>0</v>
      </c>
      <c r="G42" s="1271">
        <f>D42/D$43</f>
        <v>0</v>
      </c>
      <c r="H42" s="1272">
        <f>E42/E$43</f>
        <v>0</v>
      </c>
    </row>
    <row r="43" spans="2:8" ht="15" thickBot="1">
      <c r="B43" s="1275" t="s">
        <v>889</v>
      </c>
      <c r="C43" s="1276">
        <f>SUM(C33:C41)</f>
        <v>472763.68607866787</v>
      </c>
      <c r="D43" s="1276">
        <f>SUM(D33:D41)</f>
        <v>232425.70</v>
      </c>
      <c r="E43" s="1276">
        <f>SUM(E33:E41)</f>
        <v>705189.38607866783</v>
      </c>
      <c r="F43" s="1277">
        <f>SUM(F33:F42)</f>
        <v>1</v>
      </c>
      <c r="G43" s="1277">
        <f>SUM(G33:G42)</f>
        <v>1</v>
      </c>
      <c r="H43" s="1278">
        <f>SUM(H33:H42)</f>
        <v>1</v>
      </c>
    </row>
  </sheetData>
  <mergeCells count="1">
    <mergeCell ref="B1:D1"/>
  </mergeCells>
  <conditionalFormatting sqref="F6:H15">
    <cfRule type="colorScale" priority="86">
      <colorScale>
        <cfvo type="min" val="0"/>
        <cfvo type="percentile" val="50"/>
        <cfvo type="max" val="0"/>
        <color rgb="FFF8696B"/>
        <color rgb="FFFFEB84"/>
        <color rgb="FF63BE7B"/>
      </colorScale>
    </cfRule>
  </conditionalFormatting>
  <conditionalFormatting sqref="F20:H29">
    <cfRule type="colorScale" priority="2">
      <colorScale>
        <cfvo type="min" val="0"/>
        <cfvo type="percentile" val="50"/>
        <cfvo type="max" val="0"/>
        <color rgb="FFF8696B"/>
        <color rgb="FFFFEB84"/>
        <color rgb="FF63BE7B"/>
      </colorScale>
    </cfRule>
  </conditionalFormatting>
  <conditionalFormatting sqref="E1">
    <cfRule type="colorScale" priority="1">
      <colorScale>
        <cfvo type="min" val="0"/>
        <cfvo type="percentile" val="50"/>
        <cfvo type="max" val="0"/>
        <color rgb="FFF8696B"/>
        <color rgb="FFFFEB84"/>
        <color rgb="FF63BE7B"/>
      </colorScale>
    </cfRule>
  </conditionalFormatting>
  <pageMargins left="0.7" right="0.7" top="0.75" bottom="0.75" header="0.3" footer="0.3"/>
  <pageSetup orientation="portrait" r:id="rId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0" tint="-0.24997"/>
  </sheetPr>
  <dimension ref="A1:AU49"/>
  <sheetViews>
    <sheetView zoomScale="70" zoomScaleNormal="70" workbookViewId="0" topLeftCell="A22">
      <selection pane="topLeft" activeCell="A1" sqref="A1"/>
    </sheetView>
  </sheetViews>
  <sheetFormatPr defaultColWidth="8.88888888888889" defaultRowHeight="14.4" outlineLevelCol="1"/>
  <cols>
    <col min="1" max="2" width="22.6666666666667" customWidth="1"/>
    <col min="3" max="5" width="16.6666666666667" customWidth="1"/>
    <col min="6" max="13" width="12.6666666666667" customWidth="1"/>
    <col min="14" max="14" width="36.6666666666667" customWidth="1"/>
    <col min="15" max="15" width="10.5555555555556" hidden="1" customWidth="1"/>
    <col min="16" max="16" width="35.7777777777778" customWidth="1"/>
    <col min="17" max="17" width="44.7777777777778" hidden="1" customWidth="1"/>
    <col min="18" max="18" width="2.55555555555556" customWidth="1"/>
    <col min="19" max="19" width="33.7777777777778" bestFit="1" customWidth="1"/>
    <col min="20" max="20" width="13.2222222222222" bestFit="1" customWidth="1"/>
    <col min="21" max="21" width="40.2222222222222" bestFit="1" customWidth="1"/>
    <col min="22" max="27" width="10.7777777777778" customWidth="1"/>
    <col min="28" max="31" width="10.7777777777778" customWidth="1" outlineLevel="1"/>
    <col min="32" max="32" width="10.7777777777778" customWidth="1" collapsed="1"/>
    <col min="33" max="35" width="10.7777777777778" customWidth="1"/>
    <col min="36" max="39" width="10.7777777777778" customWidth="1" outlineLevel="1"/>
    <col min="40" max="40" width="10.7777777777778" customWidth="1" collapsed="1"/>
    <col min="41" max="41" width="10.7777777777778" customWidth="1"/>
    <col min="42" max="42" width="12" customWidth="1"/>
    <col min="43" max="43" width="10.7777777777778" customWidth="1"/>
    <col min="44" max="44" width="8.88888888888889" customWidth="1"/>
    <col min="45" max="46" width="11.2222222222222" style="241" customWidth="1"/>
    <col min="47" max="47" width="8.88888888888889" customWidth="1"/>
  </cols>
  <sheetData>
    <row r="1" spans="1:39" ht="14.4">
      <c r="A1" s="1691" t="s">
        <v>1625</v>
      </c>
      <c r="B1" s="1760"/>
      <c r="C1" s="1760"/>
      <c r="D1" s="1760"/>
      <c r="E1" s="1760"/>
      <c r="F1" s="1760"/>
      <c r="G1" s="1760"/>
      <c r="H1" s="1761"/>
      <c r="I1" s="1761"/>
      <c r="J1" s="1761"/>
      <c r="K1" s="1761"/>
      <c r="L1" s="1761"/>
      <c r="M1" s="1761"/>
      <c r="N1" s="1761"/>
    </row>
    <row r="2" spans="15:39" ht="14.4"/>
    <row r="3" spans="15:39" ht="14.4"/>
    <row r="4" spans="1:39" ht="25.8">
      <c r="A4" s="1709" t="str">
        <f>"Glades "&amp;$T$4</f>
        <v>Glades 2015</v>
      </c>
      <c r="B4" s="1710"/>
      <c r="C4" s="1710"/>
      <c r="D4" s="1710"/>
      <c r="E4" s="1710"/>
      <c r="F4" s="1710"/>
      <c r="G4" s="1710"/>
      <c r="H4" s="1710"/>
      <c r="I4" s="1710"/>
      <c r="J4" s="1710"/>
      <c r="K4" s="1710"/>
      <c r="L4" s="1710"/>
      <c r="M4" s="1710"/>
      <c r="N4" s="1710"/>
      <c r="S4" s="490" t="s">
        <v>1160</v>
      </c>
      <c r="T4" s="490">
        <f>'Save Spend Summary'!$C$2</f>
        <v>2015</v>
      </c>
    </row>
    <row r="5" spans="1:46" s="24" customFormat="1" ht="15" customHeight="1" thickBot="1">
      <c r="A5" s="194"/>
      <c r="B5" s="194"/>
      <c r="C5" s="194"/>
      <c r="D5" s="194"/>
      <c r="E5" s="194"/>
      <c r="F5" s="194"/>
      <c r="G5" s="194"/>
      <c r="H5" s="194"/>
      <c r="I5" s="194"/>
      <c r="J5" s="194"/>
      <c r="K5" s="194"/>
      <c r="L5" s="194"/>
      <c r="O5" s="24"/>
      <c r="P5" s="24"/>
      <c r="Q5" s="24"/>
      <c r="AB5" s="24"/>
      <c r="AC5" s="24"/>
      <c r="AD5" s="24"/>
      <c r="AE5" s="24"/>
      <c r="AJ5" s="24"/>
      <c r="AK5" s="24"/>
      <c r="AL5" s="24"/>
      <c r="AM5" s="24"/>
      <c r="AS5" s="395"/>
      <c r="AT5" s="395"/>
    </row>
    <row r="6" spans="1:46" s="24" customFormat="1" ht="47.1" customHeight="1" thickBot="1">
      <c r="A6" s="313" t="s">
        <v>139</v>
      </c>
      <c r="B6" s="251" t="s">
        <v>88</v>
      </c>
      <c r="C6" s="250" t="s">
        <v>87</v>
      </c>
      <c r="D6" s="249" t="s">
        <v>86</v>
      </c>
      <c r="F6" s="1711" t="s">
        <v>138</v>
      </c>
      <c r="G6" s="1712"/>
      <c r="H6" s="1712"/>
      <c r="I6" s="248" t="s">
        <v>80</v>
      </c>
      <c r="J6" s="248" t="s">
        <v>79</v>
      </c>
      <c r="K6" s="247" t="s">
        <v>95</v>
      </c>
      <c r="O6" s="24"/>
      <c r="P6" s="24"/>
      <c r="Q6" s="24"/>
      <c r="S6" s="1673" t="s">
        <v>834</v>
      </c>
      <c r="T6" s="1674"/>
      <c r="U6" s="1675"/>
      <c r="AB6" s="24"/>
      <c r="AC6" s="24"/>
      <c r="AD6" s="24"/>
      <c r="AE6" s="24"/>
      <c r="AJ6" s="24"/>
      <c r="AK6" s="24"/>
      <c r="AL6" s="24"/>
      <c r="AM6" s="24"/>
      <c r="AS6" s="395"/>
      <c r="AT6" s="395"/>
    </row>
    <row r="7" spans="1:46" s="24" customFormat="1" ht="15" customHeight="1">
      <c r="A7" s="245" t="s">
        <v>136</v>
      </c>
      <c r="B7" s="244"/>
      <c r="C7" s="244"/>
      <c r="D7" s="243"/>
      <c r="F7" s="1676" t="s">
        <v>136</v>
      </c>
      <c r="G7" s="1677"/>
      <c r="H7" s="1678"/>
      <c r="I7" s="335"/>
      <c r="J7" s="335"/>
      <c r="K7" s="334"/>
      <c r="O7" s="24"/>
      <c r="P7" s="24"/>
      <c r="Q7" s="24"/>
      <c r="S7" s="386" t="s">
        <v>196</v>
      </c>
      <c r="T7" s="386" t="s">
        <v>194</v>
      </c>
      <c r="U7" s="386" t="s">
        <v>78</v>
      </c>
      <c r="AB7" s="24"/>
      <c r="AC7" s="24"/>
      <c r="AD7" s="24"/>
      <c r="AE7" s="24"/>
      <c r="AJ7" s="24"/>
      <c r="AK7" s="24"/>
      <c r="AL7" s="24"/>
      <c r="AM7" s="24"/>
      <c r="AS7" s="395"/>
      <c r="AT7" s="395"/>
    </row>
    <row r="8" spans="1:46" s="24" customFormat="1" ht="15" customHeight="1">
      <c r="A8" s="209" t="s">
        <v>134</v>
      </c>
      <c r="B8" s="207"/>
      <c r="C8" s="208">
        <f>D23</f>
        <v>1847</v>
      </c>
      <c r="D8" s="206">
        <f>SUM(B8:C8)</f>
        <v>1847</v>
      </c>
      <c r="F8" s="1669" t="s">
        <v>134</v>
      </c>
      <c r="G8" s="1647"/>
      <c r="H8" s="1648"/>
      <c r="I8" s="239">
        <f>K23</f>
        <v>5.5925855999999996</v>
      </c>
      <c r="J8" s="211">
        <f>L23</f>
        <v>111.85171199999999</v>
      </c>
      <c r="K8" s="210">
        <f>M23</f>
        <v>0.64931673151750968</v>
      </c>
      <c r="O8" s="24"/>
      <c r="P8" s="24"/>
      <c r="Q8" s="24"/>
      <c r="S8" s="382" t="s">
        <v>833</v>
      </c>
      <c r="T8" s="385">
        <f>'Seminole Avoided Cost'!$C$8</f>
        <v>0.06</v>
      </c>
      <c r="U8" s="438" t="s">
        <v>1120</v>
      </c>
      <c r="AB8" s="24"/>
      <c r="AC8" s="24"/>
      <c r="AD8" s="24"/>
      <c r="AE8" s="24"/>
      <c r="AJ8" s="24"/>
      <c r="AK8" s="24"/>
      <c r="AL8" s="24"/>
      <c r="AM8" s="24"/>
      <c r="AS8" s="395"/>
      <c r="AT8" s="395"/>
    </row>
    <row r="9" spans="1:46" s="24" customFormat="1" ht="15" customHeight="1">
      <c r="A9" s="209" t="s">
        <v>132</v>
      </c>
      <c r="B9" s="207">
        <f>C33</f>
        <v>2676.5393092075674</v>
      </c>
      <c r="C9" s="208">
        <f>D33</f>
        <v>0</v>
      </c>
      <c r="D9" s="206">
        <f>SUM(B9:C9)</f>
        <v>2676.5393092075674</v>
      </c>
      <c r="F9" s="1669" t="s">
        <v>132</v>
      </c>
      <c r="G9" s="1647"/>
      <c r="H9" s="1648"/>
      <c r="I9" s="239">
        <f>K33</f>
        <v>55.882345999999998</v>
      </c>
      <c r="J9" s="239">
        <f>L33</f>
        <v>691.10</v>
      </c>
      <c r="K9" s="333">
        <f>M33</f>
        <v>0</v>
      </c>
      <c r="O9" s="24"/>
      <c r="P9" s="24"/>
      <c r="Q9" s="24"/>
      <c r="S9" s="382" t="s">
        <v>832</v>
      </c>
      <c r="T9" s="384">
        <v>0</v>
      </c>
      <c r="U9" s="438" t="s">
        <v>857</v>
      </c>
      <c r="AB9" s="24"/>
      <c r="AC9" s="24"/>
      <c r="AD9" s="24"/>
      <c r="AE9" s="24"/>
      <c r="AJ9" s="24"/>
      <c r="AK9" s="24"/>
      <c r="AL9" s="24"/>
      <c r="AM9" s="24"/>
      <c r="AS9" s="395"/>
      <c r="AT9" s="395"/>
    </row>
    <row r="10" spans="1:46" s="24" customFormat="1" ht="15" customHeight="1" thickBot="1">
      <c r="A10" s="236" t="s">
        <v>130</v>
      </c>
      <c r="B10" s="207"/>
      <c r="C10" s="208">
        <f>D31</f>
        <v>0</v>
      </c>
      <c r="D10" s="229">
        <f>SUM(B10:C10)</f>
        <v>0</v>
      </c>
      <c r="F10" s="1670" t="s">
        <v>130</v>
      </c>
      <c r="G10" s="1671"/>
      <c r="H10" s="1672"/>
      <c r="I10" s="234">
        <f>K42</f>
        <v>0</v>
      </c>
      <c r="J10" s="234">
        <f>L42</f>
        <v>0</v>
      </c>
      <c r="K10" s="232">
        <f>M42</f>
        <v>0</v>
      </c>
      <c r="O10" s="24"/>
      <c r="P10" s="24"/>
      <c r="Q10" s="24"/>
      <c r="S10" s="382" t="s">
        <v>831</v>
      </c>
      <c r="T10" s="384">
        <v>0</v>
      </c>
      <c r="U10" s="438" t="s">
        <v>857</v>
      </c>
      <c r="AB10" s="24"/>
      <c r="AC10" s="24"/>
      <c r="AD10" s="24"/>
      <c r="AE10" s="24"/>
      <c r="AJ10" s="24"/>
      <c r="AK10" s="24"/>
      <c r="AL10" s="24"/>
      <c r="AM10" s="24"/>
      <c r="AS10" s="395"/>
      <c r="AT10" s="395"/>
    </row>
    <row r="11" spans="1:46" s="24" customFormat="1" ht="15" customHeight="1" thickTop="1" thickBot="1">
      <c r="A11" s="231" t="s">
        <v>129</v>
      </c>
      <c r="B11" s="332">
        <v>0</v>
      </c>
      <c r="C11" s="331"/>
      <c r="D11" s="229">
        <f>SUM(B11:C11)</f>
        <v>0</v>
      </c>
      <c r="F11" s="1665" t="s">
        <v>128</v>
      </c>
      <c r="G11" s="1666"/>
      <c r="H11" s="1667"/>
      <c r="I11" s="228">
        <f>SUM(I8:I10)</f>
        <v>61.474931599999998</v>
      </c>
      <c r="J11" s="228">
        <f>SUM(J8:J10)</f>
        <v>802.95171200000004</v>
      </c>
      <c r="K11" s="227">
        <f>SUM(K8:K10)</f>
        <v>0.64931673151750968</v>
      </c>
      <c r="O11" s="24"/>
      <c r="P11" s="24"/>
      <c r="Q11" s="24"/>
      <c r="S11" s="382" t="s">
        <v>830</v>
      </c>
      <c r="T11" s="384">
        <v>0</v>
      </c>
      <c r="U11" s="438" t="s">
        <v>857</v>
      </c>
      <c r="AB11" s="24"/>
      <c r="AC11" s="24"/>
      <c r="AD11" s="24"/>
      <c r="AE11" s="24"/>
      <c r="AJ11" s="24"/>
      <c r="AK11" s="24"/>
      <c r="AL11" s="24"/>
      <c r="AM11" s="24"/>
      <c r="AS11" s="395"/>
      <c r="AT11" s="395"/>
    </row>
    <row r="12" spans="1:46" s="46" customFormat="1" ht="15" customHeight="1" thickTop="1">
      <c r="A12" s="226" t="s">
        <v>128</v>
      </c>
      <c r="B12" s="225">
        <f>SUM(B8:B11)</f>
        <v>2676.5393092075674</v>
      </c>
      <c r="C12" s="224">
        <f>SUM(C8:C11)</f>
        <v>1847</v>
      </c>
      <c r="D12" s="223">
        <f>SUM(D8:D11)</f>
        <v>4523.5393092075674</v>
      </c>
      <c r="F12" s="1668" t="s">
        <v>127</v>
      </c>
      <c r="G12" s="1662"/>
      <c r="H12" s="1663"/>
      <c r="I12" s="222"/>
      <c r="J12" s="222"/>
      <c r="K12" s="221"/>
      <c r="O12" s="46"/>
      <c r="P12" s="46"/>
      <c r="Q12" s="46"/>
      <c r="S12" s="382" t="s">
        <v>829</v>
      </c>
      <c r="T12" s="383">
        <f>VLOOKUP($U12,'2015 Annual Sales and Revenue '!$B$3:$H$29,7,FALSE)</f>
        <v>0.1524316436803472</v>
      </c>
      <c r="U12" s="438" t="s">
        <v>1158</v>
      </c>
      <c r="AB12" s="46"/>
      <c r="AC12" s="46"/>
      <c r="AD12" s="46"/>
      <c r="AE12" s="46"/>
      <c r="AJ12" s="46"/>
      <c r="AK12" s="46"/>
      <c r="AL12" s="46"/>
      <c r="AM12" s="46"/>
      <c r="AS12" s="396"/>
      <c r="AT12" s="396"/>
    </row>
    <row r="13" spans="1:46" s="24" customFormat="1" ht="15" customHeight="1">
      <c r="A13" s="220" t="s">
        <v>127</v>
      </c>
      <c r="B13" s="219"/>
      <c r="C13" s="219"/>
      <c r="D13" s="218"/>
      <c r="F13" s="1669" t="s">
        <v>126</v>
      </c>
      <c r="G13" s="1647"/>
      <c r="H13" s="1648"/>
      <c r="I13" s="217">
        <f>K27</f>
        <v>0</v>
      </c>
      <c r="J13" s="217">
        <f>L27</f>
        <v>0</v>
      </c>
      <c r="K13" s="216">
        <f>M27</f>
        <v>0</v>
      </c>
      <c r="O13" s="24"/>
      <c r="P13" s="24"/>
      <c r="Q13" s="24"/>
      <c r="S13" s="382" t="s">
        <v>856</v>
      </c>
      <c r="T13" s="383">
        <f>VLOOKUP($U13,'2015 Annual Sales and Revenue '!$B$3:$H$29,7,FALSE)</f>
        <v>0.12995072437577787</v>
      </c>
      <c r="U13" s="438" t="s">
        <v>1159</v>
      </c>
      <c r="AB13" s="24"/>
      <c r="AC13" s="24"/>
      <c r="AD13" s="24"/>
      <c r="AE13" s="24"/>
      <c r="AJ13" s="24"/>
      <c r="AK13" s="24"/>
      <c r="AL13" s="24"/>
      <c r="AM13" s="24"/>
      <c r="AS13" s="395"/>
      <c r="AT13" s="395"/>
    </row>
    <row r="14" spans="1:42" s="24" customFormat="1" ht="15" customHeight="1" thickBot="1">
      <c r="A14" s="215" t="s">
        <v>126</v>
      </c>
      <c r="B14" s="214">
        <f>C27</f>
        <v>0</v>
      </c>
      <c r="C14" s="213">
        <f>D27</f>
        <v>0</v>
      </c>
      <c r="D14" s="212">
        <f>SUM(B14:C14)</f>
        <v>0</v>
      </c>
      <c r="F14" s="1670" t="s">
        <v>125</v>
      </c>
      <c r="G14" s="1671"/>
      <c r="H14" s="1672"/>
      <c r="I14" s="211">
        <f>K36</f>
        <v>0</v>
      </c>
      <c r="J14" s="211">
        <f>L36</f>
        <v>0</v>
      </c>
      <c r="K14" s="210">
        <f>M36</f>
        <v>0</v>
      </c>
      <c r="O14" s="24"/>
      <c r="P14" s="24"/>
      <c r="Q14" s="24"/>
      <c r="AB14" s="24"/>
      <c r="AC14" s="24"/>
      <c r="AD14" s="24"/>
      <c r="AE14" s="24"/>
      <c r="AJ14" s="24"/>
      <c r="AK14" s="24"/>
      <c r="AL14" s="24"/>
      <c r="AM14" s="24"/>
      <c r="AO14" s="395"/>
      <c r="AP14" s="395"/>
    </row>
    <row r="15" spans="1:42" s="24" customFormat="1" ht="15" customHeight="1" thickBot="1">
      <c r="A15" s="209" t="s">
        <v>124</v>
      </c>
      <c r="B15" s="208">
        <f>C37</f>
        <v>0</v>
      </c>
      <c r="C15" s="207">
        <f>D37</f>
        <v>0</v>
      </c>
      <c r="D15" s="206">
        <f>SUM(B15:C15)</f>
        <v>0</v>
      </c>
      <c r="F15" s="1706" t="s">
        <v>123</v>
      </c>
      <c r="G15" s="1707"/>
      <c r="H15" s="1708"/>
      <c r="I15" s="205">
        <f>SUM(I13:I14)</f>
        <v>0</v>
      </c>
      <c r="J15" s="205">
        <f>SUM(J13:J14)</f>
        <v>0</v>
      </c>
      <c r="K15" s="204">
        <f>SUM(K13:K14)</f>
        <v>0</v>
      </c>
      <c r="O15" s="24"/>
      <c r="P15" s="24"/>
      <c r="Q15" s="24"/>
      <c r="AB15" s="24"/>
      <c r="AC15" s="24"/>
      <c r="AD15" s="24"/>
      <c r="AE15" s="24"/>
      <c r="AJ15" s="24"/>
      <c r="AK15" s="24"/>
      <c r="AL15" s="24"/>
      <c r="AM15" s="24"/>
      <c r="AO15" s="395"/>
      <c r="AP15" s="395"/>
    </row>
    <row r="16" spans="1:46" s="24" customFormat="1" ht="15" customHeight="1" thickBot="1">
      <c r="A16" s="203" t="s">
        <v>123</v>
      </c>
      <c r="B16" s="202">
        <f>SUM(B14:B15)</f>
        <v>0</v>
      </c>
      <c r="C16" s="202">
        <f>SUM(C14:C15)</f>
        <v>0</v>
      </c>
      <c r="D16" s="201">
        <f>SUM(D14:D15)</f>
        <v>0</v>
      </c>
      <c r="F16" s="1762" t="s">
        <v>709</v>
      </c>
      <c r="G16" s="1763"/>
      <c r="H16" s="1764"/>
      <c r="I16" s="330">
        <f>SUM(I11,I15)</f>
        <v>61.474931599999998</v>
      </c>
      <c r="J16" s="330">
        <f>SUM(J11,J15)</f>
        <v>802.95171200000004</v>
      </c>
      <c r="K16" s="329">
        <f>SUM(K11,K15)</f>
        <v>0.64931673151750968</v>
      </c>
      <c r="O16" s="24"/>
      <c r="P16" s="24"/>
      <c r="Q16" s="24"/>
      <c r="AB16" s="24"/>
      <c r="AC16" s="24"/>
      <c r="AD16" s="24"/>
      <c r="AE16" s="24"/>
      <c r="AJ16" s="24"/>
      <c r="AK16" s="24"/>
      <c r="AL16" s="24"/>
      <c r="AM16" s="24"/>
      <c r="AS16" s="395"/>
      <c r="AT16" s="395"/>
    </row>
    <row r="17" spans="1:46" s="24" customFormat="1" ht="15" customHeight="1" thickBot="1">
      <c r="A17" s="198" t="s">
        <v>709</v>
      </c>
      <c r="B17" s="197">
        <f>SUM(B12,B16)</f>
        <v>2676.5393092075674</v>
      </c>
      <c r="C17" s="197">
        <f>SUM(C12,C16)</f>
        <v>1847</v>
      </c>
      <c r="D17" s="196">
        <f>SUM(D12,D16)</f>
        <v>4523.5393092075674</v>
      </c>
      <c r="O17" s="24"/>
      <c r="P17" s="24"/>
      <c r="Q17" s="24"/>
      <c r="AB17" s="24"/>
      <c r="AC17" s="24"/>
      <c r="AD17" s="24"/>
      <c r="AE17" s="24"/>
      <c r="AJ17" s="24"/>
      <c r="AK17" s="24"/>
      <c r="AL17" s="24"/>
      <c r="AM17" s="24"/>
      <c r="AS17" s="395"/>
      <c r="AT17" s="395"/>
    </row>
    <row r="18" spans="1:46" s="24" customFormat="1" ht="15" customHeight="1" thickBot="1">
      <c r="A18" s="195"/>
      <c r="B18" s="195"/>
      <c r="C18" s="194"/>
      <c r="D18" s="194"/>
      <c r="E18" s="194"/>
      <c r="F18" s="194"/>
      <c r="G18" s="194"/>
      <c r="H18" s="194"/>
      <c r="I18" s="194"/>
      <c r="J18" s="194"/>
      <c r="K18" s="194"/>
      <c r="O18" s="24"/>
      <c r="P18" s="24"/>
      <c r="Q18" s="24"/>
      <c r="AB18" s="1627" t="s">
        <v>1161</v>
      </c>
      <c r="AC18" s="1627"/>
      <c r="AD18" s="1627"/>
      <c r="AE18" s="1627"/>
      <c r="AJ18" s="1627" t="s">
        <v>1161</v>
      </c>
      <c r="AK18" s="1627"/>
      <c r="AL18" s="1627"/>
      <c r="AM18" s="1627"/>
      <c r="AS18" s="395"/>
      <c r="AT18" s="395"/>
    </row>
    <row r="19" spans="1:45" ht="37.5" customHeight="1" thickBot="1">
      <c r="A19" s="1766" t="s">
        <v>122</v>
      </c>
      <c r="B19" s="1766"/>
      <c r="C19" s="1766"/>
      <c r="D19" s="1766"/>
      <c r="E19" s="1766"/>
      <c r="F19" s="1766"/>
      <c r="G19" s="1766"/>
      <c r="H19" s="1766"/>
      <c r="I19" s="1766"/>
      <c r="J19" s="1766"/>
      <c r="K19" s="1766"/>
      <c r="L19" s="1766"/>
      <c r="M19" s="1766"/>
      <c r="N19" s="1766"/>
      <c r="S19" s="1703" t="s">
        <v>855</v>
      </c>
      <c r="T19" s="1704"/>
      <c r="U19" s="1704"/>
      <c r="V19" s="1704"/>
      <c r="W19" s="1704"/>
      <c r="X19" s="1704"/>
      <c r="Y19" s="1704"/>
      <c r="Z19" s="1704"/>
      <c r="AA19" s="1704"/>
      <c r="AB19" s="1704" t="s">
        <v>854</v>
      </c>
      <c r="AC19" s="1704"/>
      <c r="AD19" s="1704"/>
      <c r="AE19" s="1704"/>
      <c r="AF19" s="1704"/>
      <c r="AG19" s="1704"/>
      <c r="AH19" s="1704"/>
      <c r="AI19" s="1704"/>
      <c r="AJ19" s="1704"/>
      <c r="AK19" s="1704"/>
      <c r="AL19" s="1704"/>
      <c r="AM19" s="1704"/>
      <c r="AN19" s="1704"/>
      <c r="AO19" s="1704"/>
      <c r="AP19" s="1704"/>
      <c r="AQ19" s="1705"/>
      <c r="AR19" s="291"/>
      <c r="AS19" s="46"/>
    </row>
    <row r="20" spans="1:47" s="1470" customFormat="1" ht="15.6">
      <c r="A20" s="1438"/>
      <c r="B20" s="1438"/>
      <c r="C20" s="1765" t="s">
        <v>121</v>
      </c>
      <c r="D20" s="1765"/>
      <c r="E20" s="1765"/>
      <c r="F20" s="1765" t="s">
        <v>120</v>
      </c>
      <c r="G20" s="1765"/>
      <c r="H20" s="1765"/>
      <c r="I20" s="1765"/>
      <c r="J20" s="1765"/>
      <c r="K20" s="1765"/>
      <c r="L20" s="1765"/>
      <c r="M20" s="1440"/>
      <c r="N20" s="1440"/>
      <c r="O20" s="1470"/>
      <c r="P20" s="1470"/>
      <c r="Q20" s="1470"/>
      <c r="S20" s="1688"/>
      <c r="T20" s="1689"/>
      <c r="U20" s="1689"/>
      <c r="V20" s="1689"/>
      <c r="W20" s="1689"/>
      <c r="X20" s="1689"/>
      <c r="Y20" s="1689"/>
      <c r="Z20" s="1689"/>
      <c r="AA20" s="1689"/>
      <c r="AB20" s="1690" t="s">
        <v>853</v>
      </c>
      <c r="AC20" s="1690"/>
      <c r="AD20" s="1690"/>
      <c r="AE20" s="1690"/>
      <c r="AF20" s="1690" t="s">
        <v>852</v>
      </c>
      <c r="AG20" s="1690"/>
      <c r="AH20" s="1690"/>
      <c r="AI20" s="1690"/>
      <c r="AJ20" s="1690" t="s">
        <v>851</v>
      </c>
      <c r="AK20" s="1690"/>
      <c r="AL20" s="1690"/>
      <c r="AM20" s="1690"/>
      <c r="AN20" s="1690" t="s">
        <v>850</v>
      </c>
      <c r="AO20" s="1690"/>
      <c r="AP20" s="1690"/>
      <c r="AQ20" s="1693"/>
      <c r="AR20" s="1488"/>
      <c r="AS20" s="1694" t="s">
        <v>849</v>
      </c>
      <c r="AT20" s="1695"/>
      <c r="AU20" s="408" t="s">
        <v>858</v>
      </c>
    </row>
    <row r="21" spans="1:47" s="1470" customFormat="1" ht="62.4">
      <c r="A21" s="434" t="s">
        <v>119</v>
      </c>
      <c r="B21" s="1346" t="s">
        <v>89</v>
      </c>
      <c r="C21" s="434" t="s">
        <v>88</v>
      </c>
      <c r="D21" s="1346" t="s">
        <v>87</v>
      </c>
      <c r="E21" s="434" t="s">
        <v>86</v>
      </c>
      <c r="F21" s="434" t="s">
        <v>85</v>
      </c>
      <c r="G21" s="434" t="s">
        <v>84</v>
      </c>
      <c r="H21" s="434" t="s">
        <v>97</v>
      </c>
      <c r="I21" s="434" t="s">
        <v>82</v>
      </c>
      <c r="J21" s="434" t="s">
        <v>96</v>
      </c>
      <c r="K21" s="434" t="s">
        <v>80</v>
      </c>
      <c r="L21" s="434" t="s">
        <v>79</v>
      </c>
      <c r="M21" s="434" t="s">
        <v>95</v>
      </c>
      <c r="N21" s="1346" t="s">
        <v>78</v>
      </c>
      <c r="O21" s="1470"/>
      <c r="P21" s="1489" t="str">
        <f>K21&amp;" Weighting"</f>
        <v>Total Annual MWh Weighting</v>
      </c>
      <c r="Q21" s="1470"/>
      <c r="S21" s="397" t="s">
        <v>848</v>
      </c>
      <c r="T21" s="386" t="s">
        <v>847</v>
      </c>
      <c r="U21" s="386" t="s">
        <v>846</v>
      </c>
      <c r="V21" s="386" t="s">
        <v>845</v>
      </c>
      <c r="W21" s="386" t="s">
        <v>844</v>
      </c>
      <c r="X21" s="386" t="s">
        <v>843</v>
      </c>
      <c r="Y21" s="386" t="s">
        <v>842</v>
      </c>
      <c r="Z21" s="386" t="s">
        <v>841</v>
      </c>
      <c r="AA21" s="386" t="s">
        <v>78</v>
      </c>
      <c r="AB21" s="386" t="s">
        <v>840</v>
      </c>
      <c r="AC21" s="386" t="s">
        <v>839</v>
      </c>
      <c r="AD21" s="386" t="s">
        <v>838</v>
      </c>
      <c r="AE21" s="386" t="s">
        <v>837</v>
      </c>
      <c r="AF21" s="386" t="s">
        <v>840</v>
      </c>
      <c r="AG21" s="386" t="s">
        <v>839</v>
      </c>
      <c r="AH21" s="386" t="s">
        <v>838</v>
      </c>
      <c r="AI21" s="386" t="s">
        <v>837</v>
      </c>
      <c r="AJ21" s="386" t="s">
        <v>840</v>
      </c>
      <c r="AK21" s="386" t="s">
        <v>839</v>
      </c>
      <c r="AL21" s="386" t="s">
        <v>838</v>
      </c>
      <c r="AM21" s="386" t="s">
        <v>837</v>
      </c>
      <c r="AN21" s="386" t="s">
        <v>840</v>
      </c>
      <c r="AO21" s="386" t="s">
        <v>839</v>
      </c>
      <c r="AP21" s="386" t="s">
        <v>838</v>
      </c>
      <c r="AQ21" s="398" t="s">
        <v>837</v>
      </c>
      <c r="AR21" s="1488"/>
      <c r="AS21" s="397" t="s">
        <v>791</v>
      </c>
      <c r="AT21" s="386" t="s">
        <v>1164</v>
      </c>
      <c r="AU21" s="398" t="s">
        <v>752</v>
      </c>
    </row>
    <row r="22" spans="1:47" s="1470" customFormat="1" ht="15.6">
      <c r="A22" s="1451" t="s">
        <v>118</v>
      </c>
      <c r="B22" s="318" t="s">
        <v>117</v>
      </c>
      <c r="C22" s="1348">
        <v>0</v>
      </c>
      <c r="D22" s="1348">
        <v>1847</v>
      </c>
      <c r="E22" s="1348">
        <f>SUM(C22:D22)</f>
        <v>1847</v>
      </c>
      <c r="F22" s="1444" t="s">
        <v>116</v>
      </c>
      <c r="G22" s="1349">
        <v>200</v>
      </c>
      <c r="H22" s="165">
        <f>'10W LED Giveaway Savings'!$D$14</f>
        <v>27.962927999999998</v>
      </c>
      <c r="I22" s="328">
        <f>'10W LED Giveaway Savings'!$D$16</f>
        <v>0.0032465836575875486</v>
      </c>
      <c r="J22" s="165">
        <f>'10W LED Giveaway Savings'!$D$13</f>
        <v>20</v>
      </c>
      <c r="K22" s="1355">
        <f>(G22*H22)/1000</f>
        <v>5.5925855999999996</v>
      </c>
      <c r="L22" s="1355">
        <f>J22*K22</f>
        <v>111.85171199999999</v>
      </c>
      <c r="M22" s="164">
        <f>G22*I22</f>
        <v>0.64931673151750968</v>
      </c>
      <c r="N22" s="1445"/>
      <c r="O22" s="1470"/>
      <c r="P22" s="1594">
        <f>K22/$K$23</f>
        <v>1</v>
      </c>
      <c r="Q22" s="1470"/>
      <c r="S22" s="1492">
        <f>IFERROR(IF(G22/$G$23=0,0,G22/$G$23),"")</f>
        <v>1</v>
      </c>
      <c r="T22" s="1493" t="s">
        <v>836</v>
      </c>
      <c r="U22" s="1493" t="s">
        <v>835</v>
      </c>
      <c r="V22" s="1494">
        <v>0.90</v>
      </c>
      <c r="W22" s="1495">
        <f>IF($H22*$T$12=0,"",$H22*$T$12)</f>
        <v>4.2624350771552031</v>
      </c>
      <c r="X22" s="1495">
        <f>IFERROR($W22*((1+$T$9)/(1+$T$8)*(1-((1+$T$9)/(1+$T$8))^$J22)/(1-((1+$T$9)/(1+$T$8)))),"")</f>
        <v>48.889794534219277</v>
      </c>
      <c r="Y22" s="1496">
        <f>IFERROR(D22/G22,"")</f>
        <v>9.2349999999999994</v>
      </c>
      <c r="Z22" s="1497">
        <v>5</v>
      </c>
      <c r="AA22" s="1498"/>
      <c r="AB22" s="1497">
        <f>IFERROR(($AS22*$H22*$V22*((1+$T$11)/(1+$T$8)*(1-((1+$T$11)/(1+$T$8))^$J22)/(1-((1+$T$11)/(1+$T$8)))))+($AT$22*$I22),"")</f>
        <v>16.486134392744322</v>
      </c>
      <c r="AC22" s="1497">
        <f>IFERROR((SUM($C22)/$G22)+($Z22*$V22),"")</f>
        <v>4.50</v>
      </c>
      <c r="AD22" s="1499">
        <f>IFERROR(IF(AB22="","",AB22-AC22),"")</f>
        <v>11.986134392744322</v>
      </c>
      <c r="AE22" s="1500">
        <f>IFERROR(AB22/AC22,"")</f>
        <v>3.6635854206098495</v>
      </c>
      <c r="AF22" s="1497">
        <f>IFERROR(($AS22*$H22*$V22*((1+$T$11)/(1+$T$8)*(1-((1+$T$11)/(1+$T$8))^$J22)/(1-((1+$T$11)/(1+$T$8)))))+($AT22*$I22),"")</f>
        <v>16.486134392744322</v>
      </c>
      <c r="AG22" s="1499">
        <f>IFERROR(-PV($T$8,1,($E22/$G22)),"")</f>
        <v>8.7122641509434029</v>
      </c>
      <c r="AH22" s="1499">
        <f>IFERROR(IF(AF22="","",AF22-AG22),"")</f>
        <v>7.7738702418009193</v>
      </c>
      <c r="AI22" s="1500">
        <f>IFERROR(AF22/AG22,"")</f>
        <v>1.8922904663030826</v>
      </c>
      <c r="AJ22" s="1499">
        <f>IFERROR(-PV($T$8,$J22,$W22)+($Y22),"")</f>
        <v>58.124794534219319</v>
      </c>
      <c r="AK22" s="1499">
        <f>IF(Z22="","",Z22)</f>
        <v>5</v>
      </c>
      <c r="AL22" s="1499">
        <f>IFERROR(IF(AJ22="","",AJ22-AK22),"")</f>
        <v>53.124794534219319</v>
      </c>
      <c r="AM22" s="1500">
        <f>IFERROR(AJ22/AK22,"")</f>
        <v>11.624958906843864</v>
      </c>
      <c r="AN22" s="1499">
        <f>IFERROR(($AS22*$H22*$V22*((1+$T$11)/(1+$T$8)*(1-((1+$T$11)/(1+$T$8))^$J22)/(1-((1+$T$11)/(1+$T$8)))))+($AT22*$I22),"")</f>
        <v>16.486134392744322</v>
      </c>
      <c r="AO22" s="1499">
        <f>IFERROR((SUM($C22)/$G22)+X22+Y22,"")</f>
        <v>58.124794534219276</v>
      </c>
      <c r="AP22" s="1499">
        <f>IFERROR(IF(AN22="","",AN22-AO22),"")</f>
        <v>-41.638660141474958</v>
      </c>
      <c r="AQ22" s="1502">
        <f>IFERROR(AN22/AO22,"")</f>
        <v>0.28363342227452676</v>
      </c>
      <c r="AR22" s="1488"/>
      <c r="AS22" s="1503">
        <f>IFERROR(VLOOKUP(ROUND($J22,0),'Seminole Avoided Cost'!$B$15:$Y$41,8,FALSE),"")</f>
        <v>0.055449999999999999</v>
      </c>
      <c r="AT22" s="1504">
        <f>IFERROR(VLOOKUP(ROUND($J22,0),'Seminole Avoided Cost'!$B$15:$Y$41,24,FALSE),"")</f>
        <v>147.83999999999998</v>
      </c>
      <c r="AU22" s="1505">
        <f>IFERROR(SUM(C22)/G22,"")</f>
        <v>0</v>
      </c>
    </row>
    <row r="23" spans="1:47" s="1470" customFormat="1" ht="22.5" customHeight="1" thickBot="1">
      <c r="A23" s="1442" t="s">
        <v>103</v>
      </c>
      <c r="B23" s="1442"/>
      <c r="C23" s="1446">
        <f>SUM(C22:C22)</f>
        <v>0</v>
      </c>
      <c r="D23" s="1446">
        <f>SUM(D22:D22)</f>
        <v>1847</v>
      </c>
      <c r="E23" s="1446">
        <f>SUM(E22:E22)</f>
        <v>1847</v>
      </c>
      <c r="F23" s="1438" t="s">
        <v>76</v>
      </c>
      <c r="G23" s="1442">
        <f>SUM(G22:G22)</f>
        <v>200</v>
      </c>
      <c r="H23" s="1442"/>
      <c r="I23" s="1442"/>
      <c r="J23" s="1447">
        <f>SUMPRODUCT(J22,P22)</f>
        <v>20</v>
      </c>
      <c r="K23" s="1452">
        <f>SUM(K22:K22)</f>
        <v>5.5925855999999996</v>
      </c>
      <c r="L23" s="1452">
        <f>SUM(L22:L22)</f>
        <v>111.85171199999999</v>
      </c>
      <c r="M23" s="1448">
        <f>SUM(M22:M22)</f>
        <v>0.64931673151750968</v>
      </c>
      <c r="N23" s="1449"/>
      <c r="O23" s="1470"/>
      <c r="P23" s="1578">
        <f>SUM(P22)</f>
        <v>1</v>
      </c>
      <c r="Q23" s="1470"/>
      <c r="S23" s="1509">
        <f>SUM(S22)</f>
        <v>1</v>
      </c>
      <c r="T23" s="1510"/>
      <c r="U23" s="1510"/>
      <c r="V23" s="1510"/>
      <c r="W23" s="1511"/>
      <c r="X23" s="1511"/>
      <c r="Y23" s="1511"/>
      <c r="Z23" s="1512"/>
      <c r="AA23" s="1513"/>
      <c r="AB23" s="1512">
        <f>SUMPRODUCT(AB$22,$S$22:$S$22)</f>
        <v>16.486134392744322</v>
      </c>
      <c r="AC23" s="1512">
        <f>SUMPRODUCT(AC$22:AC$22,$S$22:$S$22)</f>
        <v>4.50</v>
      </c>
      <c r="AD23" s="1512">
        <f>SUMPRODUCT(AD$22:AD$22,$S$22:$S$22)</f>
        <v>11.986134392744322</v>
      </c>
      <c r="AE23" s="1514">
        <f>IFERROR(AB23/AC23,"")</f>
        <v>3.6635854206098495</v>
      </c>
      <c r="AF23" s="1512">
        <f>SUMPRODUCT(AF$22:AF$22,$S$22:$S$22)</f>
        <v>16.486134392744322</v>
      </c>
      <c r="AG23" s="1512">
        <f>SUMPRODUCT(AG$22:AG$22,$S$22:$S$22)</f>
        <v>8.7122641509434029</v>
      </c>
      <c r="AH23" s="1512">
        <f>SUMPRODUCT(AH$22:AH$22,$S$22:$S$22)</f>
        <v>7.7738702418009193</v>
      </c>
      <c r="AI23" s="1514">
        <f>IFERROR(AF23/AG23,"")</f>
        <v>1.8922904663030826</v>
      </c>
      <c r="AJ23" s="1512">
        <f>SUMPRODUCT(AJ$22:AJ$22,$S$22:$S$22)</f>
        <v>58.124794534219319</v>
      </c>
      <c r="AK23" s="1512">
        <f>SUMPRODUCT(AK$22:AK$22,$S$22:$S$22)</f>
        <v>5</v>
      </c>
      <c r="AL23" s="1512">
        <f>SUMPRODUCT(AL$22:AL$22,$S$22:$S$22)</f>
        <v>53.124794534219319</v>
      </c>
      <c r="AM23" s="1514">
        <f>IFERROR(AJ23/AK23,"")</f>
        <v>11.624958906843864</v>
      </c>
      <c r="AN23" s="1512">
        <f>SUMPRODUCT(AN$22:AN$22,$S$22:$S$22)</f>
        <v>16.486134392744322</v>
      </c>
      <c r="AO23" s="1512">
        <f>SUMPRODUCT(AO$22:AO$22,$S$22:$S$22)</f>
        <v>58.124794534219276</v>
      </c>
      <c r="AP23" s="1512">
        <f>SUMPRODUCT(AP$22:AP$22,$S$22:$S$22)</f>
        <v>-41.638660141474958</v>
      </c>
      <c r="AQ23" s="1595">
        <f>IFERROR(AN23/AO23,"")</f>
        <v>0.28363342227452676</v>
      </c>
      <c r="AR23" s="1488"/>
      <c r="AS23" s="1515">
        <f>IFERROR(VLOOKUP(ROUND($J23,0),'Seminole Avoided Cost'!$B$15:$Y$41,8,FALSE),"")</f>
        <v>0.055449999999999999</v>
      </c>
      <c r="AT23" s="1516">
        <f>IFERROR(VLOOKUP(ROUND($J23,0),'Seminole Avoided Cost'!$B$15:$Y$41,24,FALSE),"")</f>
        <v>147.83999999999998</v>
      </c>
      <c r="AU23" s="1517">
        <f>IFERROR(SUM(C23)/G23,"")</f>
        <v>0</v>
      </c>
    </row>
    <row r="24" spans="1:17" ht="17.25" customHeight="1" thickBot="1">
      <c r="A24" s="380"/>
      <c r="B24" s="379"/>
      <c r="C24" s="378"/>
      <c r="D24" s="378"/>
      <c r="E24" s="378"/>
      <c r="F24" s="378"/>
      <c r="G24" s="378"/>
      <c r="H24" s="378"/>
      <c r="I24" s="378"/>
      <c r="J24" s="378"/>
      <c r="K24" s="378"/>
      <c r="L24" s="378"/>
      <c r="M24" s="378"/>
      <c r="N24" s="1572"/>
    </row>
    <row r="25" spans="1:46" s="1470" customFormat="1" ht="63" thickBot="1">
      <c r="A25" s="1543" t="s">
        <v>99</v>
      </c>
      <c r="B25" s="128" t="s">
        <v>89</v>
      </c>
      <c r="C25" s="107" t="s">
        <v>88</v>
      </c>
      <c r="D25" s="106" t="s">
        <v>87</v>
      </c>
      <c r="E25" s="105" t="s">
        <v>86</v>
      </c>
      <c r="F25" s="185" t="s">
        <v>85</v>
      </c>
      <c r="G25" s="185" t="s">
        <v>98</v>
      </c>
      <c r="H25" s="185" t="s">
        <v>97</v>
      </c>
      <c r="I25" s="185" t="s">
        <v>82</v>
      </c>
      <c r="J25" s="185" t="s">
        <v>96</v>
      </c>
      <c r="K25" s="152" t="s">
        <v>80</v>
      </c>
      <c r="L25" s="152" t="s">
        <v>79</v>
      </c>
      <c r="M25" s="152" t="s">
        <v>95</v>
      </c>
      <c r="N25" s="125" t="s">
        <v>78</v>
      </c>
      <c r="O25" s="1470"/>
      <c r="Q25" s="1470"/>
      <c r="AS25" s="1471"/>
      <c r="AT25" s="1471"/>
    </row>
    <row r="26" spans="1:46" s="1470" customFormat="1" ht="16.8" thickTop="1" thickBot="1">
      <c r="A26" s="1598" t="s">
        <v>661</v>
      </c>
      <c r="B26" s="1443"/>
      <c r="C26" s="100">
        <v>0</v>
      </c>
      <c r="D26" s="169">
        <v>0</v>
      </c>
      <c r="E26" s="320">
        <f>SUM(C26:C26)</f>
        <v>0</v>
      </c>
      <c r="F26" s="1444"/>
      <c r="G26" s="166">
        <v>10</v>
      </c>
      <c r="H26" s="318"/>
      <c r="I26" s="318"/>
      <c r="J26" s="318"/>
      <c r="K26" s="318">
        <f>(G26*H26)/1000</f>
        <v>0</v>
      </c>
      <c r="L26" s="318">
        <f>J26*K26</f>
        <v>0</v>
      </c>
      <c r="M26" s="318">
        <f>G26*I26</f>
        <v>0</v>
      </c>
      <c r="N26" s="1459"/>
      <c r="O26" s="1470"/>
      <c r="Q26" s="1470"/>
      <c r="AS26" s="1471"/>
      <c r="AT26" s="1471"/>
    </row>
    <row r="27" spans="1:46" s="1486" customFormat="1" ht="22.5" customHeight="1" thickTop="1" thickBot="1">
      <c r="A27" s="1457" t="s">
        <v>102</v>
      </c>
      <c r="B27" s="1458"/>
      <c r="C27" s="1460">
        <f>SUM(C26)</f>
        <v>0</v>
      </c>
      <c r="D27" s="1460">
        <f>SUM(D26)</f>
        <v>0</v>
      </c>
      <c r="E27" s="1460">
        <f>SUM(E26)</f>
        <v>0</v>
      </c>
      <c r="F27" s="1461" t="s">
        <v>76</v>
      </c>
      <c r="G27" s="1574">
        <f>SUM(G26)</f>
        <v>10</v>
      </c>
      <c r="H27" s="1597"/>
      <c r="I27" s="1597"/>
      <c r="J27" s="1597"/>
      <c r="K27" s="1462">
        <f>SUM(K26)</f>
        <v>0</v>
      </c>
      <c r="L27" s="1462">
        <f>SUM(L26)</f>
        <v>0</v>
      </c>
      <c r="M27" s="1462">
        <f>SUM(M26)</f>
        <v>0</v>
      </c>
      <c r="N27" s="1463"/>
      <c r="O27" s="1486"/>
      <c r="Q27" s="1486"/>
      <c r="AS27" s="1487"/>
      <c r="AT27" s="1487"/>
    </row>
    <row r="28" spans="1:46" s="1486" customFormat="1" ht="22.5" customHeight="1">
      <c r="A28" s="1596"/>
      <c r="B28" s="1596"/>
      <c r="C28" s="1596"/>
      <c r="D28" s="1596"/>
      <c r="E28" s="1596"/>
      <c r="F28" s="1596"/>
      <c r="G28" s="1596"/>
      <c r="H28" s="1596"/>
      <c r="I28" s="1596"/>
      <c r="J28" s="1596"/>
      <c r="K28" s="1596"/>
      <c r="L28" s="1596"/>
      <c r="M28" s="1596"/>
      <c r="N28" s="1596"/>
      <c r="O28" s="1486"/>
      <c r="Q28" s="1486"/>
      <c r="AS28" s="1487"/>
      <c r="AT28" s="1487"/>
    </row>
    <row r="29" spans="1:17" ht="37.5" customHeight="1">
      <c r="A29" s="1699" t="s">
        <v>101</v>
      </c>
      <c r="B29" s="1699"/>
      <c r="C29" s="1699"/>
      <c r="D29" s="1699"/>
      <c r="E29" s="1699"/>
      <c r="F29" s="1699"/>
      <c r="G29" s="1699"/>
      <c r="H29" s="1699"/>
      <c r="I29" s="1699"/>
      <c r="J29" s="1699"/>
      <c r="K29" s="1699"/>
      <c r="L29" s="1699"/>
      <c r="M29" s="1699"/>
      <c r="N29" s="1699"/>
    </row>
    <row r="30" spans="1:46" s="1470" customFormat="1" ht="62.4">
      <c r="A30" s="434" t="s">
        <v>90</v>
      </c>
      <c r="B30" s="1346" t="s">
        <v>89</v>
      </c>
      <c r="C30" s="434" t="s">
        <v>88</v>
      </c>
      <c r="D30" s="1346" t="s">
        <v>87</v>
      </c>
      <c r="E30" s="434" t="s">
        <v>86</v>
      </c>
      <c r="F30" s="104" t="s">
        <v>85</v>
      </c>
      <c r="G30" s="104" t="s">
        <v>84</v>
      </c>
      <c r="H30" s="104" t="s">
        <v>97</v>
      </c>
      <c r="I30" s="104" t="s">
        <v>82</v>
      </c>
      <c r="J30" s="104" t="s">
        <v>96</v>
      </c>
      <c r="K30" s="104" t="s">
        <v>80</v>
      </c>
      <c r="L30" s="104" t="s">
        <v>79</v>
      </c>
      <c r="M30" s="104" t="s">
        <v>95</v>
      </c>
      <c r="N30" s="104" t="s">
        <v>78</v>
      </c>
      <c r="O30" s="1470"/>
      <c r="P30" s="1489" t="str">
        <f>K30&amp;" Weighting"</f>
        <v>Total Annual MWh Weighting</v>
      </c>
      <c r="Q30" s="1470"/>
      <c r="AS30" s="1471"/>
      <c r="AT30" s="1471"/>
    </row>
    <row r="31" spans="1:46" s="1470" customFormat="1" ht="31.2">
      <c r="A31" s="1451" t="s">
        <v>707</v>
      </c>
      <c r="B31" s="318" t="s">
        <v>708</v>
      </c>
      <c r="C31" s="1348">
        <f>'40W Streetlight'!$E$56*G31</f>
        <v>1452.3856716630212</v>
      </c>
      <c r="D31" s="1348">
        <v>0</v>
      </c>
      <c r="E31" s="1348">
        <f>SUM(C31:C31)</f>
        <v>1452.3856716630212</v>
      </c>
      <c r="F31" s="318" t="s">
        <v>116</v>
      </c>
      <c r="G31" s="1469">
        <v>70</v>
      </c>
      <c r="H31" s="1531">
        <f>'40W Streetlight'!$E$24-'40W Streetlight'!$E$51</f>
        <v>396.21399999999994</v>
      </c>
      <c r="I31" s="318">
        <v>0</v>
      </c>
      <c r="J31" s="317">
        <f>'40W Streetlight'!$E$40</f>
        <v>12.367054167697255</v>
      </c>
      <c r="K31" s="1355">
        <f>(G31*H31)/1000</f>
        <v>27.734979999999997</v>
      </c>
      <c r="L31" s="1355">
        <f>J31*K31</f>
        <v>342.99999999999994</v>
      </c>
      <c r="M31" s="164">
        <f>G31*I31</f>
        <v>0</v>
      </c>
      <c r="N31" s="1445" t="s">
        <v>705</v>
      </c>
      <c r="O31" s="1470"/>
      <c r="P31" s="1594">
        <f>K31/$K$33</f>
        <v>0.49631023006800745</v>
      </c>
      <c r="Q31" s="1470"/>
      <c r="AS31" s="1471"/>
      <c r="AT31" s="1471"/>
    </row>
    <row r="32" spans="1:46" s="1470" customFormat="1" ht="15.6">
      <c r="A32" s="1443" t="s">
        <v>707</v>
      </c>
      <c r="B32" s="318" t="s">
        <v>706</v>
      </c>
      <c r="C32" s="1348">
        <f>'70W Streetlight'!$E$56*G32</f>
        <v>1224.1536375445464</v>
      </c>
      <c r="D32" s="1348">
        <v>0</v>
      </c>
      <c r="E32" s="1348">
        <f>SUM(C32:C32)</f>
        <v>1224.1536375445464</v>
      </c>
      <c r="F32" s="318" t="s">
        <v>116</v>
      </c>
      <c r="G32" s="1469">
        <v>59</v>
      </c>
      <c r="H32" s="1531">
        <f>'70W Streetlight'!$E$24-'70W Streetlight'!$E$51</f>
        <v>477.07400000000007</v>
      </c>
      <c r="I32" s="318">
        <v>0</v>
      </c>
      <c r="J32" s="317">
        <f>'70W Streetlight'!$E$40</f>
        <v>12.367054167697255</v>
      </c>
      <c r="K32" s="1355">
        <f>(G32*H32)/1000</f>
        <v>28.147366000000005</v>
      </c>
      <c r="L32" s="1355">
        <f>J32*K32</f>
        <v>348.10000000000008</v>
      </c>
      <c r="M32" s="164">
        <f>G32*I32</f>
        <v>0</v>
      </c>
      <c r="N32" s="1445" t="s">
        <v>705</v>
      </c>
      <c r="O32" s="1470"/>
      <c r="P32" s="1594">
        <f>K32/$K$33</f>
        <v>0.50368976993199255</v>
      </c>
      <c r="Q32" s="1470"/>
      <c r="AS32" s="1471"/>
      <c r="AT32" s="1471"/>
    </row>
    <row r="33" spans="1:46" s="1470" customFormat="1" ht="22.5" customHeight="1">
      <c r="A33" s="1442" t="s">
        <v>100</v>
      </c>
      <c r="B33" s="1442"/>
      <c r="C33" s="1446">
        <f>SUM(C31:C32)</f>
        <v>2676.5393092075674</v>
      </c>
      <c r="D33" s="1446">
        <f>SUM(D31:D32)</f>
        <v>0</v>
      </c>
      <c r="E33" s="1446">
        <f>SUM(E31:E32)</f>
        <v>2676.5393092075674</v>
      </c>
      <c r="F33" s="1438" t="s">
        <v>76</v>
      </c>
      <c r="G33" s="1455">
        <f>SUM(G31:G32)</f>
        <v>129</v>
      </c>
      <c r="H33" s="1455">
        <f t="shared" si="0" ref="H33:I33">SUM(H31:H32)</f>
        <v>873.28800000000001</v>
      </c>
      <c r="I33" s="1455">
        <f t="shared" si="0"/>
        <v>0</v>
      </c>
      <c r="J33" s="1448">
        <f>SUMPRODUCT(J31:J32,P31:P32)</f>
        <v>12.367054167697255</v>
      </c>
      <c r="K33" s="1452">
        <f>SUM(K31:K32)</f>
        <v>55.882345999999998</v>
      </c>
      <c r="L33" s="1452">
        <f>SUM(L31:L32)</f>
        <v>691.10</v>
      </c>
      <c r="M33" s="1448">
        <f>SUM(M31:M32)</f>
        <v>0</v>
      </c>
      <c r="N33" s="1449"/>
      <c r="O33" s="1470"/>
      <c r="P33" s="1578">
        <f>SUM(P31:P32)</f>
        <v>1</v>
      </c>
      <c r="Q33" s="1470"/>
      <c r="S33" s="1486"/>
      <c r="T33" s="1486"/>
      <c r="U33" s="1486"/>
      <c r="V33" s="1486"/>
      <c r="W33" s="1486"/>
      <c r="X33" s="1486"/>
      <c r="Y33" s="1486"/>
      <c r="Z33" s="1486"/>
      <c r="AA33" s="1486"/>
      <c r="AB33" s="1486"/>
      <c r="AC33" s="1486"/>
      <c r="AD33" s="1486"/>
      <c r="AE33" s="1486"/>
      <c r="AF33" s="1486"/>
      <c r="AG33" s="1486"/>
      <c r="AH33" s="1486"/>
      <c r="AI33" s="1486"/>
      <c r="AJ33" s="1486"/>
      <c r="AK33" s="1486"/>
      <c r="AL33" s="1486"/>
      <c r="AM33" s="1486"/>
      <c r="AN33" s="1486"/>
      <c r="AO33" s="1486"/>
      <c r="AP33" s="1486"/>
      <c r="AQ33" s="1486"/>
      <c r="AR33" s="1486"/>
      <c r="AS33" s="1487"/>
      <c r="AT33" s="1487"/>
    </row>
    <row r="34" spans="1:46" s="24" customFormat="1" ht="22.5" customHeight="1">
      <c r="A34" s="137"/>
      <c r="B34" s="133"/>
      <c r="C34" s="135"/>
      <c r="D34" s="135"/>
      <c r="E34" s="135"/>
      <c r="F34" s="134"/>
      <c r="G34" s="133"/>
      <c r="H34" s="133"/>
      <c r="I34" s="133"/>
      <c r="J34" s="133"/>
      <c r="K34" s="132"/>
      <c r="L34" s="132"/>
      <c r="M34" s="132"/>
      <c r="N34" s="1576"/>
      <c r="O34" s="24"/>
      <c r="Q34" s="24"/>
      <c r="S34"/>
      <c r="T34"/>
      <c r="U34"/>
      <c r="V34"/>
      <c r="W34"/>
      <c r="X34"/>
      <c r="Y34"/>
      <c r="Z34"/>
      <c r="AA34"/>
      <c r="AB34"/>
      <c r="AC34"/>
      <c r="AD34"/>
      <c r="AE34"/>
      <c r="AF34"/>
      <c r="AG34"/>
      <c r="AH34"/>
      <c r="AI34"/>
      <c r="AJ34"/>
      <c r="AK34"/>
      <c r="AL34"/>
      <c r="AM34"/>
      <c r="AN34"/>
      <c r="AO34"/>
      <c r="AP34"/>
      <c r="AQ34"/>
      <c r="AR34"/>
      <c r="AS34" s="241"/>
      <c r="AT34" s="241"/>
    </row>
    <row r="35" spans="1:46" s="1470" customFormat="1" ht="62.4">
      <c r="A35" s="434" t="s">
        <v>99</v>
      </c>
      <c r="B35" s="1346" t="s">
        <v>89</v>
      </c>
      <c r="C35" s="434" t="s">
        <v>88</v>
      </c>
      <c r="D35" s="1346" t="s">
        <v>87</v>
      </c>
      <c r="E35" s="434" t="s">
        <v>86</v>
      </c>
      <c r="F35" s="104" t="s">
        <v>85</v>
      </c>
      <c r="G35" s="104" t="s">
        <v>98</v>
      </c>
      <c r="H35" s="104" t="s">
        <v>97</v>
      </c>
      <c r="I35" s="104" t="s">
        <v>82</v>
      </c>
      <c r="J35" s="104" t="s">
        <v>96</v>
      </c>
      <c r="K35" s="104" t="s">
        <v>80</v>
      </c>
      <c r="L35" s="104" t="s">
        <v>79</v>
      </c>
      <c r="M35" s="104" t="s">
        <v>95</v>
      </c>
      <c r="N35" s="104" t="s">
        <v>78</v>
      </c>
      <c r="O35" s="1470"/>
      <c r="Q35" s="1470"/>
      <c r="AS35" s="1471"/>
      <c r="AT35" s="1471"/>
    </row>
    <row r="36" spans="1:46" s="1470" customFormat="1" ht="15.6">
      <c r="A36" s="1443" t="s">
        <v>704</v>
      </c>
      <c r="B36" s="318"/>
      <c r="C36" s="1348">
        <v>0</v>
      </c>
      <c r="D36" s="1348">
        <v>0</v>
      </c>
      <c r="E36" s="1348">
        <f>SUM(C36:C36)</f>
        <v>0</v>
      </c>
      <c r="F36" s="318"/>
      <c r="G36" s="1469">
        <v>25</v>
      </c>
      <c r="H36" s="318"/>
      <c r="I36" s="318"/>
      <c r="J36" s="318"/>
      <c r="K36" s="164">
        <f>(G36*H36)/1000</f>
        <v>0</v>
      </c>
      <c r="L36" s="164">
        <f>J36*K36</f>
        <v>0</v>
      </c>
      <c r="M36" s="164">
        <f>G36*I36</f>
        <v>0</v>
      </c>
      <c r="N36" s="1445"/>
      <c r="O36" s="1470"/>
      <c r="Q36" s="1470"/>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7"/>
      <c r="AT36" s="1487"/>
    </row>
    <row r="37" spans="1:46" s="1486" customFormat="1" ht="22.5" customHeight="1">
      <c r="A37" s="1442" t="s">
        <v>93</v>
      </c>
      <c r="B37" s="1442"/>
      <c r="C37" s="1446">
        <f>SUM(C36)</f>
        <v>0</v>
      </c>
      <c r="D37" s="1446">
        <f>SUM(D36)</f>
        <v>0</v>
      </c>
      <c r="E37" s="1446">
        <f>SUM(E36)</f>
        <v>0</v>
      </c>
      <c r="F37" s="1438" t="s">
        <v>76</v>
      </c>
      <c r="G37" s="1455">
        <f>SUM(G36:G36)</f>
        <v>25</v>
      </c>
      <c r="H37" s="1449"/>
      <c r="I37" s="1449"/>
      <c r="J37" s="1449"/>
      <c r="K37" s="1442">
        <f>SUM(K36)</f>
        <v>0</v>
      </c>
      <c r="L37" s="1442">
        <f>SUM(L36)</f>
        <v>0</v>
      </c>
      <c r="M37" s="1442">
        <f>SUM(M36)</f>
        <v>0</v>
      </c>
      <c r="N37" s="1449"/>
      <c r="O37" s="1486"/>
      <c r="Q37" s="1486"/>
      <c r="S37" s="1470"/>
      <c r="T37" s="1470"/>
      <c r="U37" s="1470"/>
      <c r="V37" s="1470"/>
      <c r="W37" s="1470"/>
      <c r="X37" s="1470"/>
      <c r="Y37" s="1470"/>
      <c r="Z37" s="1470"/>
      <c r="AA37" s="1470"/>
      <c r="AB37" s="1470"/>
      <c r="AC37" s="1470"/>
      <c r="AD37" s="1470"/>
      <c r="AE37" s="1470"/>
      <c r="AF37" s="1470"/>
      <c r="AG37" s="1470"/>
      <c r="AH37" s="1470"/>
      <c r="AI37" s="1470"/>
      <c r="AJ37" s="1470"/>
      <c r="AK37" s="1470"/>
      <c r="AL37" s="1470"/>
      <c r="AM37" s="1470"/>
      <c r="AN37" s="1470"/>
      <c r="AO37" s="1470"/>
      <c r="AP37" s="1470"/>
      <c r="AQ37" s="1470"/>
      <c r="AR37" s="1470"/>
      <c r="AS37" s="1471"/>
      <c r="AT37" s="1471"/>
    </row>
    <row r="38" spans="1:17" ht="15.75" customHeight="1" thickBot="1">
      <c r="A38" s="1465"/>
      <c r="B38" s="1466"/>
      <c r="C38" s="1466"/>
      <c r="D38" s="1466"/>
      <c r="E38" s="1466"/>
      <c r="F38" s="1466"/>
      <c r="G38" s="1466"/>
      <c r="H38" s="1466"/>
      <c r="I38" s="1466"/>
      <c r="J38" s="1466"/>
      <c r="K38" s="1466"/>
      <c r="L38" s="1466"/>
      <c r="M38" s="79"/>
    </row>
    <row r="39" spans="1:17" ht="37.5" customHeight="1" thickBot="1">
      <c r="A39" s="1696" t="s">
        <v>91</v>
      </c>
      <c r="B39" s="1697"/>
      <c r="C39" s="1697"/>
      <c r="D39" s="1697"/>
      <c r="E39" s="1697"/>
      <c r="F39" s="1697"/>
      <c r="G39" s="1697"/>
      <c r="H39" s="1697"/>
      <c r="I39" s="1697"/>
      <c r="J39" s="1697"/>
      <c r="K39" s="1697"/>
      <c r="L39" s="1697"/>
      <c r="M39" s="1697"/>
      <c r="N39" s="1698"/>
    </row>
    <row r="40" spans="1:17" ht="63" thickBot="1">
      <c r="A40" s="91" t="s">
        <v>90</v>
      </c>
      <c r="B40" s="108" t="s">
        <v>89</v>
      </c>
      <c r="C40" s="107" t="s">
        <v>88</v>
      </c>
      <c r="D40" s="106" t="s">
        <v>87</v>
      </c>
      <c r="E40" s="105" t="s">
        <v>86</v>
      </c>
      <c r="F40" s="104" t="s">
        <v>85</v>
      </c>
      <c r="G40" s="103" t="s">
        <v>84</v>
      </c>
      <c r="H40" s="103" t="s">
        <v>83</v>
      </c>
      <c r="I40" s="103" t="s">
        <v>82</v>
      </c>
      <c r="J40" s="103" t="s">
        <v>81</v>
      </c>
      <c r="K40" s="90" t="s">
        <v>80</v>
      </c>
      <c r="L40" s="90" t="s">
        <v>79</v>
      </c>
      <c r="M40" s="90" t="s">
        <v>95</v>
      </c>
      <c r="N40" s="125" t="s">
        <v>78</v>
      </c>
    </row>
    <row r="41" spans="1:17" ht="16.8" thickTop="1" thickBot="1">
      <c r="A41" s="102"/>
      <c r="B41" s="101"/>
      <c r="C41" s="100">
        <v>0</v>
      </c>
      <c r="D41" s="169">
        <v>0</v>
      </c>
      <c r="E41" s="320">
        <f>SUM(C41:C41)</f>
        <v>0</v>
      </c>
      <c r="F41" s="318"/>
      <c r="G41" s="166">
        <v>0</v>
      </c>
      <c r="H41" s="319"/>
      <c r="I41" s="318"/>
      <c r="J41" s="317"/>
      <c r="K41" s="164">
        <f>(G41*H41)/1000</f>
        <v>0</v>
      </c>
      <c r="L41" s="164">
        <f>J41*K41</f>
        <v>0</v>
      </c>
      <c r="M41" s="164">
        <f>G41*I41</f>
        <v>0</v>
      </c>
      <c r="N41" s="316"/>
    </row>
    <row r="42" spans="1:17" ht="22.5" customHeight="1" thickTop="1" thickBot="1">
      <c r="A42" s="98" t="s">
        <v>77</v>
      </c>
      <c r="B42" s="97"/>
      <c r="C42" s="96">
        <f>SUM(C41)</f>
        <v>0</v>
      </c>
      <c r="D42" s="96">
        <f>SUM(D41)</f>
        <v>0</v>
      </c>
      <c r="E42" s="96">
        <f>SUM(E41)</f>
        <v>0</v>
      </c>
      <c r="F42" s="95" t="s">
        <v>76</v>
      </c>
      <c r="G42" s="315">
        <f>SUM(G41)</f>
        <v>0</v>
      </c>
      <c r="H42" s="94"/>
      <c r="I42" s="94"/>
      <c r="J42" s="94"/>
      <c r="K42" s="112">
        <f>SUM(K41)</f>
        <v>0</v>
      </c>
      <c r="L42" s="112">
        <f>SUM(L41)</f>
        <v>0</v>
      </c>
      <c r="M42" s="112">
        <f>SUM(M41)</f>
        <v>0</v>
      </c>
      <c r="N42" s="158"/>
    </row>
    <row r="43" spans="1:17" ht="15.75" customHeight="1" thickBot="1">
      <c r="A43" s="93"/>
      <c r="B43" s="92"/>
      <c r="C43" s="92"/>
      <c r="D43" s="92"/>
      <c r="E43" s="92"/>
      <c r="F43" s="92"/>
      <c r="G43" s="92"/>
      <c r="H43" s="92"/>
      <c r="I43" s="92"/>
      <c r="J43" s="92"/>
      <c r="K43" s="92"/>
      <c r="L43" s="92"/>
    </row>
    <row r="44" spans="1:17" ht="21.6" thickBot="1">
      <c r="A44" s="1679" t="s">
        <v>75</v>
      </c>
      <c r="B44" s="1680"/>
      <c r="C44" s="1681"/>
    </row>
    <row r="45" spans="1:17" ht="15.6">
      <c r="A45" s="91" t="s">
        <v>74</v>
      </c>
      <c r="B45" s="90" t="s">
        <v>73</v>
      </c>
      <c r="C45" s="89" t="s">
        <v>72</v>
      </c>
    </row>
    <row r="46" spans="1:17" ht="14.4">
      <c r="A46" s="88" t="s">
        <v>61</v>
      </c>
      <c r="B46" s="314">
        <v>12487</v>
      </c>
      <c r="C46" s="86">
        <v>0</v>
      </c>
    </row>
    <row r="47" spans="1:17" ht="14.4">
      <c r="A47" s="88" t="s">
        <v>60</v>
      </c>
      <c r="B47" s="314">
        <v>2394</v>
      </c>
      <c r="C47" s="86">
        <v>0</v>
      </c>
    </row>
    <row r="48" spans="1:17" ht="14.4">
      <c r="A48" s="88" t="s">
        <v>59</v>
      </c>
      <c r="B48" s="314">
        <v>1492</v>
      </c>
      <c r="C48" s="86">
        <v>0</v>
      </c>
    </row>
    <row r="49" spans="1:17" ht="16.2" thickBot="1">
      <c r="A49" s="85" t="str">
        <f>"Total for "&amp;A44</f>
        <v>Total for Advanced Metering</v>
      </c>
      <c r="B49" s="84">
        <f>SUM(B46:B48)</f>
        <v>16373</v>
      </c>
      <c r="C49" s="83">
        <f>SUM(C46:C48)</f>
        <v>0</v>
      </c>
    </row>
  </sheetData>
  <mergeCells count="30">
    <mergeCell ref="A1:N1"/>
    <mergeCell ref="AS20:AT20"/>
    <mergeCell ref="F11:H11"/>
    <mergeCell ref="F12:H12"/>
    <mergeCell ref="F10:H10"/>
    <mergeCell ref="A4:N4"/>
    <mergeCell ref="F6:H6"/>
    <mergeCell ref="F7:H7"/>
    <mergeCell ref="F8:H8"/>
    <mergeCell ref="F9:H9"/>
    <mergeCell ref="F13:H13"/>
    <mergeCell ref="S6:U6"/>
    <mergeCell ref="S19:AA19"/>
    <mergeCell ref="AB19:AQ19"/>
    <mergeCell ref="S20:AA20"/>
    <mergeCell ref="AB20:AE20"/>
    <mergeCell ref="F14:H14"/>
    <mergeCell ref="F15:H15"/>
    <mergeCell ref="A39:N39"/>
    <mergeCell ref="F16:H16"/>
    <mergeCell ref="F20:L20"/>
    <mergeCell ref="A19:N19"/>
    <mergeCell ref="C20:E20"/>
    <mergeCell ref="A29:N29"/>
    <mergeCell ref="AJ20:AM20"/>
    <mergeCell ref="AN20:AQ20"/>
    <mergeCell ref="AB18:AE18"/>
    <mergeCell ref="AJ18:AM18"/>
    <mergeCell ref="A44:C44"/>
    <mergeCell ref="AF20:AI20"/>
  </mergeCells>
  <conditionalFormatting sqref="C32">
    <cfRule type="expression" priority="73" dxfId="9">
      <formula>ISBLANK(C32)</formula>
    </cfRule>
    <cfRule type="expression" priority="74">
      <formula>NOT(ISBLANK(C32))</formula>
    </cfRule>
  </conditionalFormatting>
  <conditionalFormatting sqref="C41:D41">
    <cfRule type="expression" priority="51" dxfId="9">
      <formula>ISBLANK(C41)</formula>
    </cfRule>
    <cfRule type="expression" priority="52">
      <formula>NOT(ISBLANK(C41))</formula>
    </cfRule>
  </conditionalFormatting>
  <conditionalFormatting sqref="C41">
    <cfRule type="expression" priority="49" dxfId="8">
      <formula>ISBLANK(C41)</formula>
    </cfRule>
    <cfRule type="expression" priority="50">
      <formula>NOT(ISBLANK(C41))</formula>
    </cfRule>
  </conditionalFormatting>
  <conditionalFormatting sqref="C22">
    <cfRule type="expression" priority="67" dxfId="9">
      <formula>ISBLANK(C22)</formula>
    </cfRule>
    <cfRule type="expression" priority="68">
      <formula>NOT(ISBLANK(C22))</formula>
    </cfRule>
  </conditionalFormatting>
  <conditionalFormatting sqref="G22">
    <cfRule type="expression" priority="65" dxfId="9">
      <formula>ISBLANK(G22)</formula>
    </cfRule>
    <cfRule type="expression" priority="66">
      <formula>NOT(ISBLANK(G22))</formula>
    </cfRule>
  </conditionalFormatting>
  <conditionalFormatting sqref="C31:D32">
    <cfRule type="expression" priority="45" dxfId="9">
      <formula>ISBLANK(C31)</formula>
    </cfRule>
    <cfRule type="expression" priority="46">
      <formula>NOT(ISBLANK(C31))</formula>
    </cfRule>
  </conditionalFormatting>
  <conditionalFormatting sqref="D22">
    <cfRule type="expression" priority="71" dxfId="9">
      <formula>ISBLANK(D22)</formula>
    </cfRule>
    <cfRule type="expression" priority="72">
      <formula>NOT(ISBLANK(D22))</formula>
    </cfRule>
  </conditionalFormatting>
  <conditionalFormatting sqref="G36">
    <cfRule type="expression" priority="41" dxfId="9">
      <formula>ISBLANK(G36)</formula>
    </cfRule>
    <cfRule type="expression" priority="42">
      <formula>NOT(ISBLANK(G36))</formula>
    </cfRule>
  </conditionalFormatting>
  <conditionalFormatting sqref="C22">
    <cfRule type="expression" priority="69" dxfId="8">
      <formula>ISBLANK(C22)</formula>
    </cfRule>
    <cfRule type="expression" priority="70">
      <formula>NOT(ISBLANK(C22))</formula>
    </cfRule>
  </conditionalFormatting>
  <conditionalFormatting sqref="G32">
    <cfRule type="expression" priority="63" dxfId="9">
      <formula>ISBLANK(G32)</formula>
    </cfRule>
    <cfRule type="expression" priority="64">
      <formula>NOT(ISBLANK(G32))</formula>
    </cfRule>
  </conditionalFormatting>
  <conditionalFormatting sqref="B11">
    <cfRule type="expression" priority="61" dxfId="9">
      <formula>ISBLANK(B11)</formula>
    </cfRule>
    <cfRule type="expression" priority="62">
      <formula>NOT(ISBLANK(B11))</formula>
    </cfRule>
  </conditionalFormatting>
  <conditionalFormatting sqref="G26">
    <cfRule type="expression" priority="59" dxfId="9">
      <formula>ISBLANK(G26)</formula>
    </cfRule>
    <cfRule type="expression" priority="60">
      <formula>NOT(ISBLANK(G26))</formula>
    </cfRule>
  </conditionalFormatting>
  <conditionalFormatting sqref="C26:D26">
    <cfRule type="expression" priority="57" dxfId="9">
      <formula>ISBLANK(C26)</formula>
    </cfRule>
    <cfRule type="expression" priority="58">
      <formula>NOT(ISBLANK(C26))</formula>
    </cfRule>
  </conditionalFormatting>
  <conditionalFormatting sqref="C26">
    <cfRule type="expression" priority="55" dxfId="8">
      <formula>ISBLANK(C26)</formula>
    </cfRule>
    <cfRule type="expression" priority="56">
      <formula>NOT(ISBLANK(C26))</formula>
    </cfRule>
  </conditionalFormatting>
  <conditionalFormatting sqref="G41">
    <cfRule type="expression" priority="53" dxfId="9">
      <formula>ISBLANK(G41)</formula>
    </cfRule>
    <cfRule type="expression" priority="54">
      <formula>NOT(ISBLANK(G41))</formula>
    </cfRule>
  </conditionalFormatting>
  <conditionalFormatting sqref="G31:G32">
    <cfRule type="expression" priority="47" dxfId="9">
      <formula>ISBLANK(G31)</formula>
    </cfRule>
    <cfRule type="expression" priority="48">
      <formula>NOT(ISBLANK(G31))</formula>
    </cfRule>
  </conditionalFormatting>
  <conditionalFormatting sqref="C31:C32">
    <cfRule type="expression" priority="43" dxfId="8">
      <formula>ISBLANK(C31)</formula>
    </cfRule>
    <cfRule type="expression" priority="44">
      <formula>NOT(ISBLANK(C31))</formula>
    </cfRule>
  </conditionalFormatting>
  <conditionalFormatting sqref="C36:D36">
    <cfRule type="expression" priority="39" dxfId="9">
      <formula>ISBLANK(C36)</formula>
    </cfRule>
    <cfRule type="expression" priority="40">
      <formula>NOT(ISBLANK(C36))</formula>
    </cfRule>
  </conditionalFormatting>
  <conditionalFormatting sqref="C36">
    <cfRule type="expression" priority="37" dxfId="8">
      <formula>ISBLANK(C36)</formula>
    </cfRule>
    <cfRule type="expression" priority="38">
      <formula>NOT(ISBLANK(C36))</formula>
    </cfRule>
  </conditionalFormatting>
  <conditionalFormatting sqref="AE23">
    <cfRule type="cellIs" priority="12" dxfId="0" operator="lessThan">
      <formula>1</formula>
    </cfRule>
  </conditionalFormatting>
  <conditionalFormatting sqref="AI23">
    <cfRule type="cellIs" priority="11" dxfId="0" operator="lessThan">
      <formula>1</formula>
    </cfRule>
  </conditionalFormatting>
  <conditionalFormatting sqref="AM23">
    <cfRule type="cellIs" priority="10" dxfId="0" operator="lessThan">
      <formula>1</formula>
    </cfRule>
  </conditionalFormatting>
  <conditionalFormatting sqref="AQ23">
    <cfRule type="cellIs" priority="9" dxfId="0" operator="lessThan">
      <formula>1</formula>
    </cfRule>
  </conditionalFormatting>
  <conditionalFormatting sqref="AE22">
    <cfRule type="colorScale" priority="1">
      <colorScale>
        <cfvo type="min" val="0"/>
        <cfvo type="percentile" val="50"/>
        <cfvo type="max" val="0"/>
        <color rgb="FFF8696B"/>
        <color rgb="FFFFEB84"/>
        <color rgb="FF63BE7B"/>
      </colorScale>
    </cfRule>
    <cfRule type="cellIs" priority="2" dxfId="0" operator="lessThan">
      <formula>1</formula>
    </cfRule>
  </conditionalFormatting>
  <conditionalFormatting sqref="AI22">
    <cfRule type="colorScale" priority="3">
      <colorScale>
        <cfvo type="min" val="0"/>
        <cfvo type="percentile" val="50"/>
        <cfvo type="max" val="0"/>
        <color rgb="FFF8696B"/>
        <color rgb="FFFFEB84"/>
        <color rgb="FF63BE7B"/>
      </colorScale>
    </cfRule>
    <cfRule type="cellIs" priority="4" dxfId="0" operator="lessThan">
      <formula>1</formula>
    </cfRule>
  </conditionalFormatting>
  <conditionalFormatting sqref="AM22">
    <cfRule type="colorScale" priority="5">
      <colorScale>
        <cfvo type="min" val="0"/>
        <cfvo type="percentile" val="50"/>
        <cfvo type="max" val="0"/>
        <color rgb="FFF8696B"/>
        <color rgb="FFFFEB84"/>
        <color rgb="FF63BE7B"/>
      </colorScale>
    </cfRule>
    <cfRule type="cellIs" priority="6" dxfId="0" operator="lessThan">
      <formula>1</formula>
    </cfRule>
  </conditionalFormatting>
  <conditionalFormatting sqref="AQ22">
    <cfRule type="colorScale" priority="7">
      <colorScale>
        <cfvo type="min" val="0"/>
        <cfvo type="percentile" val="50"/>
        <cfvo type="max" val="0"/>
        <color rgb="FFF8696B"/>
        <color rgb="FFFFEB84"/>
        <color rgb="FF63BE7B"/>
      </colorScale>
    </cfRule>
    <cfRule type="cellIs" priority="8" dxfId="0" operator="lessThan">
      <formula>1</formula>
    </cfRule>
  </conditionalFormatting>
  <pageMargins left="0.7" right="0.7" top="0.75" bottom="0.75" header="0.3" footer="0.3"/>
  <pageSetup orientation="portrait" r:id="rId2"/>
  <ignoredErrors>
    <ignoredError sqref="T8:U13 S23:AW25 S22:AF22 AG22:AH22 AJ22:AW22" unlockedFormula="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A3"/>
  <sheetViews>
    <sheetView zoomScale="70" zoomScaleNormal="70" workbookViewId="0" topLeftCell="A1"/>
  </sheetViews>
  <sheetFormatPr defaultColWidth="8.88888888888889" defaultRowHeight="14.4"/>
  <cols>
    <col min="1" max="1" width="8.88888888888889" customWidth="1"/>
  </cols>
  <sheetData>
    <row r="1" ht="14.4">
      <c r="A1" s="381" t="s">
        <v>1537</v>
      </c>
    </row>
    <row r="2" ht="14.4"/>
    <row r="3" ht="14.4">
      <c r="A3" s="281" t="s">
        <v>1627</v>
      </c>
    </row>
  </sheetData>
  <pageMargins left="0.7" right="0.7" top="0.75" bottom="0.75" header="0.3" footer="0.3"/>
  <pageSetup orientation="portrait"/>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tabColor theme="9" tint="0.39998"/>
    <pageSetUpPr fitToPage="1"/>
  </sheetPr>
  <dimension ref="B1:Y110"/>
  <sheetViews>
    <sheetView zoomScale="70" zoomScaleNormal="70" workbookViewId="0" topLeftCell="A1"/>
  </sheetViews>
  <sheetFormatPr defaultColWidth="8.77734375" defaultRowHeight="14.4"/>
  <cols>
    <col min="1" max="1" width="12.4444444444444" style="173" customWidth="1"/>
    <col min="2" max="2" width="47.7777777777778" style="173" bestFit="1" customWidth="1"/>
    <col min="3" max="3" width="7.44444444444444" style="173" bestFit="1" customWidth="1"/>
    <col min="4" max="10" width="12.4444444444444" style="173" customWidth="1"/>
    <col min="11" max="11" width="13.2222222222222" style="173" bestFit="1" customWidth="1"/>
    <col min="12" max="16" width="12.4444444444444" style="173" customWidth="1"/>
    <col min="17" max="19" width="12.4444444444444" style="865" customWidth="1"/>
    <col min="20" max="20" width="12.4444444444444" style="173" customWidth="1"/>
    <col min="21" max="21" width="12.4444444444444" style="865" customWidth="1"/>
    <col min="22" max="23" width="12.4444444444444" style="173" customWidth="1"/>
    <col min="24" max="24" width="8.77777777777778" style="173"/>
    <col min="25" max="25" width="11.2222222222222" style="173" bestFit="1" customWidth="1"/>
    <col min="26" max="26" width="9.22222222222222" style="173" customWidth="1"/>
    <col min="27" max="27" width="22.2222222222222" style="173" bestFit="1" customWidth="1"/>
    <col min="28" max="32" width="9.77777777777778" style="173" bestFit="1" customWidth="1"/>
    <col min="33" max="33" width="8.77777777777778" style="173"/>
    <col min="34" max="34" width="20.4444444444444" style="173" bestFit="1" customWidth="1"/>
    <col min="35" max="35" width="18.4444444444444" style="173" bestFit="1" customWidth="1"/>
    <col min="36" max="36" width="40.2222222222222" style="173" bestFit="1" customWidth="1"/>
    <col min="37" max="37" width="13.4444444444444" style="173" bestFit="1" customWidth="1"/>
    <col min="38" max="38" width="11.7777777777778" style="173" bestFit="1" customWidth="1"/>
    <col min="39" max="16384" width="8.77777777777778" style="173"/>
  </cols>
  <sheetData>
    <row r="1" ht="14.4">
      <c r="B1" s="864" t="s">
        <v>1628</v>
      </c>
    </row>
    <row r="2" spans="2:3" ht="14.4">
      <c r="B2" s="866" t="s">
        <v>1163</v>
      </c>
      <c r="C2" s="866">
        <f>'Save Spend Summary'!$C$2</f>
        <v>2015</v>
      </c>
    </row>
    <row r="3" spans="2:3" ht="15" thickBot="1">
      <c r="B3" s="867"/>
      <c r="C3" s="867"/>
    </row>
    <row r="4" spans="2:8" ht="14.4">
      <c r="B4" s="868" t="s">
        <v>1121</v>
      </c>
      <c r="C4" s="869"/>
      <c r="D4" s="869"/>
      <c r="E4" s="869"/>
      <c r="F4" s="869"/>
      <c r="G4" s="869"/>
      <c r="H4" s="870"/>
    </row>
    <row r="5" spans="2:8" ht="14.4">
      <c r="B5" s="871" t="s">
        <v>1122</v>
      </c>
      <c r="C5" s="872"/>
      <c r="D5" s="872"/>
      <c r="E5" s="872"/>
      <c r="F5" s="872"/>
      <c r="G5" s="872"/>
      <c r="H5" s="873"/>
    </row>
    <row r="6" spans="2:8" ht="14.4">
      <c r="B6" s="874"/>
      <c r="C6" s="872"/>
      <c r="D6" s="872"/>
      <c r="E6" s="872"/>
      <c r="F6" s="872"/>
      <c r="G6" s="872"/>
      <c r="H6" s="873"/>
    </row>
    <row r="7" spans="2:8" ht="14.4">
      <c r="B7" s="874"/>
      <c r="C7" s="872"/>
      <c r="D7" s="872"/>
      <c r="E7" s="872"/>
      <c r="F7" s="872"/>
      <c r="G7" s="872"/>
      <c r="H7" s="873"/>
    </row>
    <row r="8" spans="2:8" ht="15" thickBot="1">
      <c r="B8" s="875" t="s">
        <v>1123</v>
      </c>
      <c r="C8" s="876">
        <v>0.06</v>
      </c>
      <c r="D8" s="877"/>
      <c r="E8" s="877"/>
      <c r="F8" s="877"/>
      <c r="G8" s="878"/>
      <c r="H8" s="879"/>
    </row>
    <row r="9" spans="2:8" s="865" customFormat="1" ht="14.4">
      <c r="B9" s="880"/>
      <c r="C9" s="881"/>
      <c r="D9" s="880"/>
      <c r="E9" s="880"/>
      <c r="F9" s="880"/>
      <c r="G9" s="882"/>
      <c r="H9" s="880"/>
    </row>
    <row r="10" spans="2:25" ht="14.4">
      <c r="B10" s="883">
        <v>1</v>
      </c>
      <c r="C10" s="173">
        <v>2</v>
      </c>
      <c r="D10" s="173">
        <v>3</v>
      </c>
      <c r="E10" s="173">
        <v>4</v>
      </c>
      <c r="F10" s="173">
        <v>5</v>
      </c>
      <c r="G10" s="173">
        <v>6</v>
      </c>
      <c r="H10" s="173">
        <v>7</v>
      </c>
      <c r="I10" s="883">
        <v>8</v>
      </c>
      <c r="J10" s="173">
        <v>9</v>
      </c>
      <c r="K10" s="173">
        <v>10</v>
      </c>
      <c r="L10" s="173">
        <v>11</v>
      </c>
      <c r="M10" s="173">
        <v>12</v>
      </c>
      <c r="N10" s="173">
        <v>13</v>
      </c>
      <c r="O10" s="173">
        <v>14</v>
      </c>
      <c r="P10" s="173">
        <v>15</v>
      </c>
      <c r="Q10" s="173">
        <v>16</v>
      </c>
      <c r="R10" s="173">
        <v>17</v>
      </c>
      <c r="S10" s="173">
        <v>18</v>
      </c>
      <c r="T10" s="173">
        <v>19</v>
      </c>
      <c r="U10" s="173">
        <v>20</v>
      </c>
      <c r="V10" s="173">
        <v>21</v>
      </c>
      <c r="W10" s="173">
        <v>22</v>
      </c>
      <c r="X10" s="173">
        <v>23</v>
      </c>
      <c r="Y10" s="883">
        <v>24</v>
      </c>
    </row>
    <row r="11" spans="2:25" ht="14.4">
      <c r="B11" s="883"/>
      <c r="D11" s="884" t="s">
        <v>1124</v>
      </c>
      <c r="E11" s="872"/>
      <c r="F11" s="872"/>
      <c r="G11" s="872"/>
      <c r="H11" s="872"/>
      <c r="I11" s="883"/>
      <c r="K11" s="884" t="s">
        <v>1130</v>
      </c>
      <c r="L11" s="872"/>
      <c r="M11" s="872"/>
      <c r="N11" s="872"/>
      <c r="O11" s="872"/>
      <c r="P11" s="872"/>
      <c r="Q11" s="872"/>
      <c r="R11" s="872"/>
      <c r="S11" s="872"/>
      <c r="T11" s="865"/>
      <c r="U11" s="884" t="s">
        <v>1137</v>
      </c>
      <c r="V11" s="872"/>
      <c r="W11" s="872"/>
      <c r="Y11" s="883"/>
    </row>
    <row r="12" spans="2:25" ht="15" thickBot="1">
      <c r="B12" s="883"/>
      <c r="D12" s="885" t="s">
        <v>1122</v>
      </c>
      <c r="E12" s="872"/>
      <c r="F12" s="872"/>
      <c r="G12" s="872"/>
      <c r="H12" s="872"/>
      <c r="I12" s="883"/>
      <c r="K12" s="885" t="s">
        <v>1122</v>
      </c>
      <c r="L12" s="872"/>
      <c r="M12" s="872"/>
      <c r="N12" s="872"/>
      <c r="O12" s="872"/>
      <c r="P12" s="872"/>
      <c r="Q12" s="872"/>
      <c r="R12" s="872"/>
      <c r="S12" s="872"/>
      <c r="T12" s="865"/>
      <c r="U12" s="885" t="s">
        <v>1122</v>
      </c>
      <c r="V12" s="872"/>
      <c r="W12" s="872"/>
      <c r="Y12" s="883"/>
    </row>
    <row r="13" spans="2:25" ht="15" thickBot="1">
      <c r="B13" s="883"/>
      <c r="D13" s="872"/>
      <c r="E13" s="872"/>
      <c r="F13" s="872"/>
      <c r="G13" s="872"/>
      <c r="H13" s="872"/>
      <c r="I13" s="883"/>
      <c r="K13" s="886"/>
      <c r="L13" s="1789" t="s">
        <v>1131</v>
      </c>
      <c r="M13" s="1790"/>
      <c r="N13" s="1791"/>
      <c r="O13" s="887"/>
      <c r="P13" s="887"/>
      <c r="Q13" s="1792" t="s">
        <v>1132</v>
      </c>
      <c r="R13" s="1793"/>
      <c r="S13" s="1794"/>
      <c r="T13" s="865"/>
      <c r="U13" s="872"/>
      <c r="V13" s="872"/>
      <c r="W13" s="872"/>
      <c r="Y13" s="888" t="s">
        <v>1166</v>
      </c>
    </row>
    <row r="14" spans="2:25" ht="54" thickBot="1">
      <c r="B14" s="866" t="s">
        <v>1162</v>
      </c>
      <c r="D14" s="889" t="s">
        <v>784</v>
      </c>
      <c r="E14" s="890" t="s">
        <v>1125</v>
      </c>
      <c r="F14" s="891" t="s">
        <v>1126</v>
      </c>
      <c r="G14" s="891" t="s">
        <v>1127</v>
      </c>
      <c r="H14" s="892" t="s">
        <v>1128</v>
      </c>
      <c r="I14" s="893" t="s">
        <v>1140</v>
      </c>
      <c r="K14" s="889" t="s">
        <v>784</v>
      </c>
      <c r="L14" s="890" t="s">
        <v>1133</v>
      </c>
      <c r="M14" s="891" t="s">
        <v>1134</v>
      </c>
      <c r="N14" s="892" t="s">
        <v>1135</v>
      </c>
      <c r="O14" s="894" t="s">
        <v>1165</v>
      </c>
      <c r="P14" s="889" t="s">
        <v>784</v>
      </c>
      <c r="Q14" s="890" t="s">
        <v>1133</v>
      </c>
      <c r="R14" s="891" t="s">
        <v>1134</v>
      </c>
      <c r="S14" s="892" t="s">
        <v>1135</v>
      </c>
      <c r="T14" s="894" t="s">
        <v>1165</v>
      </c>
      <c r="U14" s="889" t="s">
        <v>784</v>
      </c>
      <c r="V14" s="895" t="s">
        <v>1138</v>
      </c>
      <c r="W14" s="894" t="s">
        <v>1165</v>
      </c>
      <c r="Y14" s="893" t="s">
        <v>1165</v>
      </c>
    </row>
    <row r="15" spans="2:25" ht="14.4">
      <c r="B15" s="896">
        <f t="shared" si="0" ref="B15:B41">IF(($D15-$C$2)&lt;=0,0,$D15-$C$2)</f>
        <v>0</v>
      </c>
      <c r="D15" s="897">
        <v>2015</v>
      </c>
      <c r="E15" s="898">
        <f>E16</f>
        <v>0.0292</v>
      </c>
      <c r="F15" s="899">
        <f>F16</f>
        <v>3.2255833333333332</v>
      </c>
      <c r="G15" s="900"/>
      <c r="H15" s="901"/>
      <c r="I15" s="902">
        <f>I16</f>
        <v>0.0292</v>
      </c>
      <c r="K15" s="897">
        <v>2015</v>
      </c>
      <c r="L15" s="903">
        <f>L16</f>
        <v>3.1010600163214268</v>
      </c>
      <c r="M15" s="904">
        <f>M16</f>
        <v>0.60213187104658861</v>
      </c>
      <c r="N15" s="487">
        <f>N16</f>
        <v>3.70</v>
      </c>
      <c r="O15" s="498">
        <f>N15*12</f>
        <v>44.400000000000006</v>
      </c>
      <c r="P15" s="897">
        <v>2015</v>
      </c>
      <c r="Q15" s="903">
        <f>Q16</f>
        <v>5.3665461194129023</v>
      </c>
      <c r="R15" s="904">
        <f>R16</f>
        <v>0.93824271480499122</v>
      </c>
      <c r="S15" s="487">
        <f>S16</f>
        <v>6.30</v>
      </c>
      <c r="T15" s="498">
        <f>S15*12</f>
        <v>75.599999999999994</v>
      </c>
      <c r="U15" s="897">
        <v>2015</v>
      </c>
      <c r="V15" s="905">
        <f>V16</f>
        <v>2.67</v>
      </c>
      <c r="W15" s="488">
        <f>V15*12</f>
        <v>32.04</v>
      </c>
      <c r="Y15" s="906">
        <f>W15+O15</f>
        <v>76.44</v>
      </c>
    </row>
    <row r="16" spans="2:25" ht="14.4">
      <c r="B16" s="896">
        <f t="shared" si="0"/>
        <v>1</v>
      </c>
      <c r="D16" s="897">
        <v>2016</v>
      </c>
      <c r="E16" s="898">
        <v>0.0292</v>
      </c>
      <c r="F16" s="899">
        <v>3.2255833333333332</v>
      </c>
      <c r="G16" s="900"/>
      <c r="H16" s="901"/>
      <c r="I16" s="902">
        <f>IF(H16="",E16,H16)</f>
        <v>0.0292</v>
      </c>
      <c r="K16" s="897">
        <v>2016</v>
      </c>
      <c r="L16" s="903">
        <v>3.1010600163214268</v>
      </c>
      <c r="M16" s="904">
        <v>0.60213187104658861</v>
      </c>
      <c r="N16" s="487">
        <f t="shared" si="1" ref="N16:N41">ROUND(+L16+M16,2)</f>
        <v>3.70</v>
      </c>
      <c r="O16" s="498">
        <f t="shared" si="2" ref="O16:O41">N16*12</f>
        <v>44.400000000000006</v>
      </c>
      <c r="P16" s="897">
        <v>2016</v>
      </c>
      <c r="Q16" s="903">
        <v>5.3665461194129023</v>
      </c>
      <c r="R16" s="904">
        <v>0.93824271480499122</v>
      </c>
      <c r="S16" s="487">
        <f t="shared" si="3" ref="S16:S41">ROUND(+Q16+R16,2)</f>
        <v>6.30</v>
      </c>
      <c r="T16" s="498">
        <f t="shared" si="4" ref="T16:T41">S16*12</f>
        <v>75.599999999999994</v>
      </c>
      <c r="U16" s="897">
        <v>2016</v>
      </c>
      <c r="V16" s="907">
        <v>2.67</v>
      </c>
      <c r="W16" s="488">
        <f t="shared" si="5" ref="W16:W41">V16*12</f>
        <v>32.04</v>
      </c>
      <c r="Y16" s="908">
        <f t="shared" si="6" ref="Y16:Y41">W16+O16</f>
        <v>76.44</v>
      </c>
    </row>
    <row r="17" spans="2:25" ht="14.4">
      <c r="B17" s="896">
        <f t="shared" si="0"/>
        <v>2</v>
      </c>
      <c r="D17" s="897">
        <f>+D16+1</f>
        <v>2017</v>
      </c>
      <c r="E17" s="898">
        <v>0.0304</v>
      </c>
      <c r="F17" s="899">
        <v>3.3425833333333332</v>
      </c>
      <c r="G17" s="485">
        <f>(+F17-F16)/F16</f>
        <v>0.036272508848528687</v>
      </c>
      <c r="H17" s="901"/>
      <c r="I17" s="902">
        <f t="shared" si="7" ref="I17:I41">IF(H17="",E17,H17)</f>
        <v>0.0304</v>
      </c>
      <c r="K17" s="897">
        <f t="shared" si="8" ref="K17:K41">+K16+1</f>
        <v>2017</v>
      </c>
      <c r="L17" s="903">
        <v>3.4783576614975473</v>
      </c>
      <c r="M17" s="904">
        <v>0.61833300000000002</v>
      </c>
      <c r="N17" s="487">
        <f t="shared" si="1"/>
        <v>4.0999999999999996</v>
      </c>
      <c r="O17" s="498">
        <f t="shared" si="2"/>
        <v>49.20</v>
      </c>
      <c r="P17" s="897">
        <f t="shared" si="9" ref="P17:P41">+P16+1</f>
        <v>2017</v>
      </c>
      <c r="Q17" s="903">
        <v>5.9670692829202432</v>
      </c>
      <c r="R17" s="904">
        <v>0.96348733636228179</v>
      </c>
      <c r="S17" s="487">
        <f t="shared" si="3"/>
        <v>6.93</v>
      </c>
      <c r="T17" s="498">
        <f t="shared" si="4"/>
        <v>83.16</v>
      </c>
      <c r="U17" s="897">
        <f>+U16+1</f>
        <v>2017</v>
      </c>
      <c r="V17" s="907">
        <v>2.80</v>
      </c>
      <c r="W17" s="488">
        <f t="shared" si="5"/>
        <v>33.599999999999994</v>
      </c>
      <c r="Y17" s="908">
        <f t="shared" si="6"/>
        <v>82.799999999999983</v>
      </c>
    </row>
    <row r="18" spans="2:25" ht="14.4">
      <c r="B18" s="896">
        <f t="shared" si="0"/>
        <v>3</v>
      </c>
      <c r="D18" s="897">
        <f t="shared" si="10" ref="D18:D41">+D17+1</f>
        <v>2018</v>
      </c>
      <c r="E18" s="898">
        <v>0.0315</v>
      </c>
      <c r="F18" s="899">
        <v>3.4071666666666669</v>
      </c>
      <c r="G18" s="485">
        <f t="shared" si="11" ref="G18:G41">(+F18-F17)/F17</f>
        <v>0.019321383161726307</v>
      </c>
      <c r="H18" s="901"/>
      <c r="I18" s="902">
        <f t="shared" si="7"/>
        <v>0.0315</v>
      </c>
      <c r="K18" s="897">
        <f t="shared" si="8"/>
        <v>2018</v>
      </c>
      <c r="L18" s="903">
        <v>3.5965478604807979</v>
      </c>
      <c r="M18" s="904">
        <v>0.63525478310185279</v>
      </c>
      <c r="N18" s="487">
        <f t="shared" si="1"/>
        <v>4.2300000000000004</v>
      </c>
      <c r="O18" s="498">
        <f t="shared" si="2"/>
        <v>50.760000000000005</v>
      </c>
      <c r="P18" s="897">
        <f t="shared" si="9"/>
        <v>2018</v>
      </c>
      <c r="Q18" s="903">
        <v>6.1664081553337589</v>
      </c>
      <c r="R18" s="904">
        <v>0.98985488221104667</v>
      </c>
      <c r="S18" s="487">
        <f t="shared" si="3"/>
        <v>7.16</v>
      </c>
      <c r="T18" s="498">
        <f t="shared" si="4"/>
        <v>85.92</v>
      </c>
      <c r="U18" s="897">
        <f t="shared" si="12" ref="U18:U41">+U17+1</f>
        <v>2018</v>
      </c>
      <c r="V18" s="907">
        <v>2.92</v>
      </c>
      <c r="W18" s="488">
        <f t="shared" si="5"/>
        <v>35.04</v>
      </c>
      <c r="Y18" s="908">
        <f t="shared" si="6"/>
        <v>85.800000000000011</v>
      </c>
    </row>
    <row r="19" spans="2:25" ht="14.4">
      <c r="B19" s="896">
        <f t="shared" si="0"/>
        <v>4</v>
      </c>
      <c r="D19" s="897">
        <f t="shared" si="10"/>
        <v>2019</v>
      </c>
      <c r="E19" s="898">
        <v>0.031</v>
      </c>
      <c r="F19" s="899">
        <v>3.4576666666666664</v>
      </c>
      <c r="G19" s="485">
        <f t="shared" si="11"/>
        <v>0.014821699359193722</v>
      </c>
      <c r="H19" s="901"/>
      <c r="I19" s="902">
        <f t="shared" si="7"/>
        <v>0.031</v>
      </c>
      <c r="K19" s="897">
        <f t="shared" si="8"/>
        <v>2019</v>
      </c>
      <c r="L19" s="903">
        <v>3.6468670912467775</v>
      </c>
      <c r="M19" s="904">
        <v>0.65157364558651742</v>
      </c>
      <c r="N19" s="487">
        <f t="shared" si="1"/>
        <v>4.30</v>
      </c>
      <c r="O19" s="498">
        <f t="shared" si="2"/>
        <v>51.599999999999994</v>
      </c>
      <c r="P19" s="897">
        <f t="shared" si="9"/>
        <v>2019</v>
      </c>
      <c r="Q19" s="903">
        <v>6.2489629703385177</v>
      </c>
      <c r="R19" s="904">
        <v>1.0152829563196772</v>
      </c>
      <c r="S19" s="487">
        <f t="shared" si="3"/>
        <v>7.26</v>
      </c>
      <c r="T19" s="498">
        <f t="shared" si="4"/>
        <v>87.12</v>
      </c>
      <c r="U19" s="897">
        <f t="shared" si="12"/>
        <v>2019</v>
      </c>
      <c r="V19" s="907">
        <v>3.07</v>
      </c>
      <c r="W19" s="488">
        <f t="shared" si="5"/>
        <v>36.839999999999996</v>
      </c>
      <c r="Y19" s="908">
        <f t="shared" si="6"/>
        <v>88.44</v>
      </c>
    </row>
    <row r="20" spans="2:25" ht="14.4">
      <c r="B20" s="896">
        <f t="shared" si="0"/>
        <v>5</v>
      </c>
      <c r="D20" s="897">
        <f t="shared" si="10"/>
        <v>2020</v>
      </c>
      <c r="E20" s="898">
        <v>0.032800000000000003</v>
      </c>
      <c r="F20" s="899">
        <v>3.5568333333333335</v>
      </c>
      <c r="G20" s="485">
        <f t="shared" si="11"/>
        <v>0.028680227513737708</v>
      </c>
      <c r="H20" s="901"/>
      <c r="I20" s="902">
        <f t="shared" si="7"/>
        <v>0.032800000000000003</v>
      </c>
      <c r="K20" s="897">
        <f t="shared" si="8"/>
        <v>2020</v>
      </c>
      <c r="L20" s="903">
        <v>3.7406110208642143</v>
      </c>
      <c r="M20" s="904">
        <v>0.6663714782540282</v>
      </c>
      <c r="N20" s="487">
        <f t="shared" si="1"/>
        <v>4.41</v>
      </c>
      <c r="O20" s="498">
        <f t="shared" si="2"/>
        <v>52.92</v>
      </c>
      <c r="P20" s="897">
        <f t="shared" si="9"/>
        <v>2020</v>
      </c>
      <c r="Q20" s="903">
        <v>6.3900078044824626</v>
      </c>
      <c r="R20" s="904">
        <v>1.0383409596621396</v>
      </c>
      <c r="S20" s="487">
        <f t="shared" si="3"/>
        <v>7.43</v>
      </c>
      <c r="T20" s="498">
        <f t="shared" si="4"/>
        <v>89.16</v>
      </c>
      <c r="U20" s="897">
        <f t="shared" si="12"/>
        <v>2020</v>
      </c>
      <c r="V20" s="907">
        <v>3.27</v>
      </c>
      <c r="W20" s="488">
        <f t="shared" si="5"/>
        <v>39.24</v>
      </c>
      <c r="Y20" s="908">
        <f t="shared" si="6"/>
        <v>92.16</v>
      </c>
    </row>
    <row r="21" spans="2:25" ht="14.4">
      <c r="B21" s="896">
        <f t="shared" si="0"/>
        <v>6</v>
      </c>
      <c r="D21" s="897">
        <f t="shared" si="10"/>
        <v>2021</v>
      </c>
      <c r="E21" s="909"/>
      <c r="F21" s="899">
        <v>3.6633333333333336</v>
      </c>
      <c r="G21" s="485">
        <f t="shared" si="11"/>
        <v>0.029942364462771202</v>
      </c>
      <c r="H21" s="910">
        <f>ROUND(+E20*(1+G21),5)</f>
        <v>0.033779999999999998</v>
      </c>
      <c r="I21" s="902">
        <f t="shared" si="7"/>
        <v>0.033779999999999998</v>
      </c>
      <c r="K21" s="897">
        <f t="shared" si="8"/>
        <v>2021</v>
      </c>
      <c r="L21" s="903">
        <v>3.8468998199665103</v>
      </c>
      <c r="M21" s="904">
        <v>0.68089252323520766</v>
      </c>
      <c r="N21" s="487">
        <f t="shared" si="1"/>
        <v>4.53</v>
      </c>
      <c r="O21" s="498">
        <f t="shared" si="2"/>
        <v>54.36</v>
      </c>
      <c r="P21" s="897">
        <f t="shared" si="9"/>
        <v>2021</v>
      </c>
      <c r="Q21" s="903">
        <v>6.5612573200505375</v>
      </c>
      <c r="R21" s="904">
        <v>1.0609676720486909</v>
      </c>
      <c r="S21" s="487">
        <f t="shared" si="3"/>
        <v>7.62</v>
      </c>
      <c r="T21" s="498">
        <f t="shared" si="4"/>
        <v>91.44</v>
      </c>
      <c r="U21" s="897">
        <f t="shared" si="12"/>
        <v>2021</v>
      </c>
      <c r="V21" s="907">
        <v>3.49</v>
      </c>
      <c r="W21" s="488">
        <f t="shared" si="5"/>
        <v>41.88</v>
      </c>
      <c r="Y21" s="908">
        <f t="shared" si="6"/>
        <v>96.24</v>
      </c>
    </row>
    <row r="22" spans="2:25" ht="14.4">
      <c r="B22" s="896">
        <f t="shared" si="0"/>
        <v>7</v>
      </c>
      <c r="D22" s="897">
        <f t="shared" si="10"/>
        <v>2022</v>
      </c>
      <c r="E22" s="909"/>
      <c r="F22" s="899">
        <v>3.7946666666666666</v>
      </c>
      <c r="G22" s="485">
        <f t="shared" si="11"/>
        <v>0.03585077343039119</v>
      </c>
      <c r="H22" s="910">
        <f>ROUND(+H21*(1+G22),5)</f>
        <v>0.03499</v>
      </c>
      <c r="I22" s="902">
        <f t="shared" si="7"/>
        <v>0.03499</v>
      </c>
      <c r="K22" s="897">
        <f t="shared" si="8"/>
        <v>2022</v>
      </c>
      <c r="L22" s="903">
        <v>3.9555701336033517</v>
      </c>
      <c r="M22" s="904">
        <v>0.69533084672253076</v>
      </c>
      <c r="N22" s="487">
        <f t="shared" si="1"/>
        <v>4.6500000000000004</v>
      </c>
      <c r="O22" s="498">
        <f t="shared" si="2"/>
        <v>55.80</v>
      </c>
      <c r="P22" s="897">
        <f t="shared" si="9"/>
        <v>2022</v>
      </c>
      <c r="Q22" s="903">
        <v>6.737831437822126</v>
      </c>
      <c r="R22" s="904">
        <v>1.0834654876890302</v>
      </c>
      <c r="S22" s="487">
        <f t="shared" si="3"/>
        <v>7.82</v>
      </c>
      <c r="T22" s="498">
        <f t="shared" si="4"/>
        <v>93.84</v>
      </c>
      <c r="U22" s="897">
        <f t="shared" si="12"/>
        <v>2022</v>
      </c>
      <c r="V22" s="907">
        <v>3.72</v>
      </c>
      <c r="W22" s="488">
        <f t="shared" si="5"/>
        <v>44.64</v>
      </c>
      <c r="Y22" s="908">
        <f t="shared" si="6"/>
        <v>100.44</v>
      </c>
    </row>
    <row r="23" spans="2:25" ht="14.4">
      <c r="B23" s="896">
        <f t="shared" si="0"/>
        <v>8</v>
      </c>
      <c r="D23" s="897">
        <f t="shared" si="10"/>
        <v>2023</v>
      </c>
      <c r="E23" s="909"/>
      <c r="F23" s="899">
        <v>3.9267500000000002</v>
      </c>
      <c r="G23" s="485">
        <f t="shared" si="11"/>
        <v>0.034807624736472302</v>
      </c>
      <c r="H23" s="910">
        <f t="shared" si="13" ref="H23:H41">ROUND(+H22*(1+G23),5)</f>
        <v>0.036209999999999999</v>
      </c>
      <c r="I23" s="902">
        <f t="shared" si="7"/>
        <v>0.036209999999999999</v>
      </c>
      <c r="K23" s="897">
        <f t="shared" si="8"/>
        <v>2023</v>
      </c>
      <c r="L23" s="903">
        <v>4.0595856659723397</v>
      </c>
      <c r="M23" s="904">
        <v>0.70973331250089078</v>
      </c>
      <c r="N23" s="487">
        <f t="shared" si="1"/>
        <v>4.7699999999999996</v>
      </c>
      <c r="O23" s="498">
        <f t="shared" si="2"/>
        <v>57.239999999999995</v>
      </c>
      <c r="P23" s="897">
        <f t="shared" si="9"/>
        <v>2023</v>
      </c>
      <c r="Q23" s="903">
        <v>6.9076460161645441</v>
      </c>
      <c r="R23" s="904">
        <v>1.1059074297976368</v>
      </c>
      <c r="S23" s="487">
        <f t="shared" si="3"/>
        <v>8.01</v>
      </c>
      <c r="T23" s="498">
        <f t="shared" si="4"/>
        <v>96.12</v>
      </c>
      <c r="U23" s="897">
        <f t="shared" si="12"/>
        <v>2023</v>
      </c>
      <c r="V23" s="907">
        <v>3.87</v>
      </c>
      <c r="W23" s="488">
        <f t="shared" si="5"/>
        <v>46.44</v>
      </c>
      <c r="Y23" s="908">
        <f t="shared" si="6"/>
        <v>103.67999999999999</v>
      </c>
    </row>
    <row r="24" spans="2:25" ht="14.4">
      <c r="B24" s="896">
        <f t="shared" si="0"/>
        <v>9</v>
      </c>
      <c r="D24" s="897">
        <f t="shared" si="10"/>
        <v>2024</v>
      </c>
      <c r="E24" s="909"/>
      <c r="F24" s="899">
        <v>4.0418333333333338</v>
      </c>
      <c r="G24" s="485">
        <f t="shared" si="11"/>
        <v>0.029307527429384004</v>
      </c>
      <c r="H24" s="910">
        <f t="shared" si="13"/>
        <v>0.037269999999999998</v>
      </c>
      <c r="I24" s="902">
        <f t="shared" si="7"/>
        <v>0.037269999999999998</v>
      </c>
      <c r="K24" s="897">
        <f t="shared" si="8"/>
        <v>2024</v>
      </c>
      <c r="L24" s="903">
        <v>4.1633972902397556</v>
      </c>
      <c r="M24" s="904">
        <v>0.72417275326232677</v>
      </c>
      <c r="N24" s="487">
        <f t="shared" si="1"/>
        <v>4.8899999999999997</v>
      </c>
      <c r="O24" s="498">
        <f t="shared" si="2"/>
        <v>58.679999999999993</v>
      </c>
      <c r="P24" s="897">
        <f t="shared" si="9"/>
        <v>2024</v>
      </c>
      <c r="Q24" s="903">
        <v>7.0778201100723255</v>
      </c>
      <c r="R24" s="904">
        <v>1.1284069863760451</v>
      </c>
      <c r="S24" s="487">
        <f t="shared" si="3"/>
        <v>8.2100000000000009</v>
      </c>
      <c r="T24" s="498">
        <f t="shared" si="4"/>
        <v>98.52000000000001</v>
      </c>
      <c r="U24" s="897">
        <f t="shared" si="12"/>
        <v>2024</v>
      </c>
      <c r="V24" s="907">
        <v>4.0199999999999996</v>
      </c>
      <c r="W24" s="488">
        <f t="shared" si="5"/>
        <v>48.239999999999995</v>
      </c>
      <c r="Y24" s="908">
        <f t="shared" si="6"/>
        <v>106.91999999999999</v>
      </c>
    </row>
    <row r="25" spans="2:25" ht="14.4">
      <c r="B25" s="896">
        <f t="shared" si="0"/>
        <v>10</v>
      </c>
      <c r="D25" s="897">
        <f t="shared" si="10"/>
        <v>2025</v>
      </c>
      <c r="E25" s="909"/>
      <c r="F25" s="899">
        <v>4.1801666666666666</v>
      </c>
      <c r="G25" s="485">
        <f t="shared" si="11"/>
        <v>0.034225392767308419</v>
      </c>
      <c r="H25" s="910">
        <f t="shared" si="13"/>
        <v>0.038550000000000001</v>
      </c>
      <c r="I25" s="902">
        <f t="shared" si="7"/>
        <v>0.038550000000000001</v>
      </c>
      <c r="K25" s="897">
        <f t="shared" si="8"/>
        <v>2025</v>
      </c>
      <c r="L25" s="903">
        <v>4.2611187017207923</v>
      </c>
      <c r="M25" s="904">
        <v>0.73860653357977624</v>
      </c>
      <c r="N25" s="487">
        <f t="shared" si="1"/>
        <v>5</v>
      </c>
      <c r="O25" s="498">
        <f t="shared" si="2"/>
        <v>60</v>
      </c>
      <c r="P25" s="897">
        <f t="shared" si="9"/>
        <v>2025</v>
      </c>
      <c r="Q25" s="903">
        <v>7.2382719548157999</v>
      </c>
      <c r="R25" s="904">
        <v>1.1508977228427997</v>
      </c>
      <c r="S25" s="487">
        <f t="shared" si="3"/>
        <v>8.39</v>
      </c>
      <c r="T25" s="498">
        <f t="shared" si="4"/>
        <v>100.68</v>
      </c>
      <c r="U25" s="897">
        <f t="shared" si="12"/>
        <v>2025</v>
      </c>
      <c r="V25" s="907">
        <v>4.17</v>
      </c>
      <c r="W25" s="488">
        <f t="shared" si="5"/>
        <v>50.04</v>
      </c>
      <c r="Y25" s="908">
        <f t="shared" si="6"/>
        <v>110.03999999999999</v>
      </c>
    </row>
    <row r="26" spans="2:25" ht="14.4">
      <c r="B26" s="896">
        <f t="shared" si="0"/>
        <v>11</v>
      </c>
      <c r="D26" s="897">
        <f t="shared" si="10"/>
        <v>2026</v>
      </c>
      <c r="E26" s="909"/>
      <c r="F26" s="899">
        <v>4.3062499999999995</v>
      </c>
      <c r="G26" s="485">
        <f t="shared" si="11"/>
        <v>0.030162274231489865</v>
      </c>
      <c r="H26" s="910">
        <f t="shared" si="13"/>
        <v>0.039710000000000002</v>
      </c>
      <c r="I26" s="902">
        <f t="shared" si="7"/>
        <v>0.039710000000000002</v>
      </c>
      <c r="K26" s="897">
        <f t="shared" si="8"/>
        <v>2026</v>
      </c>
      <c r="L26" s="903">
        <v>4.3620620708349369</v>
      </c>
      <c r="M26" s="904">
        <v>0.75320946055603111</v>
      </c>
      <c r="N26" s="487">
        <f t="shared" si="1"/>
        <v>5.12</v>
      </c>
      <c r="O26" s="498">
        <f t="shared" si="2"/>
        <v>61.44</v>
      </c>
      <c r="P26" s="897">
        <f t="shared" si="9"/>
        <v>2026</v>
      </c>
      <c r="Q26" s="903">
        <v>7.4053326912210764</v>
      </c>
      <c r="R26" s="904">
        <v>1.1736520238674009</v>
      </c>
      <c r="S26" s="487">
        <f t="shared" si="3"/>
        <v>8.58</v>
      </c>
      <c r="T26" s="498">
        <f t="shared" si="4"/>
        <v>102.96000000000001</v>
      </c>
      <c r="U26" s="897">
        <f t="shared" si="12"/>
        <v>2026</v>
      </c>
      <c r="V26" s="907">
        <v>4.33</v>
      </c>
      <c r="W26" s="488">
        <f t="shared" si="5"/>
        <v>51.96</v>
      </c>
      <c r="Y26" s="908">
        <f t="shared" si="6"/>
        <v>113.40</v>
      </c>
    </row>
    <row r="27" spans="2:25" ht="14.4">
      <c r="B27" s="896">
        <f t="shared" si="0"/>
        <v>12</v>
      </c>
      <c r="D27" s="897">
        <f t="shared" si="10"/>
        <v>2027</v>
      </c>
      <c r="E27" s="909"/>
      <c r="F27" s="899">
        <v>4.4475</v>
      </c>
      <c r="G27" s="485">
        <f t="shared" si="11"/>
        <v>0.032801161103047975</v>
      </c>
      <c r="H27" s="910">
        <f t="shared" si="13"/>
        <v>0.041009999999999998</v>
      </c>
      <c r="I27" s="902">
        <f t="shared" si="7"/>
        <v>0.041009999999999998</v>
      </c>
      <c r="K27" s="897">
        <f t="shared" si="8"/>
        <v>2027</v>
      </c>
      <c r="L27" s="903">
        <v>4.4583272767723683</v>
      </c>
      <c r="M27" s="904">
        <v>0.76811138489960373</v>
      </c>
      <c r="N27" s="487">
        <f t="shared" si="1"/>
        <v>5.23</v>
      </c>
      <c r="O27" s="498">
        <f t="shared" si="2"/>
        <v>62.760000000000005</v>
      </c>
      <c r="P27" s="897">
        <f t="shared" si="9"/>
        <v>2027</v>
      </c>
      <c r="Q27" s="903">
        <v>7.5665410870868168</v>
      </c>
      <c r="R27" s="904">
        <v>1.1968722230035638</v>
      </c>
      <c r="S27" s="487">
        <f t="shared" si="3"/>
        <v>8.76</v>
      </c>
      <c r="T27" s="498">
        <f t="shared" si="4"/>
        <v>105.12</v>
      </c>
      <c r="U27" s="897">
        <f t="shared" si="12"/>
        <v>2027</v>
      </c>
      <c r="V27" s="907">
        <v>4.50</v>
      </c>
      <c r="W27" s="488">
        <f t="shared" si="5"/>
        <v>54</v>
      </c>
      <c r="Y27" s="908">
        <f t="shared" si="6"/>
        <v>116.76</v>
      </c>
    </row>
    <row r="28" spans="2:25" ht="14.4">
      <c r="B28" s="896">
        <f t="shared" si="0"/>
        <v>13</v>
      </c>
      <c r="D28" s="897">
        <f t="shared" si="10"/>
        <v>2028</v>
      </c>
      <c r="E28" s="909"/>
      <c r="F28" s="899">
        <v>4.5481784635201938</v>
      </c>
      <c r="G28" s="485">
        <f t="shared" si="11"/>
        <v>0.022637091291780563</v>
      </c>
      <c r="H28" s="910">
        <f t="shared" si="13"/>
        <v>0.041939999999999998</v>
      </c>
      <c r="I28" s="902">
        <f t="shared" si="7"/>
        <v>0.041939999999999998</v>
      </c>
      <c r="K28" s="897">
        <f t="shared" si="8"/>
        <v>2028</v>
      </c>
      <c r="L28" s="903">
        <v>4.5672533484504338</v>
      </c>
      <c r="M28" s="904">
        <v>0.7832818068790447</v>
      </c>
      <c r="N28" s="487">
        <f t="shared" si="1"/>
        <v>5.35</v>
      </c>
      <c r="O28" s="498">
        <f t="shared" si="2"/>
        <v>64.199999999999989</v>
      </c>
      <c r="P28" s="897">
        <f t="shared" si="9"/>
        <v>2028</v>
      </c>
      <c r="Q28" s="903">
        <v>7.7470286427626007</v>
      </c>
      <c r="R28" s="904">
        <v>1.2205107955275329</v>
      </c>
      <c r="S28" s="487">
        <f t="shared" si="3"/>
        <v>8.9700000000000006</v>
      </c>
      <c r="T28" s="498">
        <f t="shared" si="4"/>
        <v>107.64000000000002</v>
      </c>
      <c r="U28" s="897">
        <f t="shared" si="12"/>
        <v>2028</v>
      </c>
      <c r="V28" s="907">
        <v>4.67</v>
      </c>
      <c r="W28" s="488">
        <f t="shared" si="5"/>
        <v>56.04</v>
      </c>
      <c r="Y28" s="908">
        <f t="shared" si="6"/>
        <v>120.23999999999998</v>
      </c>
    </row>
    <row r="29" spans="2:25" ht="14.4">
      <c r="B29" s="896">
        <f t="shared" si="0"/>
        <v>14</v>
      </c>
      <c r="D29" s="897">
        <f t="shared" si="10"/>
        <v>2029</v>
      </c>
      <c r="E29" s="909"/>
      <c r="F29" s="899">
        <v>4.6616424509983858</v>
      </c>
      <c r="G29" s="485">
        <f t="shared" si="11"/>
        <v>0.024947127380391589</v>
      </c>
      <c r="H29" s="910">
        <f t="shared" si="13"/>
        <v>0.04299</v>
      </c>
      <c r="I29" s="902">
        <f t="shared" si="7"/>
        <v>0.04299</v>
      </c>
      <c r="K29" s="897">
        <f t="shared" si="8"/>
        <v>2029</v>
      </c>
      <c r="L29" s="903">
        <v>4.6755780739030648</v>
      </c>
      <c r="M29" s="904">
        <v>0.79863119024568707</v>
      </c>
      <c r="N29" s="487">
        <f t="shared" si="1"/>
        <v>5.47</v>
      </c>
      <c r="O29" s="498">
        <f t="shared" si="2"/>
        <v>65.64</v>
      </c>
      <c r="P29" s="897">
        <f t="shared" si="9"/>
        <v>2029</v>
      </c>
      <c r="Q29" s="903">
        <v>7.9258742907928195</v>
      </c>
      <c r="R29" s="904">
        <v>1.2444282259327189</v>
      </c>
      <c r="S29" s="487">
        <f t="shared" si="3"/>
        <v>9.17</v>
      </c>
      <c r="T29" s="498">
        <f t="shared" si="4"/>
        <v>110.03999999999999</v>
      </c>
      <c r="U29" s="897">
        <f t="shared" si="12"/>
        <v>2029</v>
      </c>
      <c r="V29" s="907">
        <v>4.8600000000000003</v>
      </c>
      <c r="W29" s="488">
        <f t="shared" si="5"/>
        <v>58.320000000000007</v>
      </c>
      <c r="Y29" s="908">
        <f t="shared" si="6"/>
        <v>123.96000000000001</v>
      </c>
    </row>
    <row r="30" spans="2:25" ht="14.4">
      <c r="B30" s="896">
        <f t="shared" si="0"/>
        <v>15</v>
      </c>
      <c r="D30" s="897">
        <f t="shared" si="10"/>
        <v>2030</v>
      </c>
      <c r="E30" s="909"/>
      <c r="F30" s="899">
        <v>4.7274994137293644</v>
      </c>
      <c r="G30" s="485">
        <f t="shared" si="11"/>
        <v>0.014127416124948411</v>
      </c>
      <c r="H30" s="910">
        <f t="shared" si="13"/>
        <v>0.0436</v>
      </c>
      <c r="I30" s="902">
        <f t="shared" si="7"/>
        <v>0.0436</v>
      </c>
      <c r="K30" s="897">
        <f t="shared" si="8"/>
        <v>2030</v>
      </c>
      <c r="L30" s="903">
        <v>4.7989742385462595</v>
      </c>
      <c r="M30" s="904">
        <v>0.81416089918504997</v>
      </c>
      <c r="N30" s="487">
        <f t="shared" si="1"/>
        <v>5.61</v>
      </c>
      <c r="O30" s="498">
        <f t="shared" si="2"/>
        <v>67.320000000000007</v>
      </c>
      <c r="P30" s="897">
        <f t="shared" si="9"/>
        <v>2030</v>
      </c>
      <c r="Q30" s="903">
        <v>8.1279255268560728</v>
      </c>
      <c r="R30" s="904">
        <v>1.2686266398948853</v>
      </c>
      <c r="S30" s="487">
        <f t="shared" si="3"/>
        <v>9.40</v>
      </c>
      <c r="T30" s="498">
        <f t="shared" si="4"/>
        <v>112.80000000000001</v>
      </c>
      <c r="U30" s="897">
        <f t="shared" si="12"/>
        <v>2030</v>
      </c>
      <c r="V30" s="907">
        <v>5.04</v>
      </c>
      <c r="W30" s="488">
        <f t="shared" si="5"/>
        <v>60.48</v>
      </c>
      <c r="Y30" s="908">
        <f t="shared" si="6"/>
        <v>127.80000000000001</v>
      </c>
    </row>
    <row r="31" spans="2:25" ht="14.4">
      <c r="B31" s="896">
        <f t="shared" si="0"/>
        <v>16</v>
      </c>
      <c r="D31" s="897">
        <f t="shared" si="10"/>
        <v>2031</v>
      </c>
      <c r="E31" s="909"/>
      <c r="F31" s="899">
        <v>5.0042310504460943</v>
      </c>
      <c r="G31" s="485">
        <f t="shared" si="11"/>
        <v>0.058536577691170058</v>
      </c>
      <c r="H31" s="910">
        <f t="shared" si="13"/>
        <v>0.046149999999999997</v>
      </c>
      <c r="I31" s="902">
        <f t="shared" si="7"/>
        <v>0.046149999999999997</v>
      </c>
      <c r="K31" s="897">
        <f t="shared" si="8"/>
        <v>2031</v>
      </c>
      <c r="L31" s="903">
        <v>4.9162927859939982</v>
      </c>
      <c r="M31" s="904">
        <v>0.82984022409098968</v>
      </c>
      <c r="N31" s="487">
        <f t="shared" si="1"/>
        <v>5.75</v>
      </c>
      <c r="O31" s="498">
        <f t="shared" si="2"/>
        <v>69</v>
      </c>
      <c r="P31" s="897">
        <f t="shared" si="9"/>
        <v>2031</v>
      </c>
      <c r="Q31" s="903">
        <v>8.3204590584298561</v>
      </c>
      <c r="R31" s="904">
        <v>1.2930581856632377</v>
      </c>
      <c r="S31" s="487">
        <f t="shared" si="3"/>
        <v>9.61</v>
      </c>
      <c r="T31" s="498">
        <f t="shared" si="4"/>
        <v>115.32</v>
      </c>
      <c r="U31" s="897">
        <f t="shared" si="12"/>
        <v>2031</v>
      </c>
      <c r="V31" s="907">
        <v>5.24</v>
      </c>
      <c r="W31" s="488">
        <f t="shared" si="5"/>
        <v>62.88</v>
      </c>
      <c r="Y31" s="908">
        <f t="shared" si="6"/>
        <v>131.88</v>
      </c>
    </row>
    <row r="32" spans="2:25" ht="14.4">
      <c r="B32" s="896">
        <f t="shared" si="0"/>
        <v>17</v>
      </c>
      <c r="D32" s="897">
        <f t="shared" si="10"/>
        <v>2032</v>
      </c>
      <c r="E32" s="909"/>
      <c r="F32" s="899">
        <v>5.253636745854231</v>
      </c>
      <c r="G32" s="485">
        <f t="shared" si="11"/>
        <v>0.049838964846737811</v>
      </c>
      <c r="H32" s="910">
        <f t="shared" si="13"/>
        <v>0.04845</v>
      </c>
      <c r="I32" s="902">
        <f t="shared" si="7"/>
        <v>0.04845</v>
      </c>
      <c r="K32" s="897">
        <f t="shared" si="8"/>
        <v>2032</v>
      </c>
      <c r="L32" s="903">
        <v>5.0182697401865823</v>
      </c>
      <c r="M32" s="904">
        <v>0.84567088717056427</v>
      </c>
      <c r="N32" s="487">
        <f t="shared" si="1"/>
        <v>5.86</v>
      </c>
      <c r="O32" s="498">
        <f t="shared" si="2"/>
        <v>70.320000000000007</v>
      </c>
      <c r="P32" s="897">
        <f t="shared" si="9"/>
        <v>2032</v>
      </c>
      <c r="Q32" s="903">
        <v>8.4896096792161373</v>
      </c>
      <c r="R32" s="904">
        <v>1.3177255467831974</v>
      </c>
      <c r="S32" s="487">
        <f t="shared" si="3"/>
        <v>9.81</v>
      </c>
      <c r="T32" s="498">
        <f t="shared" si="4"/>
        <v>117.72</v>
      </c>
      <c r="U32" s="897">
        <f t="shared" si="12"/>
        <v>2032</v>
      </c>
      <c r="V32" s="907">
        <v>5.44</v>
      </c>
      <c r="W32" s="488">
        <f t="shared" si="5"/>
        <v>65.28</v>
      </c>
      <c r="Y32" s="908">
        <f t="shared" si="6"/>
        <v>135.60000000000002</v>
      </c>
    </row>
    <row r="33" spans="2:25" ht="14.4">
      <c r="B33" s="896">
        <f t="shared" si="0"/>
        <v>18</v>
      </c>
      <c r="D33" s="897">
        <f t="shared" si="10"/>
        <v>2033</v>
      </c>
      <c r="E33" s="909"/>
      <c r="F33" s="899">
        <v>5.5087069631762935</v>
      </c>
      <c r="G33" s="485">
        <f t="shared" si="11"/>
        <v>0.048551171247868327</v>
      </c>
      <c r="H33" s="910">
        <f t="shared" si="13"/>
        <v>0.050799999999999998</v>
      </c>
      <c r="I33" s="902">
        <f t="shared" si="7"/>
        <v>0.050799999999999998</v>
      </c>
      <c r="K33" s="897">
        <f t="shared" si="8"/>
        <v>2033</v>
      </c>
      <c r="L33" s="903">
        <v>5.1191559783395588</v>
      </c>
      <c r="M33" s="904">
        <v>0.86171407307022563</v>
      </c>
      <c r="N33" s="487">
        <f t="shared" si="1"/>
        <v>5.98</v>
      </c>
      <c r="O33" s="498">
        <f t="shared" si="2"/>
        <v>71.760000000000005</v>
      </c>
      <c r="P33" s="897">
        <f t="shared" si="9"/>
        <v>2033</v>
      </c>
      <c r="Q33" s="903">
        <v>8.6577991040237681</v>
      </c>
      <c r="R33" s="904">
        <v>1.3427240612555442</v>
      </c>
      <c r="S33" s="487">
        <f t="shared" si="3"/>
        <v>10</v>
      </c>
      <c r="T33" s="498">
        <f t="shared" si="4"/>
        <v>120</v>
      </c>
      <c r="U33" s="897">
        <f t="shared" si="12"/>
        <v>2033</v>
      </c>
      <c r="V33" s="907">
        <v>5.66</v>
      </c>
      <c r="W33" s="488">
        <f t="shared" si="5"/>
        <v>67.92</v>
      </c>
      <c r="Y33" s="908">
        <f t="shared" si="6"/>
        <v>139.68</v>
      </c>
    </row>
    <row r="34" spans="2:25" ht="14.4">
      <c r="B34" s="896">
        <f t="shared" si="0"/>
        <v>19</v>
      </c>
      <c r="D34" s="897">
        <f t="shared" si="10"/>
        <v>2034</v>
      </c>
      <c r="E34" s="909"/>
      <c r="F34" s="899">
        <v>5.7709788524666115</v>
      </c>
      <c r="G34" s="485">
        <f t="shared" si="11"/>
        <v>0.047610426737800783</v>
      </c>
      <c r="H34" s="910">
        <f t="shared" si="13"/>
        <v>0.053220000000000003</v>
      </c>
      <c r="I34" s="902">
        <f t="shared" si="7"/>
        <v>0.053220000000000003</v>
      </c>
      <c r="K34" s="897">
        <f t="shared" si="8"/>
        <v>2034</v>
      </c>
      <c r="L34" s="903">
        <v>5.2222617847401125</v>
      </c>
      <c r="M34" s="904">
        <v>0.87807887959479602</v>
      </c>
      <c r="N34" s="487">
        <f t="shared" si="1"/>
        <v>6.10</v>
      </c>
      <c r="O34" s="498">
        <f t="shared" si="2"/>
        <v>73.199999999999989</v>
      </c>
      <c r="P34" s="897">
        <f t="shared" si="9"/>
        <v>2034</v>
      </c>
      <c r="Q34" s="903">
        <v>8.8305979058385002</v>
      </c>
      <c r="R34" s="904">
        <v>1.3682237254307417</v>
      </c>
      <c r="S34" s="487">
        <f t="shared" si="3"/>
        <v>10.199999999999999</v>
      </c>
      <c r="T34" s="498">
        <f t="shared" si="4"/>
        <v>122.39999999999999</v>
      </c>
      <c r="U34" s="897">
        <f t="shared" si="12"/>
        <v>2034</v>
      </c>
      <c r="V34" s="907">
        <v>5.88</v>
      </c>
      <c r="W34" s="488">
        <f t="shared" si="5"/>
        <v>70.56</v>
      </c>
      <c r="Y34" s="908">
        <f t="shared" si="6"/>
        <v>143.76</v>
      </c>
    </row>
    <row r="35" spans="2:25" ht="14.4">
      <c r="B35" s="896">
        <f t="shared" si="0"/>
        <v>20</v>
      </c>
      <c r="D35" s="897">
        <f t="shared" si="10"/>
        <v>2035</v>
      </c>
      <c r="E35" s="909"/>
      <c r="F35" s="899">
        <v>6.012781853291508</v>
      </c>
      <c r="G35" s="485">
        <f t="shared" si="11"/>
        <v>0.041899824450326306</v>
      </c>
      <c r="H35" s="910">
        <f t="shared" si="13"/>
        <v>0.055449999999999999</v>
      </c>
      <c r="I35" s="902">
        <f t="shared" si="7"/>
        <v>0.055449999999999999</v>
      </c>
      <c r="K35" s="897">
        <f t="shared" si="8"/>
        <v>2035</v>
      </c>
      <c r="L35" s="903">
        <v>5.3283414915456566</v>
      </c>
      <c r="M35" s="904">
        <v>0.89486300341491642</v>
      </c>
      <c r="N35" s="487">
        <f t="shared" si="1"/>
        <v>6.22</v>
      </c>
      <c r="O35" s="498">
        <f t="shared" si="2"/>
        <v>74.64</v>
      </c>
      <c r="P35" s="897">
        <f t="shared" si="9"/>
        <v>2035</v>
      </c>
      <c r="Q35" s="903">
        <v>9.0091087831815475</v>
      </c>
      <c r="R35" s="904">
        <v>1.3943767703961931</v>
      </c>
      <c r="S35" s="487">
        <f t="shared" si="3"/>
        <v>10.40</v>
      </c>
      <c r="T35" s="498">
        <f t="shared" si="4"/>
        <v>124.80000000000001</v>
      </c>
      <c r="U35" s="897">
        <f t="shared" si="12"/>
        <v>2035</v>
      </c>
      <c r="V35" s="907">
        <v>6.10</v>
      </c>
      <c r="W35" s="488">
        <f t="shared" si="5"/>
        <v>73.199999999999989</v>
      </c>
      <c r="Y35" s="908">
        <f t="shared" si="6"/>
        <v>147.83999999999998</v>
      </c>
    </row>
    <row r="36" spans="2:25" ht="14.4">
      <c r="B36" s="896">
        <f t="shared" si="0"/>
        <v>21</v>
      </c>
      <c r="D36" s="897">
        <f t="shared" si="10"/>
        <v>2036</v>
      </c>
      <c r="E36" s="909"/>
      <c r="F36" s="899">
        <v>6.2713311122486388</v>
      </c>
      <c r="G36" s="485">
        <f t="shared" si="11"/>
        <v>0.042999940005406335</v>
      </c>
      <c r="H36" s="910">
        <f t="shared" si="13"/>
        <v>0.057829999999999999</v>
      </c>
      <c r="I36" s="902">
        <f t="shared" si="7"/>
        <v>0.057829999999999999</v>
      </c>
      <c r="K36" s="897">
        <f t="shared" si="8"/>
        <v>2036</v>
      </c>
      <c r="L36" s="903">
        <v>5.4380914242995253</v>
      </c>
      <c r="M36" s="904">
        <v>0.91202011160521712</v>
      </c>
      <c r="N36" s="487">
        <f t="shared" si="1"/>
        <v>6.35</v>
      </c>
      <c r="O36" s="498">
        <f t="shared" si="2"/>
        <v>76.199999999999989</v>
      </c>
      <c r="P36" s="897">
        <f t="shared" si="9"/>
        <v>2036</v>
      </c>
      <c r="Q36" s="903">
        <v>9.1930544655299808</v>
      </c>
      <c r="R36" s="904">
        <v>1.4211110001234637</v>
      </c>
      <c r="S36" s="487">
        <f t="shared" si="3"/>
        <v>10.61</v>
      </c>
      <c r="T36" s="498">
        <f t="shared" si="4"/>
        <v>127.32</v>
      </c>
      <c r="U36" s="897">
        <f t="shared" si="12"/>
        <v>2036</v>
      </c>
      <c r="V36" s="907">
        <v>6.34</v>
      </c>
      <c r="W36" s="488">
        <f t="shared" si="5"/>
        <v>76.08</v>
      </c>
      <c r="Y36" s="908">
        <f t="shared" si="6"/>
        <v>152.27999999999997</v>
      </c>
    </row>
    <row r="37" spans="2:25" ht="14.4">
      <c r="B37" s="896">
        <f t="shared" si="0"/>
        <v>22</v>
      </c>
      <c r="D37" s="897">
        <f t="shared" si="10"/>
        <v>2037</v>
      </c>
      <c r="E37" s="909"/>
      <c r="F37" s="899">
        <v>6.4705494782014235</v>
      </c>
      <c r="G37" s="485">
        <f t="shared" si="11"/>
        <v>0.031766520119418988</v>
      </c>
      <c r="H37" s="910">
        <f t="shared" si="13"/>
        <v>0.059670000000000001</v>
      </c>
      <c r="I37" s="902">
        <f t="shared" si="7"/>
        <v>0.059670000000000001</v>
      </c>
      <c r="K37" s="897">
        <f t="shared" si="8"/>
        <v>2037</v>
      </c>
      <c r="L37" s="903">
        <v>5.5513789052988827</v>
      </c>
      <c r="M37" s="904">
        <v>0.92949237134158458</v>
      </c>
      <c r="N37" s="487">
        <f t="shared" si="1"/>
        <v>6.48</v>
      </c>
      <c r="O37" s="498">
        <f t="shared" si="2"/>
        <v>77.760000000000005</v>
      </c>
      <c r="P37" s="897">
        <f t="shared" si="9"/>
        <v>2037</v>
      </c>
      <c r="Q37" s="903">
        <v>9.3821148060945454</v>
      </c>
      <c r="R37" s="904">
        <v>1.4483362994259796</v>
      </c>
      <c r="S37" s="487">
        <f t="shared" si="3"/>
        <v>10.83</v>
      </c>
      <c r="T37" s="498">
        <f t="shared" si="4"/>
        <v>129.96</v>
      </c>
      <c r="U37" s="897">
        <f t="shared" si="12"/>
        <v>2037</v>
      </c>
      <c r="V37" s="907">
        <v>6.59</v>
      </c>
      <c r="W37" s="488">
        <f t="shared" si="5"/>
        <v>79.08</v>
      </c>
      <c r="Y37" s="908">
        <f t="shared" si="6"/>
        <v>156.84</v>
      </c>
    </row>
    <row r="38" spans="2:25" ht="14.4">
      <c r="B38" s="896">
        <f t="shared" si="0"/>
        <v>23</v>
      </c>
      <c r="D38" s="897">
        <f t="shared" si="10"/>
        <v>2038</v>
      </c>
      <c r="E38" s="909"/>
      <c r="F38" s="899">
        <v>6.768887990278639</v>
      </c>
      <c r="G38" s="485">
        <f t="shared" si="11"/>
        <v>0.046107137126805919</v>
      </c>
      <c r="H38" s="910">
        <f t="shared" si="13"/>
        <v>0.062420000000000003</v>
      </c>
      <c r="I38" s="902">
        <f t="shared" si="7"/>
        <v>0.062420000000000003</v>
      </c>
      <c r="K38" s="897">
        <f t="shared" si="8"/>
        <v>2038</v>
      </c>
      <c r="L38" s="903">
        <v>5.6680215703407431</v>
      </c>
      <c r="M38" s="904">
        <v>0.94717486996753197</v>
      </c>
      <c r="N38" s="487">
        <f t="shared" si="1"/>
        <v>6.62</v>
      </c>
      <c r="O38" s="498">
        <f t="shared" si="2"/>
        <v>79.44</v>
      </c>
      <c r="P38" s="897">
        <f t="shared" si="9"/>
        <v>2038</v>
      </c>
      <c r="Q38" s="903">
        <v>9.5755482315276783</v>
      </c>
      <c r="R38" s="904">
        <v>1.475889193257206</v>
      </c>
      <c r="S38" s="487">
        <f t="shared" si="3"/>
        <v>11.05</v>
      </c>
      <c r="T38" s="498">
        <f t="shared" si="4"/>
        <v>132.60000000000002</v>
      </c>
      <c r="U38" s="897">
        <f t="shared" si="12"/>
        <v>2038</v>
      </c>
      <c r="V38" s="907">
        <v>6.85</v>
      </c>
      <c r="W38" s="488">
        <f t="shared" si="5"/>
        <v>82.199999999999989</v>
      </c>
      <c r="Y38" s="908">
        <f t="shared" si="6"/>
        <v>161.63999999999999</v>
      </c>
    </row>
    <row r="39" spans="2:25" ht="14.4">
      <c r="B39" s="896">
        <f t="shared" si="0"/>
        <v>24</v>
      </c>
      <c r="D39" s="897">
        <f t="shared" si="10"/>
        <v>2039</v>
      </c>
      <c r="E39" s="909"/>
      <c r="F39" s="899">
        <v>7.2605200225951867</v>
      </c>
      <c r="G39" s="485">
        <f t="shared" si="11"/>
        <v>0.07263113720047093</v>
      </c>
      <c r="H39" s="910">
        <f t="shared" si="13"/>
        <v>0.066949999999999996</v>
      </c>
      <c r="I39" s="902">
        <f t="shared" si="7"/>
        <v>0.066949999999999996</v>
      </c>
      <c r="K39" s="897">
        <f t="shared" si="8"/>
        <v>2039</v>
      </c>
      <c r="L39" s="903">
        <v>5.787569236438042</v>
      </c>
      <c r="M39" s="904">
        <v>0.96510107632416697</v>
      </c>
      <c r="N39" s="487">
        <f t="shared" si="1"/>
        <v>6.75</v>
      </c>
      <c r="O39" s="498">
        <f t="shared" si="2"/>
        <v>81</v>
      </c>
      <c r="P39" s="897">
        <f t="shared" si="9"/>
        <v>2039</v>
      </c>
      <c r="Q39" s="903">
        <v>9.7739986634590199</v>
      </c>
      <c r="R39" s="904">
        <v>1.5038218328116773</v>
      </c>
      <c r="S39" s="487">
        <f t="shared" si="3"/>
        <v>11.28</v>
      </c>
      <c r="T39" s="498">
        <f t="shared" si="4"/>
        <v>135.35999999999999</v>
      </c>
      <c r="U39" s="897">
        <f t="shared" si="12"/>
        <v>2039</v>
      </c>
      <c r="V39" s="907">
        <v>7.12</v>
      </c>
      <c r="W39" s="488">
        <f t="shared" si="5"/>
        <v>85.44</v>
      </c>
      <c r="Y39" s="908">
        <f t="shared" si="6"/>
        <v>166.44</v>
      </c>
    </row>
    <row r="40" spans="2:25" ht="14.4">
      <c r="B40" s="896">
        <f t="shared" si="0"/>
        <v>25</v>
      </c>
      <c r="D40" s="897">
        <f t="shared" si="10"/>
        <v>2040</v>
      </c>
      <c r="E40" s="909"/>
      <c r="F40" s="899">
        <v>7.8881978923614797</v>
      </c>
      <c r="G40" s="485">
        <f t="shared" si="11"/>
        <v>0.086450814516442445</v>
      </c>
      <c r="H40" s="910">
        <f t="shared" si="13"/>
        <v>0.072739999999999999</v>
      </c>
      <c r="I40" s="902">
        <f t="shared" si="7"/>
        <v>0.072739999999999999</v>
      </c>
      <c r="K40" s="897">
        <f t="shared" si="8"/>
        <v>2040</v>
      </c>
      <c r="L40" s="903">
        <v>5.9104234118902426</v>
      </c>
      <c r="M40" s="904">
        <v>0.98318621338017709</v>
      </c>
      <c r="N40" s="487">
        <f t="shared" si="1"/>
        <v>6.89</v>
      </c>
      <c r="O40" s="498">
        <f t="shared" si="2"/>
        <v>82.68</v>
      </c>
      <c r="P40" s="897">
        <f t="shared" si="9"/>
        <v>2040</v>
      </c>
      <c r="Q40" s="903">
        <v>9.9769766074942936</v>
      </c>
      <c r="R40" s="904">
        <v>1.5320021184018722</v>
      </c>
      <c r="S40" s="487">
        <f t="shared" si="3"/>
        <v>11.51</v>
      </c>
      <c r="T40" s="498">
        <f t="shared" si="4"/>
        <v>138.12</v>
      </c>
      <c r="U40" s="897">
        <f t="shared" si="12"/>
        <v>2040</v>
      </c>
      <c r="V40" s="907">
        <v>7.39</v>
      </c>
      <c r="W40" s="488">
        <f t="shared" si="5"/>
        <v>88.68</v>
      </c>
      <c r="Y40" s="908">
        <f t="shared" si="6"/>
        <v>171.36</v>
      </c>
    </row>
    <row r="41" spans="2:25" ht="15" thickBot="1">
      <c r="B41" s="896">
        <f t="shared" si="0"/>
        <v>26</v>
      </c>
      <c r="D41" s="897">
        <f t="shared" si="10"/>
        <v>2041</v>
      </c>
      <c r="E41" s="911"/>
      <c r="F41" s="912">
        <v>8.3283365575619523</v>
      </c>
      <c r="G41" s="486">
        <f t="shared" si="11"/>
        <v>0.055797112497225763</v>
      </c>
      <c r="H41" s="913">
        <f t="shared" si="13"/>
        <v>0.076799999999999993</v>
      </c>
      <c r="I41" s="914">
        <f t="shared" si="7"/>
        <v>0.076799999999999993</v>
      </c>
      <c r="K41" s="897">
        <f t="shared" si="8"/>
        <v>2041</v>
      </c>
      <c r="L41" s="915">
        <v>6.0362754579728737</v>
      </c>
      <c r="M41" s="916">
        <v>1.0014937188485953</v>
      </c>
      <c r="N41" s="489">
        <f t="shared" si="1"/>
        <v>7.04</v>
      </c>
      <c r="O41" s="498">
        <f t="shared" si="2"/>
        <v>84.48</v>
      </c>
      <c r="P41" s="897">
        <f t="shared" si="9"/>
        <v>2041</v>
      </c>
      <c r="Q41" s="915">
        <v>10.185466353703205</v>
      </c>
      <c r="R41" s="916">
        <v>1.5605288987600354</v>
      </c>
      <c r="S41" s="489">
        <f t="shared" si="3"/>
        <v>11.75</v>
      </c>
      <c r="T41" s="498">
        <f t="shared" si="4"/>
        <v>141</v>
      </c>
      <c r="U41" s="897">
        <f t="shared" si="12"/>
        <v>2041</v>
      </c>
      <c r="V41" s="917">
        <v>7.68</v>
      </c>
      <c r="W41" s="488">
        <f t="shared" si="5"/>
        <v>92.16</v>
      </c>
      <c r="Y41" s="918">
        <f t="shared" si="6"/>
        <v>176.64</v>
      </c>
    </row>
    <row r="42" spans="4:23" ht="14.4">
      <c r="D42" s="872"/>
      <c r="E42" s="872"/>
      <c r="F42" s="872"/>
      <c r="G42" s="872"/>
      <c r="H42" s="872"/>
      <c r="K42" s="872"/>
      <c r="L42" s="872"/>
      <c r="M42" s="872"/>
      <c r="N42" s="872"/>
      <c r="O42" s="872"/>
      <c r="P42" s="872"/>
      <c r="Q42" s="872"/>
      <c r="R42" s="872"/>
      <c r="S42" s="872"/>
      <c r="T42" s="865"/>
      <c r="U42" s="872"/>
      <c r="V42" s="872"/>
      <c r="W42" s="872"/>
    </row>
    <row r="43" spans="4:23" ht="14.4">
      <c r="D43" s="919" t="s">
        <v>1129</v>
      </c>
      <c r="E43" s="872"/>
      <c r="F43" s="872"/>
      <c r="G43" s="872"/>
      <c r="H43" s="872"/>
      <c r="K43" s="919" t="s">
        <v>1136</v>
      </c>
      <c r="L43" s="872"/>
      <c r="M43" s="872"/>
      <c r="N43" s="872"/>
      <c r="O43" s="872"/>
      <c r="P43" s="872"/>
      <c r="Q43" s="872"/>
      <c r="R43" s="872"/>
      <c r="S43" s="872"/>
      <c r="T43" s="865"/>
      <c r="U43" s="919" t="s">
        <v>1139</v>
      </c>
      <c r="V43" s="872"/>
      <c r="W43" s="872"/>
    </row>
    <row r="44" spans="17:23" ht="14.4">
      <c r="Q44" s="173"/>
      <c r="R44" s="173"/>
      <c r="T44" s="865"/>
      <c r="W44" s="865"/>
    </row>
    <row r="45" ht="14.4"/>
    <row r="46" spans="17:22" ht="14.4">
      <c r="Q46" s="173"/>
      <c r="T46" s="865"/>
      <c r="U46" s="173"/>
      <c r="V46" s="865"/>
    </row>
    <row r="47" ht="14.4"/>
    <row r="48" ht="14.4"/>
    <row r="49" ht="14.4"/>
    <row r="50" ht="14.4"/>
    <row r="51" ht="14.4"/>
    <row r="52" ht="14.4"/>
    <row r="53" ht="14.4"/>
    <row r="54" ht="14.4"/>
    <row r="55" ht="14.4"/>
    <row r="56" ht="14.4"/>
    <row r="57" ht="14.4"/>
    <row r="58" ht="14.4"/>
    <row r="59" ht="14.4"/>
    <row r="60" ht="14.4"/>
    <row r="61" ht="14.4"/>
    <row r="62" ht="14.4"/>
    <row r="63" ht="14.4"/>
    <row r="64" ht="14.4"/>
    <row r="65" ht="14.4"/>
    <row r="66" ht="14.4"/>
    <row r="67" ht="14.4"/>
    <row r="68" ht="14.4"/>
    <row r="69" ht="14.4"/>
    <row r="70" ht="14.4"/>
    <row r="71" ht="14.4"/>
    <row r="72" ht="14.4"/>
    <row r="73" ht="14.4"/>
    <row r="74" ht="14.4"/>
    <row r="75" ht="14.4"/>
    <row r="76" ht="14.4"/>
    <row r="77" ht="14.4"/>
    <row r="78" ht="14.4"/>
    <row r="79" spans="6:9" ht="14.4">
      <c r="F79" s="872"/>
      <c r="G79" s="872"/>
      <c r="H79" s="872"/>
      <c r="I79" s="872"/>
    </row>
    <row r="80" spans="6:9" ht="14.4">
      <c r="F80" s="872"/>
      <c r="G80" s="872"/>
      <c r="H80" s="872"/>
      <c r="I80" s="872"/>
    </row>
    <row r="81" spans="6:9" ht="14.4">
      <c r="F81" s="872"/>
      <c r="G81" s="872"/>
      <c r="H81" s="872"/>
      <c r="I81" s="872"/>
    </row>
    <row r="82" spans="6:9" ht="14.4">
      <c r="F82" s="872"/>
      <c r="G82" s="872"/>
      <c r="H82" s="872"/>
      <c r="I82" s="872"/>
    </row>
    <row r="83" spans="6:9" ht="14.4">
      <c r="F83" s="920"/>
      <c r="G83" s="920"/>
      <c r="H83" s="920"/>
      <c r="I83" s="920"/>
    </row>
    <row r="84" spans="6:9" ht="14.4">
      <c r="F84" s="872"/>
      <c r="G84" s="872"/>
      <c r="H84" s="872"/>
      <c r="I84" s="872"/>
    </row>
    <row r="85" spans="6:9" ht="14.4">
      <c r="F85" s="872"/>
      <c r="G85" s="872"/>
      <c r="H85" s="872"/>
      <c r="I85" s="872"/>
    </row>
    <row r="86" spans="6:9" ht="14.4">
      <c r="F86" s="872"/>
      <c r="G86" s="872"/>
      <c r="H86" s="872"/>
      <c r="I86" s="872"/>
    </row>
    <row r="87" spans="6:9" ht="14.4">
      <c r="F87" s="872"/>
      <c r="G87" s="872"/>
      <c r="H87" s="872"/>
      <c r="I87" s="872"/>
    </row>
    <row r="88" spans="6:9" ht="14.4">
      <c r="F88" s="872"/>
      <c r="G88" s="872"/>
      <c r="H88" s="872"/>
      <c r="I88" s="872"/>
    </row>
    <row r="89" spans="6:9" ht="14.4">
      <c r="F89" s="872"/>
      <c r="G89" s="872"/>
      <c r="H89" s="872"/>
      <c r="I89" s="872"/>
    </row>
    <row r="90" spans="6:9" ht="14.4">
      <c r="F90" s="872"/>
      <c r="G90" s="872"/>
      <c r="H90" s="872"/>
      <c r="I90" s="872"/>
    </row>
    <row r="91" spans="6:9" ht="14.4">
      <c r="F91" s="872"/>
      <c r="G91" s="872"/>
      <c r="H91" s="872"/>
      <c r="I91" s="872"/>
    </row>
    <row r="92" spans="6:9" ht="14.4">
      <c r="F92" s="872"/>
      <c r="G92" s="872"/>
      <c r="H92" s="872"/>
      <c r="I92" s="872"/>
    </row>
    <row r="93" spans="6:9" ht="14.4">
      <c r="F93" s="872"/>
      <c r="G93" s="872"/>
      <c r="H93" s="872"/>
      <c r="I93" s="872"/>
    </row>
    <row r="94" spans="6:9" ht="14.4">
      <c r="F94" s="872"/>
      <c r="G94" s="872"/>
      <c r="H94" s="872"/>
      <c r="I94" s="872"/>
    </row>
    <row r="95" spans="6:9" ht="14.4">
      <c r="F95" s="872"/>
      <c r="G95" s="872"/>
      <c r="H95" s="872"/>
      <c r="I95" s="872"/>
    </row>
    <row r="96" spans="6:9" ht="14.4">
      <c r="F96" s="872"/>
      <c r="G96" s="872"/>
      <c r="H96" s="872"/>
      <c r="I96" s="872"/>
    </row>
    <row r="97" spans="6:9" ht="14.4">
      <c r="F97" s="872"/>
      <c r="G97" s="872"/>
      <c r="H97" s="872"/>
      <c r="I97" s="872"/>
    </row>
    <row r="98" spans="6:9" ht="14.4">
      <c r="F98" s="872"/>
      <c r="G98" s="872"/>
      <c r="H98" s="872"/>
      <c r="I98" s="872"/>
    </row>
    <row r="99" spans="6:9" ht="14.4">
      <c r="F99" s="872"/>
      <c r="G99" s="872"/>
      <c r="H99" s="872"/>
      <c r="I99" s="872"/>
    </row>
    <row r="100" spans="6:9" ht="14.4">
      <c r="F100" s="872"/>
      <c r="G100" s="872"/>
      <c r="H100" s="872"/>
      <c r="I100" s="872"/>
    </row>
    <row r="101" spans="6:9" ht="14.4">
      <c r="F101" s="872"/>
      <c r="G101" s="872"/>
      <c r="H101" s="872"/>
      <c r="I101" s="872"/>
    </row>
    <row r="102" spans="6:9" ht="14.4">
      <c r="F102" s="872"/>
      <c r="G102" s="872"/>
      <c r="H102" s="872"/>
      <c r="I102" s="872"/>
    </row>
    <row r="103" spans="6:9" ht="14.4">
      <c r="F103" s="872"/>
      <c r="G103" s="872"/>
      <c r="H103" s="872"/>
      <c r="I103" s="872"/>
    </row>
    <row r="104" spans="6:9" ht="14.4">
      <c r="F104" s="872"/>
      <c r="G104" s="872"/>
      <c r="H104" s="872"/>
      <c r="I104" s="872"/>
    </row>
    <row r="105" spans="6:9" ht="14.4">
      <c r="F105" s="872"/>
      <c r="G105" s="872"/>
      <c r="H105" s="872"/>
      <c r="I105" s="872"/>
    </row>
    <row r="106" spans="6:9" ht="14.4">
      <c r="F106" s="872"/>
      <c r="G106" s="872"/>
      <c r="H106" s="872"/>
      <c r="I106" s="872"/>
    </row>
    <row r="107" spans="6:9" ht="14.4">
      <c r="F107" s="872"/>
      <c r="G107" s="872"/>
      <c r="H107" s="872"/>
      <c r="I107" s="872"/>
    </row>
    <row r="108" spans="6:9" ht="14.4">
      <c r="F108" s="872"/>
      <c r="G108" s="872"/>
      <c r="H108" s="872"/>
      <c r="I108" s="872"/>
    </row>
    <row r="109" spans="6:9" ht="14.4">
      <c r="F109" s="872"/>
      <c r="G109" s="872"/>
      <c r="H109" s="872"/>
      <c r="I109" s="872"/>
    </row>
    <row r="110" spans="6:9" ht="14.4">
      <c r="F110" s="872"/>
      <c r="G110" s="872"/>
      <c r="H110" s="872"/>
      <c r="I110" s="872"/>
    </row>
  </sheetData>
  <mergeCells count="2">
    <mergeCell ref="L13:N13"/>
    <mergeCell ref="Q13:S13"/>
  </mergeCells>
  <pageMargins left="0.7" right="0.7" top="0.75" bottom="0.75" header="0.3" footer="0.3"/>
  <pageSetup orientation="landscape" scale="10" r:id="rId2"/>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2" tint="-0.24997"/>
  </sheetPr>
  <dimension ref="A1:AD54"/>
  <sheetViews>
    <sheetView zoomScale="70" zoomScaleNormal="70" workbookViewId="0" topLeftCell="A1">
      <selection pane="topLeft" activeCell="A1" sqref="A1"/>
    </sheetView>
  </sheetViews>
  <sheetFormatPr defaultColWidth="8.88888888888889" defaultRowHeight="14.4"/>
  <cols>
    <col min="1" max="1" width="8.88888888888889" customWidth="1"/>
    <col min="2" max="2" width="26.7777777777778" customWidth="1"/>
    <col min="3" max="3" width="12" bestFit="1" customWidth="1"/>
    <col min="4" max="4" width="15.2222222222222" bestFit="1" customWidth="1"/>
    <col min="5" max="5" width="18.7777777777778" bestFit="1" customWidth="1"/>
    <col min="6" max="6" width="20.7777777777778" customWidth="1"/>
    <col min="7" max="7" width="13.4444444444444" customWidth="1"/>
    <col min="8" max="30" width="8.88888888888889" customWidth="1"/>
  </cols>
  <sheetData>
    <row r="1" ht="14.4">
      <c r="B1" s="281" t="s">
        <v>1629</v>
      </c>
    </row>
    <row r="2" spans="2:5" ht="14.4">
      <c r="B2" s="507" t="s">
        <v>1287</v>
      </c>
      <c r="C2">
        <v>2014</v>
      </c>
      <c r="D2">
        <v>2015</v>
      </c>
      <c r="E2">
        <v>2016</v>
      </c>
    </row>
    <row r="3" spans="2:6" ht="14.4">
      <c r="B3" s="338" t="s">
        <v>1180</v>
      </c>
      <c r="C3" s="338" t="s">
        <v>1288</v>
      </c>
      <c r="D3" s="512" t="s">
        <v>1289</v>
      </c>
      <c r="E3" s="338" t="s">
        <v>1290</v>
      </c>
      <c r="F3" s="338" t="s">
        <v>78</v>
      </c>
    </row>
    <row r="4" spans="2:5" ht="14.4">
      <c r="B4" t="s">
        <v>352</v>
      </c>
      <c r="C4" s="575">
        <v>0.068500000000000005</v>
      </c>
      <c r="D4" s="576">
        <v>0.077100000000000002</v>
      </c>
      <c r="E4" s="575">
        <v>0.070000000000000007</v>
      </c>
    </row>
    <row r="5" spans="2:5" ht="14.4">
      <c r="B5" t="s">
        <v>341</v>
      </c>
      <c r="C5" s="577">
        <v>0.04</v>
      </c>
      <c r="D5" s="578">
        <v>0.04</v>
      </c>
      <c r="E5" s="577">
        <v>0.04</v>
      </c>
    </row>
    <row r="6" spans="2:5" ht="14.4">
      <c r="B6" t="s">
        <v>347</v>
      </c>
      <c r="C6" s="577">
        <v>0.047300000000000002</v>
      </c>
      <c r="D6" s="578">
        <v>0.043099999999999999</v>
      </c>
      <c r="E6" s="577">
        <v>0.05</v>
      </c>
    </row>
    <row r="7" spans="2:5" ht="14.4">
      <c r="B7" t="s">
        <v>349</v>
      </c>
      <c r="C7" s="577">
        <v>0.06</v>
      </c>
      <c r="D7" s="578">
        <v>0.057000000000000002</v>
      </c>
      <c r="E7" s="577">
        <v>0.04</v>
      </c>
    </row>
    <row r="8" spans="2:5" ht="14.4">
      <c r="B8" t="s">
        <v>339</v>
      </c>
      <c r="C8" s="577">
        <v>0.059900000000000002</v>
      </c>
      <c r="D8" s="578">
        <v>0.060600000000000001</v>
      </c>
      <c r="E8" s="577">
        <v>0.076799999999999993</v>
      </c>
    </row>
    <row r="9" spans="2:5" ht="14.4">
      <c r="B9" t="s">
        <v>354</v>
      </c>
      <c r="C9" s="577">
        <v>0.047300000000000002</v>
      </c>
      <c r="D9" s="578">
        <v>0.0453</v>
      </c>
      <c r="E9" s="577">
        <v>0.045</v>
      </c>
    </row>
    <row r="10" spans="2:5" ht="14.4">
      <c r="B10" t="s">
        <v>1269</v>
      </c>
      <c r="C10" s="510">
        <v>0.069000000000000006</v>
      </c>
      <c r="D10" s="513">
        <v>0.079000000000000001</v>
      </c>
      <c r="E10" s="510">
        <v>0.079000000000000001</v>
      </c>
    </row>
    <row r="11" spans="2:6" ht="14.4">
      <c r="B11" t="s">
        <v>894</v>
      </c>
      <c r="C11" s="577">
        <v>0.050700000000000002</v>
      </c>
      <c r="D11" s="578">
        <v>0.054699999999999999</v>
      </c>
      <c r="E11" s="577">
        <f>AVERAGE(E4:E10)</f>
        <v>0.057257142857142861</v>
      </c>
      <c r="F11" t="s">
        <v>1686</v>
      </c>
    </row>
    <row r="12" spans="2:6" ht="14.4">
      <c r="B12" t="s">
        <v>890</v>
      </c>
      <c r="C12" s="577">
        <f>AVERAGE(C4:C11)</f>
        <v>0.055337500000000005</v>
      </c>
      <c r="D12" s="578">
        <f>AVERAGE(D4:D11)</f>
        <v>0.057099999999999998</v>
      </c>
      <c r="E12" s="577">
        <f>AVERAGE(E4:E10)</f>
        <v>0.057257142857142861</v>
      </c>
      <c r="F12" t="s">
        <v>1687</v>
      </c>
    </row>
    <row r="13" spans="3:5" s="24" customFormat="1" ht="14.4">
      <c r="C13" s="577"/>
      <c r="D13" s="578"/>
      <c r="E13" s="577"/>
    </row>
    <row r="14" spans="3:5" ht="14.4">
      <c r="C14">
        <v>2014</v>
      </c>
      <c r="D14">
        <v>2015</v>
      </c>
      <c r="E14">
        <v>2016</v>
      </c>
    </row>
    <row r="15" spans="2:5" ht="14.4">
      <c r="B15" s="24" t="s">
        <v>1688</v>
      </c>
      <c r="C15" s="589">
        <v>0.037600000000000001</v>
      </c>
      <c r="D15" s="589">
        <v>0.0309</v>
      </c>
      <c r="E15" s="589">
        <f>D15</f>
        <v>0.0309</v>
      </c>
    </row>
    <row r="16" spans="2:5" ht="14.4">
      <c r="B16" t="s">
        <v>1689</v>
      </c>
      <c r="C16" s="417">
        <v>0.0224</v>
      </c>
      <c r="D16" s="417">
        <v>0.0218</v>
      </c>
      <c r="E16">
        <f>D16</f>
        <v>0.0218</v>
      </c>
    </row>
    <row r="17" spans="2:5" ht="14.4">
      <c r="B17" t="s">
        <v>1690</v>
      </c>
      <c r="C17" s="417">
        <v>0.017299999999999999</v>
      </c>
      <c r="D17" s="417">
        <v>0.017100000000000001</v>
      </c>
      <c r="E17">
        <f>D17</f>
        <v>0.017100000000000001</v>
      </c>
    </row>
    <row r="18" spans="2:4" ht="14.4">
      <c r="B18" t="s">
        <v>1691</v>
      </c>
      <c r="C18" s="417"/>
      <c r="D18" s="417"/>
    </row>
    <row r="19" spans="3:4" ht="14.4">
      <c r="C19" s="417"/>
      <c r="D19" s="417"/>
    </row>
    <row r="20" spans="3:5" ht="14.4">
      <c r="C20">
        <v>2014</v>
      </c>
      <c r="D20">
        <v>2015</v>
      </c>
      <c r="E20">
        <v>2016</v>
      </c>
    </row>
    <row r="21" spans="2:5" ht="14.4">
      <c r="B21" s="24" t="s">
        <v>1688</v>
      </c>
      <c r="C21" s="589">
        <v>1</v>
      </c>
      <c r="D21" s="589">
        <v>1</v>
      </c>
      <c r="E21" s="589">
        <v>1</v>
      </c>
    </row>
    <row r="22" spans="2:5" ht="14.4">
      <c r="B22" t="s">
        <v>1689</v>
      </c>
      <c r="C22" s="417">
        <v>0</v>
      </c>
      <c r="D22" s="417">
        <v>0</v>
      </c>
      <c r="E22" s="417">
        <v>0</v>
      </c>
    </row>
    <row r="23" spans="2:5" ht="14.4">
      <c r="B23" t="s">
        <v>1690</v>
      </c>
      <c r="C23" s="417">
        <v>0</v>
      </c>
      <c r="D23" s="417">
        <v>0</v>
      </c>
      <c r="E23" s="417">
        <v>0</v>
      </c>
    </row>
    <row r="24" spans="2:5" ht="14.4">
      <c r="B24" s="281" t="s">
        <v>131</v>
      </c>
      <c r="C24" s="417">
        <f>SUM(C21:C23)</f>
        <v>1</v>
      </c>
      <c r="D24" s="417">
        <f>SUM(D21:D23)</f>
        <v>1</v>
      </c>
      <c r="E24" s="417">
        <f>SUM(E21:E23)</f>
        <v>1</v>
      </c>
    </row>
    <row r="25" spans="3:4" ht="14.4">
      <c r="C25" s="417"/>
      <c r="D25" s="417"/>
    </row>
    <row r="26" spans="2:5" ht="14.4">
      <c r="B26" s="281" t="s">
        <v>1763</v>
      </c>
      <c r="C26" s="418">
        <f>SUMPRODUCT(C$15:C$17,C$21:C$23)</f>
        <v>0.037600000000000001</v>
      </c>
      <c r="D26" s="418">
        <f>SUMPRODUCT(D$15:D$17,D$21:D$23)</f>
        <v>0.0309</v>
      </c>
      <c r="E26" s="418">
        <f>SUMPRODUCT(E$15:E$17,E$21:E$23)</f>
        <v>0.0309</v>
      </c>
    </row>
    <row r="27" ht="14.4"/>
    <row r="28" spans="2:30" ht="14.4">
      <c r="B28" s="281" t="s">
        <v>1453</v>
      </c>
      <c r="C28" s="281">
        <v>2014</v>
      </c>
      <c r="D28" s="281">
        <v>2015</v>
      </c>
      <c r="E28" s="281">
        <v>2016</v>
      </c>
      <c r="F28" s="281">
        <v>2017</v>
      </c>
      <c r="G28" s="281">
        <v>2018</v>
      </c>
      <c r="H28" s="281">
        <v>2019</v>
      </c>
      <c r="I28" s="281">
        <v>2020</v>
      </c>
      <c r="J28" s="281">
        <v>2021</v>
      </c>
      <c r="K28" s="281">
        <v>2022</v>
      </c>
      <c r="L28" s="281">
        <v>2023</v>
      </c>
      <c r="M28" s="281">
        <v>2024</v>
      </c>
      <c r="N28" s="281">
        <v>2025</v>
      </c>
      <c r="O28" s="281">
        <v>2026</v>
      </c>
      <c r="P28" s="281">
        <v>2027</v>
      </c>
      <c r="Q28" s="281">
        <v>2028</v>
      </c>
      <c r="R28" s="281">
        <v>2029</v>
      </c>
      <c r="S28" s="281">
        <v>2030</v>
      </c>
      <c r="T28" s="281">
        <v>2031</v>
      </c>
      <c r="U28" s="281">
        <v>2032</v>
      </c>
      <c r="V28" s="281">
        <v>2033</v>
      </c>
      <c r="W28" s="281">
        <v>2034</v>
      </c>
      <c r="X28" s="281">
        <v>2035</v>
      </c>
      <c r="Y28" s="281">
        <v>2036</v>
      </c>
      <c r="Z28" s="281">
        <v>2037</v>
      </c>
      <c r="AA28" s="281">
        <v>2038</v>
      </c>
      <c r="AB28" s="281">
        <v>2039</v>
      </c>
      <c r="AC28" s="281">
        <v>2040</v>
      </c>
      <c r="AD28" s="281">
        <v>2041</v>
      </c>
    </row>
    <row r="29" spans="1:30" ht="14.4">
      <c r="A29" s="79"/>
      <c r="B29" s="79" t="s">
        <v>898</v>
      </c>
      <c r="C29" s="510">
        <f>SUM(C4,C$26)</f>
        <v>0.1061</v>
      </c>
      <c r="D29" s="510">
        <f>SUM(D4,D$26)</f>
        <v>0.108</v>
      </c>
      <c r="E29" s="510">
        <f>SUM(E4,E$26)</f>
        <v>0.1009</v>
      </c>
      <c r="F29" s="510">
        <f>E29</f>
        <v>0.1009</v>
      </c>
      <c r="G29" s="510">
        <f t="shared" si="0" ref="G29:AD29">F29</f>
        <v>0.1009</v>
      </c>
      <c r="H29" s="510">
        <f t="shared" si="0"/>
        <v>0.1009</v>
      </c>
      <c r="I29" s="510">
        <f t="shared" si="0"/>
        <v>0.1009</v>
      </c>
      <c r="J29" s="510">
        <f t="shared" si="0"/>
        <v>0.1009</v>
      </c>
      <c r="K29" s="510">
        <f t="shared" si="0"/>
        <v>0.1009</v>
      </c>
      <c r="L29" s="510">
        <f t="shared" si="0"/>
        <v>0.1009</v>
      </c>
      <c r="M29" s="510">
        <f t="shared" si="0"/>
        <v>0.1009</v>
      </c>
      <c r="N29" s="510">
        <f t="shared" si="0"/>
        <v>0.1009</v>
      </c>
      <c r="O29" s="510">
        <f t="shared" si="0"/>
        <v>0.1009</v>
      </c>
      <c r="P29" s="510">
        <f t="shared" si="0"/>
        <v>0.1009</v>
      </c>
      <c r="Q29" s="510">
        <f t="shared" si="0"/>
        <v>0.1009</v>
      </c>
      <c r="R29" s="510">
        <f t="shared" si="0"/>
        <v>0.1009</v>
      </c>
      <c r="S29" s="510">
        <f t="shared" si="0"/>
        <v>0.1009</v>
      </c>
      <c r="T29" s="510">
        <f t="shared" si="0"/>
        <v>0.1009</v>
      </c>
      <c r="U29" s="510">
        <f t="shared" si="0"/>
        <v>0.1009</v>
      </c>
      <c r="V29" s="510">
        <f t="shared" si="0"/>
        <v>0.1009</v>
      </c>
      <c r="W29" s="510">
        <f t="shared" si="0"/>
        <v>0.1009</v>
      </c>
      <c r="X29" s="510">
        <f t="shared" si="0"/>
        <v>0.1009</v>
      </c>
      <c r="Y29" s="510">
        <f t="shared" si="0"/>
        <v>0.1009</v>
      </c>
      <c r="Z29" s="510">
        <f t="shared" si="0"/>
        <v>0.1009</v>
      </c>
      <c r="AA29" s="510">
        <f t="shared" si="0"/>
        <v>0.1009</v>
      </c>
      <c r="AB29" s="510">
        <f t="shared" si="0"/>
        <v>0.1009</v>
      </c>
      <c r="AC29" s="510">
        <f t="shared" si="0"/>
        <v>0.1009</v>
      </c>
      <c r="AD29" s="510">
        <f t="shared" si="0"/>
        <v>0.1009</v>
      </c>
    </row>
    <row r="30" spans="1:30" ht="14.4">
      <c r="A30" s="79"/>
      <c r="B30" s="79" t="s">
        <v>892</v>
      </c>
      <c r="C30" s="510">
        <f t="shared" si="1" ref="C30:D37">SUM(C5,C$26)</f>
        <v>0.077600000000000002</v>
      </c>
      <c r="D30" s="510">
        <f>SUM(D5,D$26)</f>
        <v>0.070900000000000005</v>
      </c>
      <c r="E30" s="510">
        <f>SUM(E5,E$26)</f>
        <v>0.070900000000000005</v>
      </c>
      <c r="F30" s="510">
        <f>E30</f>
        <v>0.070900000000000005</v>
      </c>
      <c r="G30" s="510">
        <f t="shared" si="2" ref="G30:AD30">F30</f>
        <v>0.070900000000000005</v>
      </c>
      <c r="H30" s="510">
        <f t="shared" si="2"/>
        <v>0.070900000000000005</v>
      </c>
      <c r="I30" s="510">
        <f t="shared" si="2"/>
        <v>0.070900000000000005</v>
      </c>
      <c r="J30" s="510">
        <f t="shared" si="2"/>
        <v>0.070900000000000005</v>
      </c>
      <c r="K30" s="510">
        <f t="shared" si="2"/>
        <v>0.070900000000000005</v>
      </c>
      <c r="L30" s="510">
        <f t="shared" si="2"/>
        <v>0.070900000000000005</v>
      </c>
      <c r="M30" s="510">
        <f t="shared" si="2"/>
        <v>0.070900000000000005</v>
      </c>
      <c r="N30" s="510">
        <f t="shared" si="2"/>
        <v>0.070900000000000005</v>
      </c>
      <c r="O30" s="510">
        <f t="shared" si="2"/>
        <v>0.070900000000000005</v>
      </c>
      <c r="P30" s="510">
        <f t="shared" si="2"/>
        <v>0.070900000000000005</v>
      </c>
      <c r="Q30" s="510">
        <f t="shared" si="2"/>
        <v>0.070900000000000005</v>
      </c>
      <c r="R30" s="510">
        <f t="shared" si="2"/>
        <v>0.070900000000000005</v>
      </c>
      <c r="S30" s="510">
        <f t="shared" si="2"/>
        <v>0.070900000000000005</v>
      </c>
      <c r="T30" s="510">
        <f t="shared" si="2"/>
        <v>0.070900000000000005</v>
      </c>
      <c r="U30" s="510">
        <f t="shared" si="2"/>
        <v>0.070900000000000005</v>
      </c>
      <c r="V30" s="510">
        <f t="shared" si="2"/>
        <v>0.070900000000000005</v>
      </c>
      <c r="W30" s="510">
        <f t="shared" si="2"/>
        <v>0.070900000000000005</v>
      </c>
      <c r="X30" s="510">
        <f t="shared" si="2"/>
        <v>0.070900000000000005</v>
      </c>
      <c r="Y30" s="510">
        <f t="shared" si="2"/>
        <v>0.070900000000000005</v>
      </c>
      <c r="Z30" s="510">
        <f t="shared" si="2"/>
        <v>0.070900000000000005</v>
      </c>
      <c r="AA30" s="510">
        <f t="shared" si="2"/>
        <v>0.070900000000000005</v>
      </c>
      <c r="AB30" s="510">
        <f t="shared" si="2"/>
        <v>0.070900000000000005</v>
      </c>
      <c r="AC30" s="510">
        <f t="shared" si="2"/>
        <v>0.070900000000000005</v>
      </c>
      <c r="AD30" s="510">
        <f t="shared" si="2"/>
        <v>0.070900000000000005</v>
      </c>
    </row>
    <row r="31" spans="1:30" ht="14.4">
      <c r="A31" s="79"/>
      <c r="B31" s="79" t="s">
        <v>895</v>
      </c>
      <c r="C31" s="510">
        <f t="shared" si="1"/>
        <v>0.084900000000000003</v>
      </c>
      <c r="D31" s="510">
        <f t="shared" si="1"/>
        <v>0.073999999999999996</v>
      </c>
      <c r="E31" s="510">
        <f t="shared" si="3" ref="E31:E37">SUM(E6,E$26)</f>
        <v>0.0809</v>
      </c>
      <c r="F31" s="510">
        <f t="shared" si="4" ref="F31:AD31">E31</f>
        <v>0.0809</v>
      </c>
      <c r="G31" s="510">
        <f t="shared" si="4"/>
        <v>0.0809</v>
      </c>
      <c r="H31" s="510">
        <f t="shared" si="4"/>
        <v>0.0809</v>
      </c>
      <c r="I31" s="510">
        <f t="shared" si="4"/>
        <v>0.0809</v>
      </c>
      <c r="J31" s="510">
        <f t="shared" si="4"/>
        <v>0.0809</v>
      </c>
      <c r="K31" s="510">
        <f t="shared" si="4"/>
        <v>0.0809</v>
      </c>
      <c r="L31" s="510">
        <f t="shared" si="4"/>
        <v>0.0809</v>
      </c>
      <c r="M31" s="510">
        <f t="shared" si="4"/>
        <v>0.0809</v>
      </c>
      <c r="N31" s="510">
        <f t="shared" si="4"/>
        <v>0.0809</v>
      </c>
      <c r="O31" s="510">
        <f t="shared" si="4"/>
        <v>0.0809</v>
      </c>
      <c r="P31" s="510">
        <f t="shared" si="4"/>
        <v>0.0809</v>
      </c>
      <c r="Q31" s="510">
        <f t="shared" si="4"/>
        <v>0.0809</v>
      </c>
      <c r="R31" s="510">
        <f t="shared" si="4"/>
        <v>0.0809</v>
      </c>
      <c r="S31" s="510">
        <f t="shared" si="4"/>
        <v>0.0809</v>
      </c>
      <c r="T31" s="510">
        <f t="shared" si="4"/>
        <v>0.0809</v>
      </c>
      <c r="U31" s="510">
        <f t="shared" si="4"/>
        <v>0.0809</v>
      </c>
      <c r="V31" s="510">
        <f t="shared" si="4"/>
        <v>0.0809</v>
      </c>
      <c r="W31" s="510">
        <f t="shared" si="4"/>
        <v>0.0809</v>
      </c>
      <c r="X31" s="510">
        <f t="shared" si="4"/>
        <v>0.0809</v>
      </c>
      <c r="Y31" s="510">
        <f t="shared" si="4"/>
        <v>0.0809</v>
      </c>
      <c r="Z31" s="510">
        <f t="shared" si="4"/>
        <v>0.0809</v>
      </c>
      <c r="AA31" s="510">
        <f t="shared" si="4"/>
        <v>0.0809</v>
      </c>
      <c r="AB31" s="510">
        <f t="shared" si="4"/>
        <v>0.0809</v>
      </c>
      <c r="AC31" s="510">
        <f t="shared" si="4"/>
        <v>0.0809</v>
      </c>
      <c r="AD31" s="510">
        <f t="shared" si="4"/>
        <v>0.0809</v>
      </c>
    </row>
    <row r="32" spans="1:30" ht="14.4">
      <c r="A32" s="79"/>
      <c r="B32" s="79" t="s">
        <v>897</v>
      </c>
      <c r="C32" s="510">
        <f t="shared" si="1"/>
        <v>0.097599999999999992</v>
      </c>
      <c r="D32" s="510">
        <f t="shared" si="1"/>
        <v>0.087900000000000006</v>
      </c>
      <c r="E32" s="510">
        <f t="shared" si="3"/>
        <v>0.070900000000000005</v>
      </c>
      <c r="F32" s="510">
        <f t="shared" si="5" ref="F32:AD32">E32</f>
        <v>0.070900000000000005</v>
      </c>
      <c r="G32" s="510">
        <f t="shared" si="5"/>
        <v>0.070900000000000005</v>
      </c>
      <c r="H32" s="510">
        <f t="shared" si="5"/>
        <v>0.070900000000000005</v>
      </c>
      <c r="I32" s="510">
        <f t="shared" si="5"/>
        <v>0.070900000000000005</v>
      </c>
      <c r="J32" s="510">
        <f t="shared" si="5"/>
        <v>0.070900000000000005</v>
      </c>
      <c r="K32" s="510">
        <f t="shared" si="5"/>
        <v>0.070900000000000005</v>
      </c>
      <c r="L32" s="510">
        <f t="shared" si="5"/>
        <v>0.070900000000000005</v>
      </c>
      <c r="M32" s="510">
        <f t="shared" si="5"/>
        <v>0.070900000000000005</v>
      </c>
      <c r="N32" s="510">
        <f t="shared" si="5"/>
        <v>0.070900000000000005</v>
      </c>
      <c r="O32" s="510">
        <f t="shared" si="5"/>
        <v>0.070900000000000005</v>
      </c>
      <c r="P32" s="510">
        <f t="shared" si="5"/>
        <v>0.070900000000000005</v>
      </c>
      <c r="Q32" s="510">
        <f t="shared" si="5"/>
        <v>0.070900000000000005</v>
      </c>
      <c r="R32" s="510">
        <f t="shared" si="5"/>
        <v>0.070900000000000005</v>
      </c>
      <c r="S32" s="510">
        <f t="shared" si="5"/>
        <v>0.070900000000000005</v>
      </c>
      <c r="T32" s="510">
        <f t="shared" si="5"/>
        <v>0.070900000000000005</v>
      </c>
      <c r="U32" s="510">
        <f t="shared" si="5"/>
        <v>0.070900000000000005</v>
      </c>
      <c r="V32" s="510">
        <f t="shared" si="5"/>
        <v>0.070900000000000005</v>
      </c>
      <c r="W32" s="510">
        <f t="shared" si="5"/>
        <v>0.070900000000000005</v>
      </c>
      <c r="X32" s="510">
        <f t="shared" si="5"/>
        <v>0.070900000000000005</v>
      </c>
      <c r="Y32" s="510">
        <f t="shared" si="5"/>
        <v>0.070900000000000005</v>
      </c>
      <c r="Z32" s="510">
        <f t="shared" si="5"/>
        <v>0.070900000000000005</v>
      </c>
      <c r="AA32" s="510">
        <f t="shared" si="5"/>
        <v>0.070900000000000005</v>
      </c>
      <c r="AB32" s="510">
        <f t="shared" si="5"/>
        <v>0.070900000000000005</v>
      </c>
      <c r="AC32" s="510">
        <f t="shared" si="5"/>
        <v>0.070900000000000005</v>
      </c>
      <c r="AD32" s="510">
        <f t="shared" si="5"/>
        <v>0.070900000000000005</v>
      </c>
    </row>
    <row r="33" spans="1:30" ht="14.4">
      <c r="A33" s="79"/>
      <c r="B33" s="79" t="s">
        <v>893</v>
      </c>
      <c r="C33" s="510">
        <f t="shared" si="1"/>
        <v>0.0975</v>
      </c>
      <c r="D33" s="510">
        <f t="shared" si="1"/>
        <v>0.091499999999999998</v>
      </c>
      <c r="E33" s="510">
        <f t="shared" si="3"/>
        <v>0.10769999999999999</v>
      </c>
      <c r="F33" s="510">
        <f t="shared" si="6" ref="F33:AD33">E33</f>
        <v>0.10769999999999999</v>
      </c>
      <c r="G33" s="510">
        <f t="shared" si="6"/>
        <v>0.10769999999999999</v>
      </c>
      <c r="H33" s="510">
        <f t="shared" si="6"/>
        <v>0.10769999999999999</v>
      </c>
      <c r="I33" s="510">
        <f t="shared" si="6"/>
        <v>0.10769999999999999</v>
      </c>
      <c r="J33" s="510">
        <f t="shared" si="6"/>
        <v>0.10769999999999999</v>
      </c>
      <c r="K33" s="510">
        <f t="shared" si="6"/>
        <v>0.10769999999999999</v>
      </c>
      <c r="L33" s="510">
        <f t="shared" si="6"/>
        <v>0.10769999999999999</v>
      </c>
      <c r="M33" s="510">
        <f t="shared" si="6"/>
        <v>0.10769999999999999</v>
      </c>
      <c r="N33" s="510">
        <f t="shared" si="6"/>
        <v>0.10769999999999999</v>
      </c>
      <c r="O33" s="510">
        <f t="shared" si="6"/>
        <v>0.10769999999999999</v>
      </c>
      <c r="P33" s="510">
        <f t="shared" si="6"/>
        <v>0.10769999999999999</v>
      </c>
      <c r="Q33" s="510">
        <f t="shared" si="6"/>
        <v>0.10769999999999999</v>
      </c>
      <c r="R33" s="510">
        <f t="shared" si="6"/>
        <v>0.10769999999999999</v>
      </c>
      <c r="S33" s="510">
        <f t="shared" si="6"/>
        <v>0.10769999999999999</v>
      </c>
      <c r="T33" s="510">
        <f t="shared" si="6"/>
        <v>0.10769999999999999</v>
      </c>
      <c r="U33" s="510">
        <f t="shared" si="6"/>
        <v>0.10769999999999999</v>
      </c>
      <c r="V33" s="510">
        <f t="shared" si="6"/>
        <v>0.10769999999999999</v>
      </c>
      <c r="W33" s="510">
        <f t="shared" si="6"/>
        <v>0.10769999999999999</v>
      </c>
      <c r="X33" s="510">
        <f t="shared" si="6"/>
        <v>0.10769999999999999</v>
      </c>
      <c r="Y33" s="510">
        <f t="shared" si="6"/>
        <v>0.10769999999999999</v>
      </c>
      <c r="Z33" s="510">
        <f t="shared" si="6"/>
        <v>0.10769999999999999</v>
      </c>
      <c r="AA33" s="510">
        <f t="shared" si="6"/>
        <v>0.10769999999999999</v>
      </c>
      <c r="AB33" s="510">
        <f t="shared" si="6"/>
        <v>0.10769999999999999</v>
      </c>
      <c r="AC33" s="510">
        <f t="shared" si="6"/>
        <v>0.10769999999999999</v>
      </c>
      <c r="AD33" s="510">
        <f t="shared" si="6"/>
        <v>0.10769999999999999</v>
      </c>
    </row>
    <row r="34" spans="1:30" ht="14.4">
      <c r="A34" s="79"/>
      <c r="B34" s="79" t="s">
        <v>891</v>
      </c>
      <c r="C34" s="510">
        <f t="shared" si="1"/>
        <v>0.084900000000000003</v>
      </c>
      <c r="D34" s="510">
        <f t="shared" si="1"/>
        <v>0.076200000000000004</v>
      </c>
      <c r="E34" s="510">
        <f t="shared" si="3"/>
        <v>0.075899999999999995</v>
      </c>
      <c r="F34" s="510">
        <f t="shared" si="7" ref="F34:AD34">E34</f>
        <v>0.075899999999999995</v>
      </c>
      <c r="G34" s="510">
        <f t="shared" si="7"/>
        <v>0.075899999999999995</v>
      </c>
      <c r="H34" s="510">
        <f t="shared" si="7"/>
        <v>0.075899999999999995</v>
      </c>
      <c r="I34" s="510">
        <f t="shared" si="7"/>
        <v>0.075899999999999995</v>
      </c>
      <c r="J34" s="510">
        <f t="shared" si="7"/>
        <v>0.075899999999999995</v>
      </c>
      <c r="K34" s="510">
        <f t="shared" si="7"/>
        <v>0.075899999999999995</v>
      </c>
      <c r="L34" s="510">
        <f t="shared" si="7"/>
        <v>0.075899999999999995</v>
      </c>
      <c r="M34" s="510">
        <f t="shared" si="7"/>
        <v>0.075899999999999995</v>
      </c>
      <c r="N34" s="510">
        <f t="shared" si="7"/>
        <v>0.075899999999999995</v>
      </c>
      <c r="O34" s="510">
        <f t="shared" si="7"/>
        <v>0.075899999999999995</v>
      </c>
      <c r="P34" s="510">
        <f t="shared" si="7"/>
        <v>0.075899999999999995</v>
      </c>
      <c r="Q34" s="510">
        <f t="shared" si="7"/>
        <v>0.075899999999999995</v>
      </c>
      <c r="R34" s="510">
        <f t="shared" si="7"/>
        <v>0.075899999999999995</v>
      </c>
      <c r="S34" s="510">
        <f t="shared" si="7"/>
        <v>0.075899999999999995</v>
      </c>
      <c r="T34" s="510">
        <f t="shared" si="7"/>
        <v>0.075899999999999995</v>
      </c>
      <c r="U34" s="510">
        <f t="shared" si="7"/>
        <v>0.075899999999999995</v>
      </c>
      <c r="V34" s="510">
        <f t="shared" si="7"/>
        <v>0.075899999999999995</v>
      </c>
      <c r="W34" s="510">
        <f t="shared" si="7"/>
        <v>0.075899999999999995</v>
      </c>
      <c r="X34" s="510">
        <f t="shared" si="7"/>
        <v>0.075899999999999995</v>
      </c>
      <c r="Y34" s="510">
        <f t="shared" si="7"/>
        <v>0.075899999999999995</v>
      </c>
      <c r="Z34" s="510">
        <f t="shared" si="7"/>
        <v>0.075899999999999995</v>
      </c>
      <c r="AA34" s="510">
        <f t="shared" si="7"/>
        <v>0.075899999999999995</v>
      </c>
      <c r="AB34" s="510">
        <f t="shared" si="7"/>
        <v>0.075899999999999995</v>
      </c>
      <c r="AC34" s="510">
        <f t="shared" si="7"/>
        <v>0.075899999999999995</v>
      </c>
      <c r="AD34" s="510">
        <f t="shared" si="7"/>
        <v>0.075899999999999995</v>
      </c>
    </row>
    <row r="35" spans="1:30" ht="14.4">
      <c r="A35" s="79"/>
      <c r="B35" s="79" t="s">
        <v>896</v>
      </c>
      <c r="C35" s="510">
        <f t="shared" si="1"/>
        <v>0.1066</v>
      </c>
      <c r="D35" s="510">
        <f t="shared" si="1"/>
        <v>0.1099</v>
      </c>
      <c r="E35" s="510">
        <f t="shared" si="3"/>
        <v>0.1099</v>
      </c>
      <c r="F35" s="510">
        <f t="shared" si="8" ref="F35:AD35">E35</f>
        <v>0.1099</v>
      </c>
      <c r="G35" s="510">
        <f t="shared" si="8"/>
        <v>0.1099</v>
      </c>
      <c r="H35" s="510">
        <f t="shared" si="8"/>
        <v>0.1099</v>
      </c>
      <c r="I35" s="510">
        <f t="shared" si="8"/>
        <v>0.1099</v>
      </c>
      <c r="J35" s="510">
        <f t="shared" si="8"/>
        <v>0.1099</v>
      </c>
      <c r="K35" s="510">
        <f t="shared" si="8"/>
        <v>0.1099</v>
      </c>
      <c r="L35" s="510">
        <f t="shared" si="8"/>
        <v>0.1099</v>
      </c>
      <c r="M35" s="510">
        <f t="shared" si="8"/>
        <v>0.1099</v>
      </c>
      <c r="N35" s="510">
        <f t="shared" si="8"/>
        <v>0.1099</v>
      </c>
      <c r="O35" s="510">
        <f t="shared" si="8"/>
        <v>0.1099</v>
      </c>
      <c r="P35" s="510">
        <f t="shared" si="8"/>
        <v>0.1099</v>
      </c>
      <c r="Q35" s="510">
        <f t="shared" si="8"/>
        <v>0.1099</v>
      </c>
      <c r="R35" s="510">
        <f t="shared" si="8"/>
        <v>0.1099</v>
      </c>
      <c r="S35" s="510">
        <f t="shared" si="8"/>
        <v>0.1099</v>
      </c>
      <c r="T35" s="510">
        <f t="shared" si="8"/>
        <v>0.1099</v>
      </c>
      <c r="U35" s="510">
        <f t="shared" si="8"/>
        <v>0.1099</v>
      </c>
      <c r="V35" s="510">
        <f t="shared" si="8"/>
        <v>0.1099</v>
      </c>
      <c r="W35" s="510">
        <f t="shared" si="8"/>
        <v>0.1099</v>
      </c>
      <c r="X35" s="510">
        <f t="shared" si="8"/>
        <v>0.1099</v>
      </c>
      <c r="Y35" s="510">
        <f t="shared" si="8"/>
        <v>0.1099</v>
      </c>
      <c r="Z35" s="510">
        <f t="shared" si="8"/>
        <v>0.1099</v>
      </c>
      <c r="AA35" s="510">
        <f t="shared" si="8"/>
        <v>0.1099</v>
      </c>
      <c r="AB35" s="510">
        <f t="shared" si="8"/>
        <v>0.1099</v>
      </c>
      <c r="AC35" s="510">
        <f t="shared" si="8"/>
        <v>0.1099</v>
      </c>
      <c r="AD35" s="510">
        <f t="shared" si="8"/>
        <v>0.1099</v>
      </c>
    </row>
    <row r="36" spans="1:30" ht="14.4">
      <c r="A36" s="79"/>
      <c r="B36" s="79" t="s">
        <v>894</v>
      </c>
      <c r="C36" s="510">
        <f t="shared" si="1"/>
        <v>0.088300000000000003</v>
      </c>
      <c r="D36" s="510">
        <f t="shared" si="1"/>
        <v>0.085599999999999996</v>
      </c>
      <c r="E36" s="510">
        <f t="shared" si="3"/>
        <v>0.088157142857142864</v>
      </c>
      <c r="F36" s="510">
        <f t="shared" si="9" ref="F36:AD36">E36</f>
        <v>0.088157142857142864</v>
      </c>
      <c r="G36" s="510">
        <f t="shared" si="9"/>
        <v>0.088157142857142864</v>
      </c>
      <c r="H36" s="510">
        <f t="shared" si="9"/>
        <v>0.088157142857142864</v>
      </c>
      <c r="I36" s="510">
        <f t="shared" si="9"/>
        <v>0.088157142857142864</v>
      </c>
      <c r="J36" s="510">
        <f t="shared" si="9"/>
        <v>0.088157142857142864</v>
      </c>
      <c r="K36" s="510">
        <f t="shared" si="9"/>
        <v>0.088157142857142864</v>
      </c>
      <c r="L36" s="510">
        <f t="shared" si="9"/>
        <v>0.088157142857142864</v>
      </c>
      <c r="M36" s="510">
        <f t="shared" si="9"/>
        <v>0.088157142857142864</v>
      </c>
      <c r="N36" s="510">
        <f t="shared" si="9"/>
        <v>0.088157142857142864</v>
      </c>
      <c r="O36" s="510">
        <f t="shared" si="9"/>
        <v>0.088157142857142864</v>
      </c>
      <c r="P36" s="510">
        <f t="shared" si="9"/>
        <v>0.088157142857142864</v>
      </c>
      <c r="Q36" s="510">
        <f t="shared" si="9"/>
        <v>0.088157142857142864</v>
      </c>
      <c r="R36" s="510">
        <f t="shared" si="9"/>
        <v>0.088157142857142864</v>
      </c>
      <c r="S36" s="510">
        <f t="shared" si="9"/>
        <v>0.088157142857142864</v>
      </c>
      <c r="T36" s="510">
        <f t="shared" si="9"/>
        <v>0.088157142857142864</v>
      </c>
      <c r="U36" s="510">
        <f t="shared" si="9"/>
        <v>0.088157142857142864</v>
      </c>
      <c r="V36" s="510">
        <f t="shared" si="9"/>
        <v>0.088157142857142864</v>
      </c>
      <c r="W36" s="510">
        <f t="shared" si="9"/>
        <v>0.088157142857142864</v>
      </c>
      <c r="X36" s="510">
        <f t="shared" si="9"/>
        <v>0.088157142857142864</v>
      </c>
      <c r="Y36" s="510">
        <f t="shared" si="9"/>
        <v>0.088157142857142864</v>
      </c>
      <c r="Z36" s="510">
        <f t="shared" si="9"/>
        <v>0.088157142857142864</v>
      </c>
      <c r="AA36" s="510">
        <f t="shared" si="9"/>
        <v>0.088157142857142864</v>
      </c>
      <c r="AB36" s="510">
        <f t="shared" si="9"/>
        <v>0.088157142857142864</v>
      </c>
      <c r="AC36" s="510">
        <f t="shared" si="9"/>
        <v>0.088157142857142864</v>
      </c>
      <c r="AD36" s="510">
        <f t="shared" si="9"/>
        <v>0.088157142857142864</v>
      </c>
    </row>
    <row r="37" spans="1:30" ht="14.4">
      <c r="A37" s="79"/>
      <c r="B37" s="79" t="s">
        <v>890</v>
      </c>
      <c r="C37" s="510">
        <f t="shared" si="1"/>
        <v>0.092937500000000006</v>
      </c>
      <c r="D37" s="510">
        <f t="shared" si="1"/>
        <v>0.087999999999999995</v>
      </c>
      <c r="E37" s="510">
        <f t="shared" si="3"/>
        <v>0.088157142857142864</v>
      </c>
      <c r="F37" s="510">
        <f t="shared" si="10" ref="F37:AD37">E37</f>
        <v>0.088157142857142864</v>
      </c>
      <c r="G37" s="510">
        <f t="shared" si="10"/>
        <v>0.088157142857142864</v>
      </c>
      <c r="H37" s="510">
        <f t="shared" si="10"/>
        <v>0.088157142857142864</v>
      </c>
      <c r="I37" s="510">
        <f t="shared" si="10"/>
        <v>0.088157142857142864</v>
      </c>
      <c r="J37" s="510">
        <f t="shared" si="10"/>
        <v>0.088157142857142864</v>
      </c>
      <c r="K37" s="510">
        <f t="shared" si="10"/>
        <v>0.088157142857142864</v>
      </c>
      <c r="L37" s="510">
        <f t="shared" si="10"/>
        <v>0.088157142857142864</v>
      </c>
      <c r="M37" s="510">
        <f t="shared" si="10"/>
        <v>0.088157142857142864</v>
      </c>
      <c r="N37" s="510">
        <f t="shared" si="10"/>
        <v>0.088157142857142864</v>
      </c>
      <c r="O37" s="510">
        <f t="shared" si="10"/>
        <v>0.088157142857142864</v>
      </c>
      <c r="P37" s="510">
        <f t="shared" si="10"/>
        <v>0.088157142857142864</v>
      </c>
      <c r="Q37" s="510">
        <f t="shared" si="10"/>
        <v>0.088157142857142864</v>
      </c>
      <c r="R37" s="510">
        <f t="shared" si="10"/>
        <v>0.088157142857142864</v>
      </c>
      <c r="S37" s="510">
        <f t="shared" si="10"/>
        <v>0.088157142857142864</v>
      </c>
      <c r="T37" s="510">
        <f t="shared" si="10"/>
        <v>0.088157142857142864</v>
      </c>
      <c r="U37" s="510">
        <f t="shared" si="10"/>
        <v>0.088157142857142864</v>
      </c>
      <c r="V37" s="510">
        <f t="shared" si="10"/>
        <v>0.088157142857142864</v>
      </c>
      <c r="W37" s="510">
        <f t="shared" si="10"/>
        <v>0.088157142857142864</v>
      </c>
      <c r="X37" s="510">
        <f t="shared" si="10"/>
        <v>0.088157142857142864</v>
      </c>
      <c r="Y37" s="510">
        <f t="shared" si="10"/>
        <v>0.088157142857142864</v>
      </c>
      <c r="Z37" s="510">
        <f t="shared" si="10"/>
        <v>0.088157142857142864</v>
      </c>
      <c r="AA37" s="510">
        <f t="shared" si="10"/>
        <v>0.088157142857142864</v>
      </c>
      <c r="AB37" s="510">
        <f t="shared" si="10"/>
        <v>0.088157142857142864</v>
      </c>
      <c r="AC37" s="510">
        <f t="shared" si="10"/>
        <v>0.088157142857142864</v>
      </c>
      <c r="AD37" s="510">
        <f t="shared" si="10"/>
        <v>0.088157142857142864</v>
      </c>
    </row>
    <row r="38" spans="1:2" ht="14.4">
      <c r="A38" s="79"/>
      <c r="B38" s="79"/>
    </row>
    <row r="39" spans="1:2" ht="14.4">
      <c r="A39" s="79"/>
      <c r="B39" s="46"/>
    </row>
    <row r="40" spans="1:2" ht="14.4">
      <c r="A40" s="79"/>
      <c r="B40" s="46"/>
    </row>
    <row r="41" spans="1:2" ht="14.4">
      <c r="A41" s="79"/>
      <c r="B41" s="46"/>
    </row>
    <row r="42" spans="1:2" ht="14.4">
      <c r="A42" s="79"/>
      <c r="B42" s="46"/>
    </row>
    <row r="43" ht="14.4">
      <c r="B43" s="46"/>
    </row>
    <row r="44" ht="14.4">
      <c r="B44" s="46"/>
    </row>
    <row r="45" ht="14.4">
      <c r="B45" s="46"/>
    </row>
    <row r="46" ht="14.4">
      <c r="B46" s="46"/>
    </row>
    <row r="47" ht="14.4">
      <c r="B47" s="46"/>
    </row>
    <row r="48" ht="14.4">
      <c r="B48" s="46"/>
    </row>
    <row r="49" ht="14.4">
      <c r="B49" s="46"/>
    </row>
    <row r="50" ht="14.4">
      <c r="B50" s="46"/>
    </row>
    <row r="51" ht="14.4">
      <c r="B51" s="46"/>
    </row>
    <row r="52" ht="14.4">
      <c r="B52" s="46"/>
    </row>
    <row r="53" ht="14.4">
      <c r="B53" s="46"/>
    </row>
    <row r="54" ht="14.4">
      <c r="B54" s="46"/>
    </row>
  </sheetData>
  <pageMargins left="0.7" right="0.7" top="0.75" bottom="0.75" header="0.3" footer="0.3"/>
  <pageSetup orientation="portrait" r:id="rId2"/>
  <ignoredErrors>
    <ignoredError sqref="C24:D24" formulaRange="1"/>
  </ignoredError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tint="0.39998"/>
  </sheetPr>
  <dimension ref="B1:H58"/>
  <sheetViews>
    <sheetView zoomScale="70" zoomScaleNormal="70" workbookViewId="0" topLeftCell="A1"/>
  </sheetViews>
  <sheetFormatPr defaultColWidth="8.77734375" defaultRowHeight="13.2"/>
  <cols>
    <col min="1" max="1" width="8.77777777777778" style="474"/>
    <col min="2" max="2" width="27.4444444444444" style="474" customWidth="1"/>
    <col min="3" max="3" width="19.2222222222222" style="474" bestFit="1" customWidth="1"/>
    <col min="4" max="4" width="11.7777777777778" style="474" bestFit="1" customWidth="1"/>
    <col min="5" max="5" width="16.5555555555556" style="474" bestFit="1" customWidth="1"/>
    <col min="6" max="6" width="16" style="474" bestFit="1" customWidth="1"/>
    <col min="7" max="7" width="17.7777777777778" style="474" bestFit="1" customWidth="1"/>
    <col min="8" max="8" width="8.77777777777778" style="921"/>
    <col min="9" max="16384" width="8.77777777777778" style="474"/>
  </cols>
  <sheetData>
    <row r="1" ht="13.2">
      <c r="B1" s="473" t="s">
        <v>1630</v>
      </c>
    </row>
    <row r="2" spans="2:8" ht="13.2">
      <c r="B2" s="473" t="s">
        <v>1141</v>
      </c>
      <c r="C2" s="473" t="s">
        <v>1107</v>
      </c>
      <c r="D2" s="473" t="s">
        <v>1108</v>
      </c>
      <c r="E2" s="473" t="s">
        <v>784</v>
      </c>
      <c r="F2" s="473" t="s">
        <v>1109</v>
      </c>
      <c r="G2" s="473" t="s">
        <v>1110</v>
      </c>
      <c r="H2" s="922" t="s">
        <v>791</v>
      </c>
    </row>
    <row r="3" spans="2:8" ht="14.4">
      <c r="B3" s="474" t="str">
        <f>C3&amp;" "&amp;D3</f>
        <v>Central Florida Commercial</v>
      </c>
      <c r="C3" s="475" t="s">
        <v>356</v>
      </c>
      <c r="D3" s="475" t="s">
        <v>60</v>
      </c>
      <c r="E3" s="476">
        <v>2015</v>
      </c>
      <c r="F3" s="477">
        <v>112502811.28999999</v>
      </c>
      <c r="G3" s="478">
        <v>13738710</v>
      </c>
      <c r="H3" s="923">
        <f t="shared" si="0" ref="H3:H29">IFERROR(G3/F3,"")</f>
        <v>0.12211881500974713</v>
      </c>
    </row>
    <row r="4" spans="2:8" ht="14.4">
      <c r="B4" s="474" t="str">
        <f t="shared" si="1" ref="B4:B29">C4&amp;" "&amp;D4</f>
        <v>Central Florida Other</v>
      </c>
      <c r="C4" s="475" t="s">
        <v>356</v>
      </c>
      <c r="D4" s="475" t="s">
        <v>1111</v>
      </c>
      <c r="E4" s="476">
        <v>2015</v>
      </c>
      <c r="F4" s="477">
        <v>14024458</v>
      </c>
      <c r="G4" s="478">
        <v>2001869</v>
      </c>
      <c r="H4" s="923">
        <f t="shared" si="0"/>
        <v>0.14274127385172389</v>
      </c>
    </row>
    <row r="5" spans="2:8" ht="14.4">
      <c r="B5" s="474" t="str">
        <f t="shared" si="1"/>
        <v>Central Florida Residential</v>
      </c>
      <c r="C5" s="475" t="s">
        <v>356</v>
      </c>
      <c r="D5" s="475" t="s">
        <v>61</v>
      </c>
      <c r="E5" s="476">
        <v>2015</v>
      </c>
      <c r="F5" s="477">
        <v>344601795.24000001</v>
      </c>
      <c r="G5" s="478">
        <v>47407580</v>
      </c>
      <c r="H5" s="923">
        <f t="shared" si="0"/>
        <v>0.13757206333467503</v>
      </c>
    </row>
    <row r="6" spans="2:8" ht="14.4">
      <c r="B6" s="474" t="str">
        <f t="shared" si="1"/>
        <v>Clay Commercial</v>
      </c>
      <c r="C6" s="475" t="s">
        <v>354</v>
      </c>
      <c r="D6" s="475" t="s">
        <v>60</v>
      </c>
      <c r="E6" s="476">
        <v>2015</v>
      </c>
      <c r="F6" s="477">
        <v>843259355</v>
      </c>
      <c r="G6" s="478">
        <v>97833150.250000015</v>
      </c>
      <c r="H6" s="923">
        <f t="shared" si="0"/>
        <v>0.11601786528653454</v>
      </c>
    </row>
    <row r="7" spans="2:8" ht="14.4">
      <c r="B7" s="474" t="str">
        <f t="shared" si="1"/>
        <v>Clay Other</v>
      </c>
      <c r="C7" s="475" t="s">
        <v>354</v>
      </c>
      <c r="D7" s="475" t="s">
        <v>1111</v>
      </c>
      <c r="E7" s="476">
        <v>2015</v>
      </c>
      <c r="F7" s="477">
        <v>109341</v>
      </c>
      <c r="G7" s="478">
        <v>18644.50</v>
      </c>
      <c r="H7" s="923">
        <f t="shared" si="0"/>
        <v>0.17051700642942722</v>
      </c>
    </row>
    <row r="8" spans="2:8" ht="14.4">
      <c r="B8" s="474" t="str">
        <f t="shared" si="1"/>
        <v>Clay Residential</v>
      </c>
      <c r="C8" s="475" t="s">
        <v>354</v>
      </c>
      <c r="D8" s="475" t="s">
        <v>61</v>
      </c>
      <c r="E8" s="476">
        <v>2015</v>
      </c>
      <c r="F8" s="477">
        <v>2154173352</v>
      </c>
      <c r="G8" s="478">
        <v>263392944.58000001</v>
      </c>
      <c r="H8" s="923">
        <f t="shared" si="0"/>
        <v>0.12227100680428435</v>
      </c>
    </row>
    <row r="9" spans="2:8" ht="14.4">
      <c r="B9" s="474" t="str">
        <f t="shared" si="1"/>
        <v>Glades Commercial</v>
      </c>
      <c r="C9" s="475" t="s">
        <v>352</v>
      </c>
      <c r="D9" s="475" t="s">
        <v>60</v>
      </c>
      <c r="E9" s="476">
        <v>2015</v>
      </c>
      <c r="F9" s="477">
        <v>139823698</v>
      </c>
      <c r="G9" s="478">
        <v>18170190.840000004</v>
      </c>
      <c r="H9" s="923">
        <f t="shared" si="0"/>
        <v>0.12995072437577787</v>
      </c>
    </row>
    <row r="10" spans="2:8" ht="14.4">
      <c r="B10" s="474" t="str">
        <f t="shared" si="1"/>
        <v>Glades Other</v>
      </c>
      <c r="C10" s="475" t="s">
        <v>352</v>
      </c>
      <c r="D10" s="475" t="s">
        <v>1111</v>
      </c>
      <c r="E10" s="476">
        <v>2015</v>
      </c>
      <c r="F10" s="477">
        <v>21799382</v>
      </c>
      <c r="G10" s="478">
        <v>4172848</v>
      </c>
      <c r="H10" s="923">
        <f t="shared" si="0"/>
        <v>0.19142047237852888</v>
      </c>
    </row>
    <row r="11" spans="2:8" ht="14.4">
      <c r="B11" s="474" t="str">
        <f t="shared" si="1"/>
        <v>Glades Residential</v>
      </c>
      <c r="C11" s="475" t="s">
        <v>352</v>
      </c>
      <c r="D11" s="475" t="s">
        <v>61</v>
      </c>
      <c r="E11" s="476">
        <v>2015</v>
      </c>
      <c r="F11" s="477">
        <v>153985287</v>
      </c>
      <c r="G11" s="478">
        <v>23472230.399999999</v>
      </c>
      <c r="H11" s="923">
        <f t="shared" si="0"/>
        <v>0.1524316436803472</v>
      </c>
    </row>
    <row r="12" spans="2:8" ht="14.4">
      <c r="B12" s="474" t="str">
        <f t="shared" si="1"/>
        <v>Peace River Commercial</v>
      </c>
      <c r="C12" s="475" t="s">
        <v>349</v>
      </c>
      <c r="D12" s="475" t="s">
        <v>60</v>
      </c>
      <c r="E12" s="476">
        <v>2015</v>
      </c>
      <c r="F12" s="477">
        <v>216829467</v>
      </c>
      <c r="G12" s="478">
        <v>27297750.140000001</v>
      </c>
      <c r="H12" s="923">
        <f t="shared" si="0"/>
        <v>0.12589502025571092</v>
      </c>
    </row>
    <row r="13" spans="2:8" ht="14.4">
      <c r="B13" s="474" t="str">
        <f t="shared" si="1"/>
        <v>Peace River Other</v>
      </c>
      <c r="C13" s="475" t="s">
        <v>349</v>
      </c>
      <c r="D13" s="475" t="s">
        <v>1111</v>
      </c>
      <c r="E13" s="476">
        <v>2015</v>
      </c>
      <c r="F13" s="477">
        <v>13057219</v>
      </c>
      <c r="G13" s="478">
        <v>1329216.52</v>
      </c>
      <c r="H13" s="923">
        <f t="shared" si="0"/>
        <v>0.10179935865363061</v>
      </c>
    </row>
    <row r="14" spans="2:8" ht="14.4">
      <c r="B14" s="474" t="str">
        <f t="shared" si="1"/>
        <v>Peace River Residential</v>
      </c>
      <c r="C14" s="475" t="s">
        <v>349</v>
      </c>
      <c r="D14" s="475" t="s">
        <v>61</v>
      </c>
      <c r="E14" s="476">
        <v>2015</v>
      </c>
      <c r="F14" s="477">
        <v>449435653</v>
      </c>
      <c r="G14" s="478">
        <v>62768908.859999999</v>
      </c>
      <c r="H14" s="923">
        <f t="shared" si="0"/>
        <v>0.13966161438465141</v>
      </c>
    </row>
    <row r="15" spans="2:8" ht="14.4">
      <c r="B15" s="474" t="str">
        <f t="shared" si="1"/>
        <v>Sumter Commercial</v>
      </c>
      <c r="C15" s="475" t="s">
        <v>347</v>
      </c>
      <c r="D15" s="475" t="s">
        <v>60</v>
      </c>
      <c r="E15" s="476">
        <v>2015</v>
      </c>
      <c r="F15" s="477">
        <v>965263014</v>
      </c>
      <c r="G15" s="478">
        <v>95299642</v>
      </c>
      <c r="H15" s="923">
        <f t="shared" si="0"/>
        <v>0.09872919672440697</v>
      </c>
    </row>
    <row r="16" spans="2:8" ht="14.4">
      <c r="B16" s="474" t="str">
        <f t="shared" si="1"/>
        <v>Sumter Other</v>
      </c>
      <c r="C16" s="475" t="s">
        <v>347</v>
      </c>
      <c r="D16" s="475" t="s">
        <v>1111</v>
      </c>
      <c r="E16" s="476">
        <v>2015</v>
      </c>
      <c r="F16" s="477">
        <v>16358133</v>
      </c>
      <c r="G16" s="478">
        <v>2499383</v>
      </c>
      <c r="H16" s="923">
        <f t="shared" si="0"/>
        <v>0.15279145853625228</v>
      </c>
    </row>
    <row r="17" spans="2:8" ht="14.4">
      <c r="B17" s="474" t="str">
        <f t="shared" si="1"/>
        <v>Sumter Residential</v>
      </c>
      <c r="C17" s="475" t="s">
        <v>347</v>
      </c>
      <c r="D17" s="475" t="s">
        <v>61</v>
      </c>
      <c r="E17" s="476">
        <v>2015</v>
      </c>
      <c r="F17" s="477">
        <v>2167741983</v>
      </c>
      <c r="G17" s="478">
        <v>268025012</v>
      </c>
      <c r="H17" s="923">
        <f t="shared" si="0"/>
        <v>0.12364248794456273</v>
      </c>
    </row>
    <row r="18" spans="2:8" ht="14.4">
      <c r="B18" s="474" t="str">
        <f t="shared" si="1"/>
        <v>Suwannee Valley Commercial</v>
      </c>
      <c r="C18" s="475" t="s">
        <v>1112</v>
      </c>
      <c r="D18" s="475" t="s">
        <v>60</v>
      </c>
      <c r="E18" s="476">
        <v>2015</v>
      </c>
      <c r="F18" s="477">
        <v>125533562</v>
      </c>
      <c r="G18" s="478">
        <v>20839010.509648535</v>
      </c>
      <c r="H18" s="923">
        <f t="shared" si="0"/>
        <v>0.16600349880654652</v>
      </c>
    </row>
    <row r="19" spans="2:8" ht="14.4">
      <c r="B19" s="474" t="str">
        <f t="shared" si="1"/>
        <v>Suwannee Valley Other</v>
      </c>
      <c r="C19" s="475" t="s">
        <v>1112</v>
      </c>
      <c r="D19" s="475" t="s">
        <v>1111</v>
      </c>
      <c r="E19" s="476">
        <v>2015</v>
      </c>
      <c r="F19" s="479" t="s">
        <v>662</v>
      </c>
      <c r="G19" s="480" t="s">
        <v>662</v>
      </c>
      <c r="H19" s="923" t="str">
        <f t="shared" si="0"/>
        <v/>
      </c>
    </row>
    <row r="20" spans="2:8" ht="14.4">
      <c r="B20" s="474" t="str">
        <f t="shared" si="1"/>
        <v>Suwannee Valley Residential</v>
      </c>
      <c r="C20" s="475" t="s">
        <v>1112</v>
      </c>
      <c r="D20" s="475" t="s">
        <v>61</v>
      </c>
      <c r="E20" s="476">
        <v>2015</v>
      </c>
      <c r="F20" s="477">
        <v>288007840</v>
      </c>
      <c r="G20" s="478">
        <v>38010071.509051457</v>
      </c>
      <c r="H20" s="923">
        <f t="shared" si="0"/>
        <v>0.13197582228682198</v>
      </c>
    </row>
    <row r="21" spans="2:8" ht="14.4">
      <c r="B21" s="492" t="str">
        <f t="shared" si="1"/>
        <v>Talquin Commercial</v>
      </c>
      <c r="C21" s="493" t="s">
        <v>341</v>
      </c>
      <c r="D21" s="493" t="s">
        <v>60</v>
      </c>
      <c r="E21" s="494">
        <v>2015</v>
      </c>
      <c r="F21" s="495">
        <v>274106151</v>
      </c>
      <c r="G21" s="496">
        <v>29109759.569899999</v>
      </c>
      <c r="H21" s="924">
        <f t="shared" si="0"/>
        <v>0.10619885567580714</v>
      </c>
    </row>
    <row r="22" spans="2:8" ht="14.4">
      <c r="B22" s="492" t="str">
        <f t="shared" si="1"/>
        <v>Talquin Other</v>
      </c>
      <c r="C22" s="493" t="s">
        <v>341</v>
      </c>
      <c r="D22" s="493" t="s">
        <v>1111</v>
      </c>
      <c r="E22" s="494">
        <v>2015</v>
      </c>
      <c r="F22" s="495">
        <v>29827697</v>
      </c>
      <c r="G22" s="496">
        <v>2977456.7497</v>
      </c>
      <c r="H22" s="924">
        <f t="shared" si="0"/>
        <v>0.099821878628443897</v>
      </c>
    </row>
    <row r="23" spans="2:8" ht="14.4">
      <c r="B23" s="492" t="str">
        <f t="shared" si="1"/>
        <v>Talquin Residential</v>
      </c>
      <c r="C23" s="493" t="s">
        <v>341</v>
      </c>
      <c r="D23" s="493" t="s">
        <v>61</v>
      </c>
      <c r="E23" s="494">
        <v>2015</v>
      </c>
      <c r="F23" s="495">
        <v>673963607</v>
      </c>
      <c r="G23" s="496">
        <v>88120343.269600004</v>
      </c>
      <c r="H23" s="924">
        <f t="shared" si="0"/>
        <v>0.13074940895080112</v>
      </c>
    </row>
    <row r="24" spans="2:8" ht="14.4">
      <c r="B24" s="474" t="str">
        <f t="shared" si="1"/>
        <v>Tri-County Commercial</v>
      </c>
      <c r="C24" s="475" t="s">
        <v>339</v>
      </c>
      <c r="D24" s="475" t="s">
        <v>60</v>
      </c>
      <c r="E24" s="476">
        <v>2015</v>
      </c>
      <c r="F24" s="477">
        <v>114738347</v>
      </c>
      <c r="G24" s="478">
        <v>11799239.76</v>
      </c>
      <c r="H24" s="923">
        <f t="shared" si="0"/>
        <v>0.10283606194884436</v>
      </c>
    </row>
    <row r="25" spans="2:8" ht="14.4">
      <c r="B25" s="474" t="str">
        <f t="shared" si="1"/>
        <v>Tri-County Other</v>
      </c>
      <c r="C25" s="475" t="s">
        <v>339</v>
      </c>
      <c r="D25" s="475" t="s">
        <v>1111</v>
      </c>
      <c r="E25" s="476">
        <v>2015</v>
      </c>
      <c r="F25" s="477">
        <v>18540234</v>
      </c>
      <c r="G25" s="478">
        <v>2784687.2699999996</v>
      </c>
      <c r="H25" s="923">
        <f t="shared" si="0"/>
        <v>0.15019698618690572</v>
      </c>
    </row>
    <row r="26" spans="2:8" ht="14.4">
      <c r="B26" s="474" t="str">
        <f t="shared" si="1"/>
        <v>Tri-County Residential</v>
      </c>
      <c r="C26" s="475" t="s">
        <v>339</v>
      </c>
      <c r="D26" s="475" t="s">
        <v>61</v>
      </c>
      <c r="E26" s="476">
        <v>2015</v>
      </c>
      <c r="F26" s="477">
        <v>166900159</v>
      </c>
      <c r="G26" s="478">
        <v>24908863.57</v>
      </c>
      <c r="H26" s="923">
        <f t="shared" si="0"/>
        <v>0.14924409730490432</v>
      </c>
    </row>
    <row r="27" spans="2:8" ht="14.4">
      <c r="B27" s="474" t="str">
        <f t="shared" si="1"/>
        <v>Withlacoochee River Commercial</v>
      </c>
      <c r="C27" s="475" t="s">
        <v>1113</v>
      </c>
      <c r="D27" s="475" t="s">
        <v>60</v>
      </c>
      <c r="E27" s="476">
        <v>2015</v>
      </c>
      <c r="F27" s="477">
        <v>1130137643</v>
      </c>
      <c r="G27" s="478">
        <v>109659465</v>
      </c>
      <c r="H27" s="923">
        <f t="shared" si="0"/>
        <v>0.097031955071334622</v>
      </c>
    </row>
    <row r="28" spans="2:8" ht="14.4">
      <c r="B28" s="474" t="str">
        <f t="shared" si="1"/>
        <v>Withlacoochee River Other</v>
      </c>
      <c r="C28" s="475" t="s">
        <v>1113</v>
      </c>
      <c r="D28" s="475" t="s">
        <v>1111</v>
      </c>
      <c r="E28" s="476">
        <v>2015</v>
      </c>
      <c r="F28" s="477">
        <v>21830706</v>
      </c>
      <c r="G28" s="478">
        <v>2032954</v>
      </c>
      <c r="H28" s="923">
        <f t="shared" si="0"/>
        <v>0.093123603057088486</v>
      </c>
    </row>
    <row r="29" spans="2:8" ht="14.4">
      <c r="B29" s="474" t="str">
        <f t="shared" si="1"/>
        <v>Withlacoochee River Residential</v>
      </c>
      <c r="C29" s="475" t="s">
        <v>1113</v>
      </c>
      <c r="D29" s="475" t="s">
        <v>61</v>
      </c>
      <c r="E29" s="476">
        <v>2015</v>
      </c>
      <c r="F29" s="477">
        <v>2659200725</v>
      </c>
      <c r="G29" s="478">
        <v>328870046</v>
      </c>
      <c r="H29" s="923">
        <f t="shared" si="0"/>
        <v>0.12367251667321955</v>
      </c>
    </row>
    <row r="30" ht="13.2"/>
    <row r="31" spans="4:8" ht="13.2">
      <c r="D31" s="473" t="s">
        <v>1108</v>
      </c>
      <c r="E31" s="473" t="s">
        <v>784</v>
      </c>
      <c r="F31" s="473" t="s">
        <v>1109</v>
      </c>
      <c r="G31" s="473" t="s">
        <v>1110</v>
      </c>
      <c r="H31" s="922" t="s">
        <v>791</v>
      </c>
    </row>
    <row r="32" spans="4:8" ht="14.4">
      <c r="D32" s="542" t="s">
        <v>60</v>
      </c>
      <c r="E32" s="543">
        <v>2015</v>
      </c>
      <c r="F32" s="544">
        <f>SUMIFS($F$3:$F$29,$D$3:$D$29,$D32)</f>
        <v>3922194048.29</v>
      </c>
      <c r="G32" s="545">
        <f>SUMIFS($G$3:$G$29,$D$3:$D$29,$D32)</f>
        <v>423746918.06954855</v>
      </c>
      <c r="H32" s="925">
        <f>G32/F32</f>
        <v>0.10803823392019421</v>
      </c>
    </row>
    <row r="33" spans="4:8" ht="14.4">
      <c r="D33" s="474" t="s">
        <v>1111</v>
      </c>
      <c r="E33" s="476">
        <v>2015</v>
      </c>
      <c r="F33" s="477">
        <f>SUMIFS($F$3:$F$29,$D$3:$D$29,$D33)</f>
        <v>135547170</v>
      </c>
      <c r="G33" s="478">
        <f>SUMIFS($G$3:$G$29,$D$3:$D$29,$D33)</f>
        <v>17817059.039700001</v>
      </c>
      <c r="H33" s="921">
        <f>G33/F33</f>
        <v>0.13144545208653197</v>
      </c>
    </row>
    <row r="34" spans="4:8" ht="14.4">
      <c r="D34" s="474" t="s">
        <v>61</v>
      </c>
      <c r="E34" s="476">
        <v>2015</v>
      </c>
      <c r="F34" s="477">
        <f>SUMIFS($F$3:$F$29,$D$3:$D$29,$D34)</f>
        <v>9058010401.2399998</v>
      </c>
      <c r="G34" s="478">
        <f>SUMIFS($G$3:$G$29,$D$3:$D$29,$D34)</f>
        <v>1144976000.1886516</v>
      </c>
      <c r="H34" s="921">
        <f>G34/F34</f>
        <v>0.12640480077522429</v>
      </c>
    </row>
    <row r="35" spans="4:8" ht="14.4">
      <c r="D35" s="474" t="s">
        <v>131</v>
      </c>
      <c r="E35" s="476">
        <v>2015</v>
      </c>
      <c r="F35" s="477">
        <f>SUM($F$3:$F$29)</f>
        <v>13115751619.529999</v>
      </c>
      <c r="G35" s="478">
        <f>SUM($G$3:$G$29)</f>
        <v>1586539977.2979</v>
      </c>
      <c r="H35" s="921">
        <f>G35/F35</f>
        <v>0.12096447259152605</v>
      </c>
    </row>
    <row r="36" ht="14.4">
      <c r="D36"/>
    </row>
    <row r="37" ht="14.4">
      <c r="D37"/>
    </row>
    <row r="38" ht="14.4">
      <c r="D38"/>
    </row>
    <row r="39" ht="14.4">
      <c r="D39"/>
    </row>
    <row r="40" ht="14.4">
      <c r="D40"/>
    </row>
    <row r="41" ht="14.4">
      <c r="D41"/>
    </row>
    <row r="42" ht="14.4">
      <c r="D42"/>
    </row>
    <row r="43" ht="14.4">
      <c r="D43"/>
    </row>
    <row r="44" ht="14.4">
      <c r="D44"/>
    </row>
    <row r="45" ht="14.4">
      <c r="D45"/>
    </row>
    <row r="46" ht="14.4">
      <c r="D46"/>
    </row>
    <row r="47" ht="14.4">
      <c r="D47"/>
    </row>
    <row r="48" ht="14.4">
      <c r="D48"/>
    </row>
    <row r="49" ht="14.4">
      <c r="D49"/>
    </row>
    <row r="50" ht="14.4">
      <c r="D50"/>
    </row>
    <row r="51" ht="14.4">
      <c r="D51"/>
    </row>
    <row r="52" ht="14.4">
      <c r="D52"/>
    </row>
    <row r="53" ht="14.4">
      <c r="D53"/>
    </row>
    <row r="54" ht="14.4">
      <c r="D54"/>
    </row>
    <row r="55" ht="14.4">
      <c r="D55"/>
    </row>
    <row r="56" ht="14.4">
      <c r="D56"/>
    </row>
    <row r="57" ht="14.4">
      <c r="D57"/>
    </row>
    <row r="58" ht="14.4">
      <c r="D58"/>
    </row>
  </sheetData>
  <pageMargins left="0.7" right="0.7" top="0.75" bottom="0.75" header="0.3" footer="0.3"/>
  <pageSetup orientation="portrait" r:id="rId2"/>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0" tint="-0.24997"/>
  </sheetPr>
  <dimension ref="B1:H40"/>
  <sheetViews>
    <sheetView zoomScale="70" zoomScaleNormal="70" workbookViewId="0" topLeftCell="A10">
      <selection pane="topLeft" activeCell="A1" sqref="A1"/>
    </sheetView>
  </sheetViews>
  <sheetFormatPr defaultColWidth="8.88888888888889" defaultRowHeight="14.4"/>
  <cols>
    <col min="2" max="2" width="28.4444444444444" customWidth="1"/>
    <col min="3" max="3" width="34.5555555555556" bestFit="1" customWidth="1"/>
    <col min="4" max="5" width="32.7777777777778" customWidth="1"/>
    <col min="6" max="8" width="8.88888888888889" customWidth="1"/>
  </cols>
  <sheetData>
    <row r="1" ht="14.4">
      <c r="B1" s="473" t="s">
        <v>1630</v>
      </c>
    </row>
    <row r="2" ht="15" thickBot="1">
      <c r="B2" s="532" t="s">
        <v>1555</v>
      </c>
    </row>
    <row r="3" spans="2:5" ht="15" thickBot="1">
      <c r="B3" s="524" t="s">
        <v>1545</v>
      </c>
      <c r="C3" s="525" t="s">
        <v>192</v>
      </c>
      <c r="D3" s="525" t="s">
        <v>1546</v>
      </c>
      <c r="E3" s="525" t="s">
        <v>1547</v>
      </c>
    </row>
    <row r="4" spans="2:5" ht="15" thickBot="1">
      <c r="B4" s="526">
        <v>270108002</v>
      </c>
      <c r="C4" s="527" t="s">
        <v>1548</v>
      </c>
      <c r="D4" s="528">
        <v>23</v>
      </c>
      <c r="E4" s="529">
        <v>776</v>
      </c>
    </row>
    <row r="5" spans="2:5" ht="15" thickBot="1">
      <c r="B5" s="526">
        <v>270108010</v>
      </c>
      <c r="C5" s="527" t="s">
        <v>1549</v>
      </c>
      <c r="D5" s="528">
        <v>102</v>
      </c>
      <c r="E5" s="529">
        <v>122</v>
      </c>
    </row>
    <row r="6" spans="2:5" ht="15" thickBot="1">
      <c r="B6" s="526">
        <v>270651732</v>
      </c>
      <c r="C6" s="527" t="s">
        <v>1550</v>
      </c>
      <c r="D6" s="528">
        <v>90</v>
      </c>
      <c r="E6" s="529">
        <v>600</v>
      </c>
    </row>
    <row r="7" spans="2:5" ht="15" thickBot="1">
      <c r="B7" s="526">
        <v>270654712</v>
      </c>
      <c r="C7" s="527" t="s">
        <v>1551</v>
      </c>
      <c r="D7" s="528">
        <v>10</v>
      </c>
      <c r="E7" s="529">
        <v>750</v>
      </c>
    </row>
    <row r="8" spans="2:5" ht="15" thickBot="1">
      <c r="B8" s="526">
        <v>270654710</v>
      </c>
      <c r="C8" s="527" t="s">
        <v>1552</v>
      </c>
      <c r="D8" s="528">
        <v>19</v>
      </c>
      <c r="E8" s="529">
        <v>940</v>
      </c>
    </row>
    <row r="9" spans="2:5" ht="15" thickBot="1">
      <c r="B9" s="530"/>
      <c r="C9" s="531" t="s">
        <v>1553</v>
      </c>
      <c r="D9" s="528">
        <v>244</v>
      </c>
      <c r="E9" s="529">
        <v>109652</v>
      </c>
    </row>
    <row r="10" ht="14.4">
      <c r="B10" t="s">
        <v>1554</v>
      </c>
    </row>
    <row r="11" ht="14.4"/>
    <row r="12" spans="2:5" ht="14.55" customHeight="1">
      <c r="B12" s="1612" t="s">
        <v>1556</v>
      </c>
      <c r="C12" s="1612"/>
      <c r="D12" s="1612"/>
      <c r="E12" s="1612"/>
    </row>
    <row r="13" spans="2:5" ht="14.4">
      <c r="B13" s="1612"/>
      <c r="C13" s="1612"/>
      <c r="D13" s="1612"/>
      <c r="E13" s="1612"/>
    </row>
    <row r="14" spans="2:5" ht="14.4">
      <c r="B14" s="1612"/>
      <c r="C14" s="1612"/>
      <c r="D14" s="1612"/>
      <c r="E14" s="1612"/>
    </row>
    <row r="15" spans="2:5" ht="14.4">
      <c r="B15" s="1612"/>
      <c r="C15" s="1612"/>
      <c r="D15" s="1612"/>
      <c r="E15" s="1612"/>
    </row>
    <row r="16" spans="2:5" ht="14.4">
      <c r="B16" s="1612"/>
      <c r="C16" s="1612"/>
      <c r="D16" s="1612"/>
      <c r="E16" s="1612"/>
    </row>
    <row r="17" spans="2:5" ht="14.4">
      <c r="B17" s="1612"/>
      <c r="C17" s="1612"/>
      <c r="D17" s="1612"/>
      <c r="E17" s="1612"/>
    </row>
    <row r="18" spans="2:5" ht="14.4">
      <c r="B18" s="1612"/>
      <c r="C18" s="1612"/>
      <c r="D18" s="1612"/>
      <c r="E18" s="1612"/>
    </row>
    <row r="19" spans="2:5" ht="14.4">
      <c r="B19" s="1612"/>
      <c r="C19" s="1612"/>
      <c r="D19" s="1612"/>
      <c r="E19" s="1612"/>
    </row>
    <row r="20" spans="2:5" ht="14.4">
      <c r="B20" s="1612"/>
      <c r="C20" s="1612"/>
      <c r="D20" s="1612"/>
      <c r="E20" s="1612"/>
    </row>
    <row r="21" spans="2:5" ht="14.4">
      <c r="B21" s="1612"/>
      <c r="C21" s="1612"/>
      <c r="D21" s="1612"/>
      <c r="E21" s="1612"/>
    </row>
    <row r="22" spans="2:5" ht="14.4">
      <c r="B22" s="1612"/>
      <c r="C22" s="1612"/>
      <c r="D22" s="1612"/>
      <c r="E22" s="1612"/>
    </row>
    <row r="23" spans="2:5" ht="14.4">
      <c r="B23" s="1612"/>
      <c r="C23" s="1612"/>
      <c r="D23" s="1612"/>
      <c r="E23" s="1612"/>
    </row>
    <row r="24" spans="2:5" ht="14.4">
      <c r="B24" s="1612"/>
      <c r="C24" s="1612"/>
      <c r="D24" s="1612"/>
      <c r="E24" s="1612"/>
    </row>
    <row r="25" spans="2:5" ht="14.4">
      <c r="B25" s="1612"/>
      <c r="C25" s="1612"/>
      <c r="D25" s="1612"/>
      <c r="E25" s="1612"/>
    </row>
    <row r="26" spans="2:5" ht="14.4">
      <c r="B26" s="1612"/>
      <c r="C26" s="1612"/>
      <c r="D26" s="1612"/>
      <c r="E26" s="1612"/>
    </row>
    <row r="27" spans="2:5" ht="14.4">
      <c r="B27" s="1612"/>
      <c r="C27" s="1612"/>
      <c r="D27" s="1612"/>
      <c r="E27" s="1612"/>
    </row>
    <row r="28" ht="14.4"/>
    <row r="29" spans="2:8" ht="14.4">
      <c r="B29" s="281" t="s">
        <v>1557</v>
      </c>
      <c r="C29" s="281" t="s">
        <v>1558</v>
      </c>
      <c r="D29" s="281" t="s">
        <v>1561</v>
      </c>
      <c r="E29" s="281"/>
      <c r="F29" s="281"/>
      <c r="G29" s="281"/>
      <c r="H29" s="281"/>
    </row>
    <row r="30" spans="2:4" ht="14.4">
      <c r="B30" t="s">
        <v>1559</v>
      </c>
      <c r="C30" t="s">
        <v>1560</v>
      </c>
      <c r="D30" t="s">
        <v>246</v>
      </c>
    </row>
    <row r="31" spans="2:4" ht="14.4">
      <c r="B31" t="s">
        <v>1560</v>
      </c>
      <c r="C31" t="s">
        <v>1562</v>
      </c>
      <c r="D31">
        <v>24</v>
      </c>
    </row>
    <row r="32" spans="2:4" ht="14.4">
      <c r="B32" t="s">
        <v>1563</v>
      </c>
      <c r="C32" t="s">
        <v>1564</v>
      </c>
      <c r="D32">
        <v>6</v>
      </c>
    </row>
    <row r="33" spans="2:4" ht="14.4">
      <c r="B33" t="s">
        <v>1565</v>
      </c>
      <c r="C33" t="s">
        <v>1566</v>
      </c>
      <c r="D33">
        <v>9</v>
      </c>
    </row>
    <row r="34" spans="2:4" ht="14.4">
      <c r="B34" t="s">
        <v>1567</v>
      </c>
      <c r="C34" t="s">
        <v>1568</v>
      </c>
      <c r="D34">
        <v>24</v>
      </c>
    </row>
    <row r="35" spans="2:4" ht="14.4">
      <c r="B35" t="s">
        <v>1569</v>
      </c>
      <c r="C35" t="str">
        <f>C4</f>
        <v>100 watt High Bay</v>
      </c>
      <c r="D35">
        <f>D4</f>
        <v>23</v>
      </c>
    </row>
    <row r="36" spans="2:4" ht="14.4">
      <c r="B36" t="s">
        <v>1570</v>
      </c>
      <c r="C36" t="str">
        <f>C5</f>
        <v>4’ 40 watt T12 replacement - 2 bulb</v>
      </c>
      <c r="D36">
        <f t="shared" si="0" ref="C36:D39">D5</f>
        <v>102</v>
      </c>
    </row>
    <row r="37" spans="2:4" ht="14.4">
      <c r="B37" t="s">
        <v>1569</v>
      </c>
      <c r="C37" t="str">
        <f t="shared" si="0"/>
        <v>100 watt - Boiler Lighting</v>
      </c>
      <c r="D37">
        <f t="shared" si="0"/>
        <v>90</v>
      </c>
    </row>
    <row r="38" spans="2:4" ht="14.4">
      <c r="B38" t="s">
        <v>1569</v>
      </c>
      <c r="C38" t="str">
        <f t="shared" si="0"/>
        <v>100 watt High Bay - Wet Locations</v>
      </c>
      <c r="D38">
        <f t="shared" si="0"/>
        <v>10</v>
      </c>
    </row>
    <row r="39" spans="2:4" ht="14.4">
      <c r="B39" t="s">
        <v>1569</v>
      </c>
      <c r="C39" t="str">
        <f t="shared" si="0"/>
        <v>100 watt High Bay - Pancake Style</v>
      </c>
      <c r="D39">
        <f t="shared" si="0"/>
        <v>19</v>
      </c>
    </row>
    <row r="40" spans="2:4" ht="14.4">
      <c r="B40" s="1795" t="s">
        <v>131</v>
      </c>
      <c r="C40" s="1795"/>
      <c r="D40" s="281">
        <f>SUM(D30:D39)</f>
        <v>307</v>
      </c>
    </row>
  </sheetData>
  <mergeCells count="2">
    <mergeCell ref="B12:E27"/>
    <mergeCell ref="B40:C40"/>
  </mergeCells>
  <pageMargins left="0.7" right="0.7" top="0.75" bottom="0.75" header="0.3" footer="0.3"/>
  <pageSetup orientation="portrait"/>
  <headerFooter alignWithMargins="0"/>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tint="-0.24997"/>
  </sheetPr>
  <dimension ref="A1:M109"/>
  <sheetViews>
    <sheetView zoomScale="70" zoomScaleNormal="70" workbookViewId="0" topLeftCell="A1">
      <pane ySplit="3" topLeftCell="A4" activePane="bottomLeft" state="frozen"/>
      <selection pane="topLeft" activeCell="A1" sqref="A1"/>
      <selection pane="bottomLeft" activeCell="C76" sqref="C76"/>
    </sheetView>
  </sheetViews>
  <sheetFormatPr defaultColWidth="9.21875" defaultRowHeight="14.4"/>
  <cols>
    <col min="1" max="1" width="22" style="926" bestFit="1" customWidth="1"/>
    <col min="2" max="2" width="22" style="926" customWidth="1"/>
    <col min="3" max="3" width="36.7777777777778" style="926" customWidth="1"/>
    <col min="4" max="4" width="34.2222222222222" style="926" bestFit="1" customWidth="1"/>
    <col min="5" max="5" width="25.7777777777778" style="926" customWidth="1"/>
    <col min="6" max="6" width="20.8888888888889" style="926" customWidth="1"/>
    <col min="7" max="7" width="30.7777777777778" style="928" customWidth="1"/>
    <col min="8" max="8" width="6.44444444444444" style="926" bestFit="1" customWidth="1"/>
    <col min="9" max="9" width="100.777777777778" style="929" customWidth="1"/>
    <col min="10" max="10" width="31.4444444444444" style="926" bestFit="1" customWidth="1"/>
    <col min="11" max="13" width="9.22222222222222" style="926"/>
    <col min="14" max="16384" width="9.22222222222222" style="926"/>
  </cols>
  <sheetData>
    <row r="1" ht="14.4">
      <c r="B1" s="927" t="s">
        <v>1630</v>
      </c>
    </row>
    <row r="2" spans="1:2" ht="14.4">
      <c r="A2" s="930"/>
      <c r="B2" s="930" t="s">
        <v>1179</v>
      </c>
    </row>
    <row r="3" spans="1:9" ht="14.4">
      <c r="A3" s="931" t="s">
        <v>1442</v>
      </c>
      <c r="B3" s="932" t="s">
        <v>1180</v>
      </c>
      <c r="C3" s="932" t="s">
        <v>1181</v>
      </c>
      <c r="D3" s="932" t="s">
        <v>1182</v>
      </c>
      <c r="E3" s="932" t="s">
        <v>1183</v>
      </c>
      <c r="F3" s="932" t="s">
        <v>847</v>
      </c>
      <c r="G3" s="933" t="s">
        <v>1184</v>
      </c>
      <c r="H3" s="932" t="s">
        <v>784</v>
      </c>
      <c r="I3" s="933" t="s">
        <v>78</v>
      </c>
    </row>
    <row r="4" spans="1:13" ht="14.4">
      <c r="A4" s="931" t="s">
        <v>1321</v>
      </c>
      <c r="B4" s="926" t="s">
        <v>352</v>
      </c>
      <c r="C4" s="926" t="s">
        <v>1185</v>
      </c>
      <c r="D4" s="926" t="s">
        <v>799</v>
      </c>
      <c r="E4" s="926" t="s">
        <v>1186</v>
      </c>
      <c r="F4" s="926" t="s">
        <v>1187</v>
      </c>
      <c r="G4" s="928">
        <v>59</v>
      </c>
      <c r="H4" s="926">
        <v>2015</v>
      </c>
      <c r="M4" s="934"/>
    </row>
    <row r="5" spans="1:8" ht="14.4">
      <c r="A5" s="931" t="s">
        <v>1321</v>
      </c>
      <c r="B5" s="926" t="s">
        <v>352</v>
      </c>
      <c r="C5" s="926" t="s">
        <v>1185</v>
      </c>
      <c r="D5" s="926" t="s">
        <v>1188</v>
      </c>
      <c r="E5" s="926" t="s">
        <v>755</v>
      </c>
      <c r="F5" s="926" t="s">
        <v>1187</v>
      </c>
      <c r="G5" s="928">
        <v>70</v>
      </c>
      <c r="H5" s="926">
        <v>2015</v>
      </c>
    </row>
    <row r="6" spans="1:9" ht="14.4">
      <c r="A6" s="931" t="s">
        <v>259</v>
      </c>
      <c r="B6" s="926" t="s">
        <v>341</v>
      </c>
      <c r="C6" s="926" t="s">
        <v>1189</v>
      </c>
      <c r="I6" s="929" t="s">
        <v>1190</v>
      </c>
    </row>
    <row r="7" spans="1:9" ht="14.4">
      <c r="A7" s="931" t="s">
        <v>259</v>
      </c>
      <c r="B7" s="926" t="s">
        <v>341</v>
      </c>
      <c r="C7" s="926" t="s">
        <v>1191</v>
      </c>
      <c r="I7" s="929" t="s">
        <v>1190</v>
      </c>
    </row>
    <row r="8" spans="1:9" ht="14.4">
      <c r="A8" s="931" t="s">
        <v>259</v>
      </c>
      <c r="B8" s="926" t="s">
        <v>341</v>
      </c>
      <c r="C8" s="926" t="s">
        <v>1192</v>
      </c>
      <c r="F8" s="926" t="s">
        <v>1193</v>
      </c>
      <c r="I8" s="929" t="s">
        <v>1190</v>
      </c>
    </row>
    <row r="9" spans="1:9" ht="14.4">
      <c r="A9" s="931" t="s">
        <v>1321</v>
      </c>
      <c r="B9" s="926" t="s">
        <v>347</v>
      </c>
      <c r="C9" s="926" t="s">
        <v>1194</v>
      </c>
      <c r="D9" s="926" t="s">
        <v>793</v>
      </c>
      <c r="E9" s="926" t="s">
        <v>755</v>
      </c>
      <c r="G9" s="928">
        <v>250</v>
      </c>
      <c r="H9" s="926">
        <v>2016</v>
      </c>
      <c r="I9" s="929" t="s">
        <v>1195</v>
      </c>
    </row>
    <row r="10" spans="1:9" ht="14.4">
      <c r="A10" s="931" t="s">
        <v>259</v>
      </c>
      <c r="B10" s="926" t="s">
        <v>347</v>
      </c>
      <c r="C10" s="926" t="s">
        <v>1194</v>
      </c>
      <c r="E10" s="926" t="s">
        <v>755</v>
      </c>
      <c r="G10" s="928">
        <v>250</v>
      </c>
      <c r="H10" s="926">
        <v>2016</v>
      </c>
      <c r="I10" s="929" t="s">
        <v>1196</v>
      </c>
    </row>
    <row r="11" spans="1:8" ht="14.4">
      <c r="A11" s="931" t="s">
        <v>1321</v>
      </c>
      <c r="B11" s="926" t="s">
        <v>347</v>
      </c>
      <c r="C11" s="926" t="s">
        <v>1197</v>
      </c>
      <c r="D11" s="926" t="s">
        <v>1198</v>
      </c>
      <c r="E11" s="926" t="s">
        <v>1199</v>
      </c>
      <c r="G11" s="928">
        <v>18</v>
      </c>
      <c r="H11" s="926">
        <v>2016</v>
      </c>
    </row>
    <row r="12" spans="1:9" ht="28.8">
      <c r="A12" s="931" t="s">
        <v>1321</v>
      </c>
      <c r="B12" s="926" t="s">
        <v>349</v>
      </c>
      <c r="C12" s="926" t="s">
        <v>1200</v>
      </c>
      <c r="D12" s="926" t="s">
        <v>1201</v>
      </c>
      <c r="E12" s="926" t="s">
        <v>1202</v>
      </c>
      <c r="G12" s="928" t="s">
        <v>1203</v>
      </c>
      <c r="I12" s="929" t="s">
        <v>1204</v>
      </c>
    </row>
    <row r="13" spans="1:9" ht="14.4">
      <c r="A13" s="931" t="s">
        <v>1321</v>
      </c>
      <c r="B13" s="926" t="s">
        <v>349</v>
      </c>
      <c r="C13" s="926" t="s">
        <v>1205</v>
      </c>
      <c r="D13" s="926" t="s">
        <v>1206</v>
      </c>
      <c r="E13" s="926" t="s">
        <v>1207</v>
      </c>
      <c r="F13" s="926" t="s">
        <v>1187</v>
      </c>
      <c r="G13" s="928">
        <v>6</v>
      </c>
      <c r="I13" s="935" t="s">
        <v>1208</v>
      </c>
    </row>
    <row r="14" spans="1:9" ht="14.4">
      <c r="A14" s="931" t="s">
        <v>259</v>
      </c>
      <c r="B14" s="926" t="s">
        <v>349</v>
      </c>
      <c r="C14" s="926" t="s">
        <v>1205</v>
      </c>
      <c r="D14" s="926" t="s">
        <v>1206</v>
      </c>
      <c r="E14" s="926" t="s">
        <v>1209</v>
      </c>
      <c r="F14" s="926" t="s">
        <v>1187</v>
      </c>
      <c r="G14" s="928">
        <v>2</v>
      </c>
      <c r="I14" s="935" t="s">
        <v>1210</v>
      </c>
    </row>
    <row r="15" spans="1:9" ht="14.4">
      <c r="A15" s="931" t="s">
        <v>259</v>
      </c>
      <c r="B15" s="926" t="s">
        <v>349</v>
      </c>
      <c r="C15" s="926" t="s">
        <v>1200</v>
      </c>
      <c r="D15" s="926" t="s">
        <v>1211</v>
      </c>
      <c r="E15" s="926" t="s">
        <v>1212</v>
      </c>
      <c r="G15" s="928">
        <v>2</v>
      </c>
      <c r="I15" s="935" t="s">
        <v>1213</v>
      </c>
    </row>
    <row r="16" spans="1:9" ht="28.8">
      <c r="A16" s="931" t="s">
        <v>1321</v>
      </c>
      <c r="B16" s="926" t="s">
        <v>349</v>
      </c>
      <c r="C16" s="926" t="s">
        <v>1200</v>
      </c>
      <c r="D16" s="926" t="s">
        <v>1214</v>
      </c>
      <c r="E16" s="926" t="s">
        <v>1202</v>
      </c>
      <c r="G16" s="928" t="s">
        <v>1215</v>
      </c>
      <c r="I16" s="935" t="s">
        <v>1216</v>
      </c>
    </row>
    <row r="17" spans="1:9" ht="14.4">
      <c r="A17" s="931" t="s">
        <v>1321</v>
      </c>
      <c r="B17" s="926" t="s">
        <v>349</v>
      </c>
      <c r="C17" s="926" t="s">
        <v>1200</v>
      </c>
      <c r="D17" s="926" t="s">
        <v>1217</v>
      </c>
      <c r="E17" s="926" t="s">
        <v>1218</v>
      </c>
      <c r="G17" s="928">
        <v>8</v>
      </c>
      <c r="I17" s="935" t="s">
        <v>1216</v>
      </c>
    </row>
    <row r="18" spans="1:9" ht="14.4">
      <c r="A18" s="931" t="s">
        <v>259</v>
      </c>
      <c r="B18" s="926" t="s">
        <v>349</v>
      </c>
      <c r="C18" s="926" t="s">
        <v>1192</v>
      </c>
      <c r="F18" s="926" t="s">
        <v>1219</v>
      </c>
      <c r="I18" s="929" t="s">
        <v>1220</v>
      </c>
    </row>
    <row r="19" spans="1:9" ht="14.4">
      <c r="A19" s="931" t="s">
        <v>259</v>
      </c>
      <c r="B19" s="926" t="s">
        <v>349</v>
      </c>
      <c r="C19" s="926" t="s">
        <v>1221</v>
      </c>
      <c r="D19" s="926" t="s">
        <v>1222</v>
      </c>
      <c r="E19" s="926" t="s">
        <v>1223</v>
      </c>
      <c r="I19" s="929" t="s">
        <v>1224</v>
      </c>
    </row>
    <row r="20" spans="1:7" ht="14.4">
      <c r="A20" s="931" t="s">
        <v>1321</v>
      </c>
      <c r="B20" s="926" t="s">
        <v>349</v>
      </c>
      <c r="C20" s="926" t="s">
        <v>1225</v>
      </c>
      <c r="D20" s="926" t="s">
        <v>793</v>
      </c>
      <c r="E20" s="926" t="s">
        <v>723</v>
      </c>
      <c r="G20" s="928">
        <v>8</v>
      </c>
    </row>
    <row r="21" spans="1:9" ht="14.4">
      <c r="A21" s="931" t="s">
        <v>259</v>
      </c>
      <c r="B21" s="926" t="s">
        <v>339</v>
      </c>
      <c r="I21" s="929" t="s">
        <v>1190</v>
      </c>
    </row>
    <row r="22" spans="1:9" ht="14.4">
      <c r="A22" s="931" t="s">
        <v>1321</v>
      </c>
      <c r="B22" s="926" t="s">
        <v>354</v>
      </c>
      <c r="C22" s="926" t="s">
        <v>1200</v>
      </c>
      <c r="D22" s="926" t="s">
        <v>1226</v>
      </c>
      <c r="E22" s="926" t="s">
        <v>1227</v>
      </c>
      <c r="G22" s="928">
        <v>28</v>
      </c>
      <c r="I22" s="929" t="s">
        <v>1228</v>
      </c>
    </row>
    <row r="23" spans="1:9" ht="28.8">
      <c r="A23" s="931" t="s">
        <v>1321</v>
      </c>
      <c r="B23" s="926" t="s">
        <v>354</v>
      </c>
      <c r="C23" s="926" t="s">
        <v>1200</v>
      </c>
      <c r="D23" s="926" t="s">
        <v>1229</v>
      </c>
      <c r="E23" s="926" t="s">
        <v>1230</v>
      </c>
      <c r="G23" s="928" t="s">
        <v>1231</v>
      </c>
      <c r="I23" s="929" t="s">
        <v>1228</v>
      </c>
    </row>
    <row r="24" spans="1:9" ht="14.4">
      <c r="A24" s="931" t="s">
        <v>259</v>
      </c>
      <c r="B24" s="926" t="s">
        <v>354</v>
      </c>
      <c r="C24" s="926" t="s">
        <v>1200</v>
      </c>
      <c r="E24" s="936" t="s">
        <v>1232</v>
      </c>
      <c r="G24" s="928">
        <v>84</v>
      </c>
      <c r="I24" s="929" t="s">
        <v>1233</v>
      </c>
    </row>
    <row r="25" spans="1:9" ht="14.4">
      <c r="A25" s="931" t="s">
        <v>259</v>
      </c>
      <c r="B25" s="926" t="s">
        <v>354</v>
      </c>
      <c r="C25" s="926" t="s">
        <v>1200</v>
      </c>
      <c r="E25" s="936" t="s">
        <v>1234</v>
      </c>
      <c r="G25" s="928">
        <v>4</v>
      </c>
      <c r="I25" s="929" t="s">
        <v>1233</v>
      </c>
    </row>
    <row r="26" spans="1:9" ht="14.4">
      <c r="A26" s="931" t="s">
        <v>259</v>
      </c>
      <c r="B26" s="926" t="s">
        <v>354</v>
      </c>
      <c r="C26" s="926" t="s">
        <v>1200</v>
      </c>
      <c r="E26" s="936" t="s">
        <v>1235</v>
      </c>
      <c r="G26" s="928">
        <v>43</v>
      </c>
      <c r="I26" s="929" t="s">
        <v>1233</v>
      </c>
    </row>
    <row r="27" spans="1:9" ht="14.4">
      <c r="A27" s="931" t="s">
        <v>259</v>
      </c>
      <c r="B27" s="926" t="s">
        <v>354</v>
      </c>
      <c r="C27" s="926" t="s">
        <v>1200</v>
      </c>
      <c r="E27" s="936" t="s">
        <v>1236</v>
      </c>
      <c r="G27" s="928">
        <v>60</v>
      </c>
      <c r="I27" s="929" t="s">
        <v>1233</v>
      </c>
    </row>
    <row r="28" spans="1:9" ht="14.4">
      <c r="A28" s="931" t="s">
        <v>259</v>
      </c>
      <c r="B28" s="926" t="s">
        <v>354</v>
      </c>
      <c r="C28" s="926" t="s">
        <v>1200</v>
      </c>
      <c r="E28" s="936" t="s">
        <v>1237</v>
      </c>
      <c r="G28" s="928">
        <v>11</v>
      </c>
      <c r="I28" s="929" t="s">
        <v>1233</v>
      </c>
    </row>
    <row r="29" spans="1:9" ht="14.4">
      <c r="A29" s="931" t="s">
        <v>259</v>
      </c>
      <c r="B29" s="926" t="s">
        <v>354</v>
      </c>
      <c r="C29" s="926" t="s">
        <v>1200</v>
      </c>
      <c r="E29" s="936" t="s">
        <v>1238</v>
      </c>
      <c r="G29" s="928">
        <v>48</v>
      </c>
      <c r="I29" s="929" t="s">
        <v>1239</v>
      </c>
    </row>
    <row r="30" spans="1:9" ht="14.4">
      <c r="A30" s="931" t="s">
        <v>259</v>
      </c>
      <c r="B30" s="926" t="s">
        <v>354</v>
      </c>
      <c r="C30" s="926" t="s">
        <v>1240</v>
      </c>
      <c r="E30" s="936" t="s">
        <v>1237</v>
      </c>
      <c r="G30" s="928">
        <v>5</v>
      </c>
      <c r="I30" s="929" t="s">
        <v>1239</v>
      </c>
    </row>
    <row r="31" spans="1:9" ht="14.4">
      <c r="A31" s="931" t="s">
        <v>259</v>
      </c>
      <c r="B31" s="926" t="s">
        <v>354</v>
      </c>
      <c r="C31" s="926" t="s">
        <v>1240</v>
      </c>
      <c r="E31" s="936" t="s">
        <v>1241</v>
      </c>
      <c r="G31" s="928">
        <v>5</v>
      </c>
      <c r="I31" s="929" t="s">
        <v>1242</v>
      </c>
    </row>
    <row r="32" spans="1:9" ht="14.4">
      <c r="A32" s="931" t="s">
        <v>259</v>
      </c>
      <c r="B32" s="926" t="s">
        <v>354</v>
      </c>
      <c r="C32" s="926" t="s">
        <v>1200</v>
      </c>
      <c r="E32" s="936" t="s">
        <v>1238</v>
      </c>
      <c r="G32" s="928">
        <v>363</v>
      </c>
      <c r="I32" s="929" t="s">
        <v>1243</v>
      </c>
    </row>
    <row r="33" spans="1:9" ht="14.4">
      <c r="A33" s="931" t="s">
        <v>259</v>
      </c>
      <c r="B33" s="926" t="s">
        <v>354</v>
      </c>
      <c r="C33" s="926" t="s">
        <v>1200</v>
      </c>
      <c r="E33" s="936" t="s">
        <v>1234</v>
      </c>
      <c r="G33" s="928">
        <v>48</v>
      </c>
      <c r="I33" s="929" t="s">
        <v>1243</v>
      </c>
    </row>
    <row r="34" spans="1:9" ht="14.4">
      <c r="A34" s="931" t="s">
        <v>259</v>
      </c>
      <c r="B34" s="926" t="s">
        <v>354</v>
      </c>
      <c r="C34" s="926" t="s">
        <v>1200</v>
      </c>
      <c r="E34" s="936" t="s">
        <v>1236</v>
      </c>
      <c r="G34" s="928">
        <v>10</v>
      </c>
      <c r="I34" s="929" t="s">
        <v>1243</v>
      </c>
    </row>
    <row r="35" spans="1:9" ht="14.4">
      <c r="A35" s="931" t="s">
        <v>259</v>
      </c>
      <c r="B35" s="926" t="s">
        <v>354</v>
      </c>
      <c r="C35" s="926" t="s">
        <v>1240</v>
      </c>
      <c r="E35" s="936" t="s">
        <v>1237</v>
      </c>
      <c r="G35" s="928">
        <v>22</v>
      </c>
      <c r="I35" s="929" t="s">
        <v>1243</v>
      </c>
    </row>
    <row r="36" spans="1:9" ht="14.4">
      <c r="A36" s="931" t="s">
        <v>259</v>
      </c>
      <c r="B36" s="926" t="s">
        <v>354</v>
      </c>
      <c r="C36" s="926" t="s">
        <v>1200</v>
      </c>
      <c r="E36" s="936" t="s">
        <v>1238</v>
      </c>
      <c r="G36" s="928">
        <v>266</v>
      </c>
      <c r="I36" s="929" t="s">
        <v>1244</v>
      </c>
    </row>
    <row r="37" spans="1:9" ht="14.4">
      <c r="A37" s="931" t="s">
        <v>259</v>
      </c>
      <c r="B37" s="926" t="s">
        <v>354</v>
      </c>
      <c r="C37" s="926" t="s">
        <v>1200</v>
      </c>
      <c r="E37" s="936" t="s">
        <v>1234</v>
      </c>
      <c r="G37" s="928">
        <v>36</v>
      </c>
      <c r="I37" s="929" t="s">
        <v>1244</v>
      </c>
    </row>
    <row r="38" spans="1:9" ht="14.4">
      <c r="A38" s="931" t="s">
        <v>259</v>
      </c>
      <c r="B38" s="926" t="s">
        <v>354</v>
      </c>
      <c r="C38" s="926" t="s">
        <v>1200</v>
      </c>
      <c r="E38" s="936" t="s">
        <v>1235</v>
      </c>
      <c r="G38" s="928">
        <v>10</v>
      </c>
      <c r="I38" s="929" t="s">
        <v>1244</v>
      </c>
    </row>
    <row r="39" spans="1:9" ht="14.4">
      <c r="A39" s="931" t="s">
        <v>259</v>
      </c>
      <c r="B39" s="926" t="s">
        <v>354</v>
      </c>
      <c r="C39" s="926" t="s">
        <v>1240</v>
      </c>
      <c r="E39" s="926" t="s">
        <v>1237</v>
      </c>
      <c r="G39" s="928">
        <v>14</v>
      </c>
      <c r="I39" s="929" t="s">
        <v>1244</v>
      </c>
    </row>
    <row r="40" spans="1:7" ht="14.4">
      <c r="A40" s="931" t="s">
        <v>1321</v>
      </c>
      <c r="B40" s="926" t="s">
        <v>354</v>
      </c>
      <c r="C40" s="926" t="s">
        <v>1225</v>
      </c>
      <c r="D40" s="926" t="s">
        <v>793</v>
      </c>
      <c r="E40" s="926" t="s">
        <v>1245</v>
      </c>
      <c r="G40" s="928">
        <v>5</v>
      </c>
    </row>
    <row r="41" spans="1:9" ht="28.8">
      <c r="A41" s="931" t="s">
        <v>259</v>
      </c>
      <c r="B41" s="926" t="s">
        <v>354</v>
      </c>
      <c r="C41" s="926" t="s">
        <v>1246</v>
      </c>
      <c r="I41" s="929" t="s">
        <v>1247</v>
      </c>
    </row>
    <row r="42" spans="1:9" ht="14.4">
      <c r="A42" s="931" t="s">
        <v>259</v>
      </c>
      <c r="B42" s="926" t="s">
        <v>354</v>
      </c>
      <c r="C42" s="926" t="s">
        <v>1248</v>
      </c>
      <c r="E42" s="926" t="s">
        <v>1249</v>
      </c>
      <c r="I42" s="929" t="s">
        <v>1250</v>
      </c>
    </row>
    <row r="43" spans="1:9" ht="14.4">
      <c r="A43" s="931" t="s">
        <v>259</v>
      </c>
      <c r="B43" s="926" t="s">
        <v>354</v>
      </c>
      <c r="C43" s="926" t="s">
        <v>1200</v>
      </c>
      <c r="E43" s="926" t="s">
        <v>1251</v>
      </c>
      <c r="I43" s="929" t="s">
        <v>1252</v>
      </c>
    </row>
    <row r="44" spans="1:9" ht="14.4">
      <c r="A44" s="931" t="s">
        <v>259</v>
      </c>
      <c r="B44" s="926" t="s">
        <v>354</v>
      </c>
      <c r="C44" s="926" t="s">
        <v>1246</v>
      </c>
      <c r="E44" s="926" t="s">
        <v>1253</v>
      </c>
      <c r="I44" s="929" t="s">
        <v>1252</v>
      </c>
    </row>
    <row r="45" spans="1:9" ht="14.4">
      <c r="A45" s="931" t="s">
        <v>259</v>
      </c>
      <c r="B45" s="926" t="s">
        <v>354</v>
      </c>
      <c r="C45" s="926" t="s">
        <v>1248</v>
      </c>
      <c r="E45" s="926" t="s">
        <v>1249</v>
      </c>
      <c r="I45" s="929" t="s">
        <v>1252</v>
      </c>
    </row>
    <row r="46" spans="1:9" ht="14.4">
      <c r="A46" s="931" t="s">
        <v>259</v>
      </c>
      <c r="B46" s="926" t="s">
        <v>354</v>
      </c>
      <c r="C46" s="926" t="s">
        <v>1200</v>
      </c>
      <c r="D46" s="926" t="s">
        <v>1254</v>
      </c>
      <c r="E46" s="926" t="s">
        <v>1255</v>
      </c>
      <c r="I46" s="929" t="s">
        <v>1256</v>
      </c>
    </row>
    <row r="47" spans="1:9" ht="14.4">
      <c r="A47" s="931" t="s">
        <v>259</v>
      </c>
      <c r="B47" s="926" t="s">
        <v>354</v>
      </c>
      <c r="C47" s="926" t="s">
        <v>1200</v>
      </c>
      <c r="D47" s="926" t="s">
        <v>1257</v>
      </c>
      <c r="E47" s="926" t="s">
        <v>1258</v>
      </c>
      <c r="I47" s="929" t="s">
        <v>1256</v>
      </c>
    </row>
    <row r="48" spans="1:9" ht="14.4">
      <c r="A48" s="931" t="s">
        <v>259</v>
      </c>
      <c r="B48" s="926" t="s">
        <v>354</v>
      </c>
      <c r="C48" s="926" t="s">
        <v>1246</v>
      </c>
      <c r="D48" s="926" t="s">
        <v>1259</v>
      </c>
      <c r="E48" s="926" t="s">
        <v>1260</v>
      </c>
      <c r="I48" s="929" t="s">
        <v>1256</v>
      </c>
    </row>
    <row r="49" spans="1:9" ht="14.4">
      <c r="A49" s="931" t="s">
        <v>259</v>
      </c>
      <c r="B49" s="926" t="s">
        <v>354</v>
      </c>
      <c r="C49" s="926" t="s">
        <v>1246</v>
      </c>
      <c r="D49" s="926" t="s">
        <v>1261</v>
      </c>
      <c r="E49" s="926" t="s">
        <v>1262</v>
      </c>
      <c r="I49" s="929" t="s">
        <v>1256</v>
      </c>
    </row>
    <row r="50" spans="1:9" ht="14.4">
      <c r="A50" s="931" t="s">
        <v>259</v>
      </c>
      <c r="B50" s="926" t="s">
        <v>354</v>
      </c>
      <c r="C50" s="926" t="s">
        <v>1248</v>
      </c>
      <c r="D50" s="926" t="s">
        <v>1263</v>
      </c>
      <c r="E50" s="926" t="s">
        <v>1264</v>
      </c>
      <c r="I50" s="929" t="s">
        <v>1256</v>
      </c>
    </row>
    <row r="51" spans="1:9" ht="14.4">
      <c r="A51" s="931" t="s">
        <v>259</v>
      </c>
      <c r="B51" s="926" t="s">
        <v>354</v>
      </c>
      <c r="C51" s="926" t="s">
        <v>1265</v>
      </c>
      <c r="E51" s="926" t="s">
        <v>1266</v>
      </c>
      <c r="I51" s="929" t="s">
        <v>1256</v>
      </c>
    </row>
    <row r="52" spans="1:9" ht="14.4">
      <c r="A52" s="931" t="s">
        <v>259</v>
      </c>
      <c r="B52" s="926" t="s">
        <v>354</v>
      </c>
      <c r="I52" s="929" t="s">
        <v>1267</v>
      </c>
    </row>
    <row r="53" spans="1:9" ht="14.4">
      <c r="A53" s="931" t="s">
        <v>259</v>
      </c>
      <c r="B53" s="926" t="s">
        <v>354</v>
      </c>
      <c r="I53" s="929" t="s">
        <v>1268</v>
      </c>
    </row>
    <row r="54" spans="1:9" ht="14.4">
      <c r="A54" s="931" t="s">
        <v>259</v>
      </c>
      <c r="B54" s="926" t="s">
        <v>1269</v>
      </c>
      <c r="C54" s="926" t="s">
        <v>1246</v>
      </c>
      <c r="I54" s="929" t="s">
        <v>1270</v>
      </c>
    </row>
    <row r="55" spans="1:9" ht="14.4">
      <c r="A55" s="931" t="s">
        <v>1321</v>
      </c>
      <c r="B55" s="926" t="s">
        <v>1269</v>
      </c>
      <c r="C55" s="926" t="s">
        <v>1225</v>
      </c>
      <c r="D55" s="926" t="s">
        <v>1271</v>
      </c>
      <c r="E55" s="926" t="s">
        <v>1272</v>
      </c>
      <c r="G55" s="928">
        <v>15</v>
      </c>
      <c r="I55" s="929" t="s">
        <v>1273</v>
      </c>
    </row>
    <row r="56" spans="1:9" ht="14.4">
      <c r="A56" s="931" t="s">
        <v>1321</v>
      </c>
      <c r="B56" s="926" t="s">
        <v>1269</v>
      </c>
      <c r="C56" s="926" t="s">
        <v>1225</v>
      </c>
      <c r="D56" s="926" t="s">
        <v>1274</v>
      </c>
      <c r="E56" s="926" t="s">
        <v>1275</v>
      </c>
      <c r="G56" s="928">
        <v>16</v>
      </c>
      <c r="I56" s="929" t="s">
        <v>1276</v>
      </c>
    </row>
    <row r="57" spans="1:9" ht="14.4">
      <c r="A57" s="931" t="s">
        <v>259</v>
      </c>
      <c r="B57" s="926" t="s">
        <v>356</v>
      </c>
      <c r="C57" s="926" t="s">
        <v>1277</v>
      </c>
      <c r="I57" s="929" t="s">
        <v>1278</v>
      </c>
    </row>
    <row r="58" spans="1:9" ht="14.4">
      <c r="A58" s="931" t="s">
        <v>259</v>
      </c>
      <c r="B58" s="926" t="s">
        <v>356</v>
      </c>
      <c r="C58" s="926" t="s">
        <v>1248</v>
      </c>
      <c r="E58" s="926" t="s">
        <v>1279</v>
      </c>
      <c r="I58" s="929" t="s">
        <v>1280</v>
      </c>
    </row>
    <row r="59" spans="1:9" ht="14.4">
      <c r="A59" s="931" t="s">
        <v>259</v>
      </c>
      <c r="B59" s="926" t="s">
        <v>356</v>
      </c>
      <c r="C59" s="926" t="s">
        <v>1246</v>
      </c>
      <c r="E59" s="926" t="s">
        <v>1281</v>
      </c>
      <c r="I59" s="929" t="s">
        <v>1280</v>
      </c>
    </row>
    <row r="60" spans="1:9" ht="14.4">
      <c r="A60" s="931" t="s">
        <v>259</v>
      </c>
      <c r="B60" s="926" t="s">
        <v>356</v>
      </c>
      <c r="C60" s="926" t="s">
        <v>1282</v>
      </c>
      <c r="E60" s="926" t="s">
        <v>1283</v>
      </c>
      <c r="I60" s="929" t="s">
        <v>1280</v>
      </c>
    </row>
    <row r="61" ht="14.4"/>
    <row r="62" ht="14.4">
      <c r="B62" s="930" t="s">
        <v>1284</v>
      </c>
    </row>
    <row r="63" spans="1:5" ht="14.4">
      <c r="A63" s="931" t="s">
        <v>1442</v>
      </c>
      <c r="B63" s="932" t="s">
        <v>1180</v>
      </c>
      <c r="C63" s="932">
        <v>2014</v>
      </c>
      <c r="D63" s="932">
        <v>2015</v>
      </c>
      <c r="E63" s="932" t="s">
        <v>1285</v>
      </c>
    </row>
    <row r="64" spans="1:9" ht="14.4">
      <c r="A64" s="931" t="s">
        <v>259</v>
      </c>
      <c r="B64" s="926" t="s">
        <v>352</v>
      </c>
      <c r="I64" s="929" t="s">
        <v>1190</v>
      </c>
    </row>
    <row r="65" spans="1:9" ht="14.4">
      <c r="A65" s="931" t="s">
        <v>1456</v>
      </c>
      <c r="B65" s="926" t="s">
        <v>341</v>
      </c>
      <c r="C65" s="937">
        <v>0.04</v>
      </c>
      <c r="D65" s="937">
        <v>0.04</v>
      </c>
      <c r="I65" s="929" t="s">
        <v>1286</v>
      </c>
    </row>
    <row r="66" spans="1:9" ht="14.4">
      <c r="A66" s="931" t="s">
        <v>259</v>
      </c>
      <c r="B66" s="926" t="s">
        <v>347</v>
      </c>
      <c r="I66" s="929" t="s">
        <v>1190</v>
      </c>
    </row>
    <row r="67" spans="1:5" ht="14.4">
      <c r="A67" s="931" t="s">
        <v>1456</v>
      </c>
      <c r="B67" s="926" t="s">
        <v>349</v>
      </c>
      <c r="C67" s="937">
        <v>0.06</v>
      </c>
      <c r="D67" s="938">
        <v>0.050700000000000002</v>
      </c>
      <c r="E67" s="937">
        <v>0.04</v>
      </c>
    </row>
    <row r="68" spans="1:9" ht="14.4">
      <c r="A68" s="931" t="s">
        <v>259</v>
      </c>
      <c r="B68" s="926" t="s">
        <v>339</v>
      </c>
      <c r="I68" s="929" t="s">
        <v>1190</v>
      </c>
    </row>
    <row r="69" spans="1:9" ht="14.4">
      <c r="A69" s="931" t="s">
        <v>259</v>
      </c>
      <c r="B69" s="926" t="s">
        <v>354</v>
      </c>
      <c r="I69" s="929" t="s">
        <v>1190</v>
      </c>
    </row>
    <row r="70" spans="1:9" ht="14.4">
      <c r="A70" s="931" t="s">
        <v>259</v>
      </c>
      <c r="B70" s="926" t="s">
        <v>1269</v>
      </c>
      <c r="I70" s="929" t="s">
        <v>1190</v>
      </c>
    </row>
    <row r="71" spans="1:9" ht="14.4">
      <c r="A71" s="931" t="s">
        <v>259</v>
      </c>
      <c r="B71" s="926" t="s">
        <v>356</v>
      </c>
      <c r="I71" s="929" t="s">
        <v>1190</v>
      </c>
    </row>
    <row r="72" ht="14.4"/>
    <row r="73" spans="1:2" ht="14.4">
      <c r="A73" s="930"/>
      <c r="B73" s="930" t="s">
        <v>1291</v>
      </c>
    </row>
    <row r="74" spans="2:3" ht="14.4">
      <c r="B74" s="932" t="s">
        <v>1180</v>
      </c>
      <c r="C74" s="932" t="s">
        <v>1292</v>
      </c>
    </row>
    <row r="75" spans="1:3" ht="14.4">
      <c r="A75" s="931" t="s">
        <v>1321</v>
      </c>
      <c r="B75" s="926" t="s">
        <v>352</v>
      </c>
      <c r="C75" s="934">
        <v>332763567</v>
      </c>
    </row>
    <row r="76" spans="1:9" ht="14.4">
      <c r="A76" s="931" t="s">
        <v>1321</v>
      </c>
      <c r="B76" s="926" t="s">
        <v>341</v>
      </c>
      <c r="C76" s="939">
        <f>SUMIFS('2015 Annual Sales and Revenue '!$F:$F,'2015 Annual Sales and Revenue '!$C:$C,$B76)</f>
        <v>977897455</v>
      </c>
      <c r="I76" s="929" t="s">
        <v>1447</v>
      </c>
    </row>
    <row r="77" spans="1:9" ht="14.4">
      <c r="A77" s="931" t="s">
        <v>1321</v>
      </c>
      <c r="B77" s="926" t="s">
        <v>347</v>
      </c>
      <c r="C77" s="939">
        <f>SUMIFS('2015 Annual Sales and Revenue '!$F:$F,'2015 Annual Sales and Revenue '!$C:$C,$B77)</f>
        <v>3149363130</v>
      </c>
      <c r="I77" s="929" t="s">
        <v>1447</v>
      </c>
    </row>
    <row r="78" spans="1:3" ht="14.4">
      <c r="A78" s="931" t="s">
        <v>1321</v>
      </c>
      <c r="B78" s="926" t="s">
        <v>349</v>
      </c>
      <c r="C78" s="939">
        <v>679514864</v>
      </c>
    </row>
    <row r="79" spans="1:9" ht="14.4">
      <c r="A79" s="931" t="s">
        <v>1321</v>
      </c>
      <c r="B79" s="926" t="s">
        <v>339</v>
      </c>
      <c r="C79" s="939">
        <f>SUMIFS('2015 Annual Sales and Revenue '!$F:$F,'2015 Annual Sales and Revenue '!$C:$C,$B79)</f>
        <v>300178740</v>
      </c>
      <c r="I79" s="929" t="s">
        <v>1447</v>
      </c>
    </row>
    <row r="80" spans="1:9" ht="14.4">
      <c r="A80" s="931" t="s">
        <v>1321</v>
      </c>
      <c r="B80" s="926" t="s">
        <v>354</v>
      </c>
      <c r="C80" s="939">
        <f>SUMIFS('2015 Annual Sales and Revenue '!$F:$F,'2015 Annual Sales and Revenue '!$C:$C,$B80)</f>
        <v>2997542048</v>
      </c>
      <c r="I80" s="929" t="s">
        <v>1447</v>
      </c>
    </row>
    <row r="81" spans="1:9" ht="14.4">
      <c r="A81" s="931" t="s">
        <v>1321</v>
      </c>
      <c r="B81" s="926" t="s">
        <v>1113</v>
      </c>
      <c r="C81" s="939">
        <f>SUMIFS('2015 Annual Sales and Revenue '!$F:$F,'2015 Annual Sales and Revenue '!$C:$C,$B81)</f>
        <v>3811169074</v>
      </c>
      <c r="I81" s="929" t="s">
        <v>1447</v>
      </c>
    </row>
    <row r="82" spans="1:3" ht="14.4">
      <c r="A82" s="931" t="s">
        <v>1321</v>
      </c>
      <c r="B82" s="926" t="s">
        <v>356</v>
      </c>
      <c r="C82" s="934">
        <v>472320296</v>
      </c>
    </row>
    <row r="83" ht="14.4"/>
    <row r="84" spans="1:2" ht="14.4">
      <c r="A84" s="930"/>
      <c r="B84" s="930" t="s">
        <v>1293</v>
      </c>
    </row>
    <row r="85" spans="2:7" ht="14.4">
      <c r="B85" s="932" t="s">
        <v>1180</v>
      </c>
      <c r="C85" s="932" t="s">
        <v>1181</v>
      </c>
      <c r="D85" s="932" t="s">
        <v>937</v>
      </c>
      <c r="E85" s="932" t="s">
        <v>1294</v>
      </c>
      <c r="F85" s="932" t="s">
        <v>1727</v>
      </c>
      <c r="G85" s="940" t="s">
        <v>1184</v>
      </c>
    </row>
    <row r="86" spans="1:9" ht="14.4">
      <c r="A86" s="931" t="s">
        <v>259</v>
      </c>
      <c r="B86" s="926" t="s">
        <v>352</v>
      </c>
      <c r="F86" s="934">
        <v>77896</v>
      </c>
      <c r="I86" s="929" t="s">
        <v>1190</v>
      </c>
    </row>
    <row r="87" spans="1:9" ht="14.4">
      <c r="A87" s="931" t="s">
        <v>1321</v>
      </c>
      <c r="B87" s="926" t="s">
        <v>341</v>
      </c>
      <c r="C87" s="926" t="s">
        <v>1295</v>
      </c>
      <c r="F87" s="939">
        <v>278697</v>
      </c>
      <c r="G87" s="928" t="s">
        <v>1296</v>
      </c>
      <c r="I87" s="929" t="s">
        <v>1297</v>
      </c>
    </row>
    <row r="88" spans="1:9" ht="28.8">
      <c r="A88" s="931" t="s">
        <v>1321</v>
      </c>
      <c r="B88" s="926" t="s">
        <v>347</v>
      </c>
      <c r="C88" s="926" t="s">
        <v>1295</v>
      </c>
      <c r="F88" s="939">
        <v>804506</v>
      </c>
      <c r="G88" s="941" t="s">
        <v>1298</v>
      </c>
      <c r="I88" s="941" t="s">
        <v>1299</v>
      </c>
    </row>
    <row r="89" spans="1:7" ht="14.4">
      <c r="A89" s="931" t="s">
        <v>1448</v>
      </c>
      <c r="B89" s="926" t="s">
        <v>347</v>
      </c>
      <c r="C89" s="926" t="s">
        <v>1300</v>
      </c>
      <c r="D89" s="926" t="s">
        <v>1301</v>
      </c>
      <c r="E89" s="926" t="s">
        <v>1302</v>
      </c>
      <c r="G89" s="928" t="s">
        <v>1303</v>
      </c>
    </row>
    <row r="90" spans="1:9" ht="28.8">
      <c r="A90" s="931" t="s">
        <v>1321</v>
      </c>
      <c r="B90" s="926" t="s">
        <v>349</v>
      </c>
      <c r="C90" s="926" t="s">
        <v>1295</v>
      </c>
      <c r="F90" s="939">
        <v>154441</v>
      </c>
      <c r="I90" s="929" t="s">
        <v>1304</v>
      </c>
    </row>
    <row r="91" spans="1:9" ht="14.4">
      <c r="A91" s="931" t="s">
        <v>1448</v>
      </c>
      <c r="B91" s="926" t="s">
        <v>339</v>
      </c>
      <c r="F91" s="934">
        <v>70896</v>
      </c>
      <c r="I91" s="929" t="s">
        <v>1190</v>
      </c>
    </row>
    <row r="92" spans="1:9" ht="28.8">
      <c r="A92" s="931" t="s">
        <v>1448</v>
      </c>
      <c r="B92" s="926" t="s">
        <v>354</v>
      </c>
      <c r="C92" s="926" t="s">
        <v>1295</v>
      </c>
      <c r="F92" s="934">
        <v>838793</v>
      </c>
      <c r="G92" s="928" t="s">
        <v>1779</v>
      </c>
      <c r="I92" s="929" t="s">
        <v>1780</v>
      </c>
    </row>
    <row r="93" spans="1:9" ht="14.4">
      <c r="A93" s="931" t="s">
        <v>1448</v>
      </c>
      <c r="B93" s="926" t="s">
        <v>1269</v>
      </c>
      <c r="C93" s="926" t="s">
        <v>1305</v>
      </c>
      <c r="D93" s="926" t="s">
        <v>1306</v>
      </c>
      <c r="E93" s="926" t="s">
        <v>1307</v>
      </c>
      <c r="G93" s="928" t="s">
        <v>1308</v>
      </c>
      <c r="I93" s="929" t="s">
        <v>1309</v>
      </c>
    </row>
    <row r="94" spans="1:5" ht="14.4">
      <c r="A94" s="931" t="s">
        <v>1448</v>
      </c>
      <c r="B94" s="926" t="s">
        <v>1269</v>
      </c>
      <c r="C94" s="926" t="s">
        <v>1310</v>
      </c>
      <c r="D94" s="934" t="s">
        <v>1311</v>
      </c>
      <c r="E94" s="926" t="s">
        <v>1312</v>
      </c>
    </row>
    <row r="95" spans="1:9" ht="14.4">
      <c r="A95" s="931" t="s">
        <v>1321</v>
      </c>
      <c r="B95" s="926" t="s">
        <v>1269</v>
      </c>
      <c r="C95" s="926" t="s">
        <v>1295</v>
      </c>
      <c r="F95" s="939">
        <v>1073532</v>
      </c>
      <c r="I95" s="929" t="s">
        <v>1313</v>
      </c>
    </row>
    <row r="96" spans="1:9" ht="14.4">
      <c r="A96" s="931" t="s">
        <v>1448</v>
      </c>
      <c r="B96" s="926" t="s">
        <v>1269</v>
      </c>
      <c r="C96" s="926" t="s">
        <v>1314</v>
      </c>
      <c r="E96" s="926" t="s">
        <v>1315</v>
      </c>
      <c r="I96" s="929" t="s">
        <v>1316</v>
      </c>
    </row>
    <row r="97" spans="1:9" ht="14.4">
      <c r="A97" s="931" t="s">
        <v>1321</v>
      </c>
      <c r="B97" s="926" t="s">
        <v>356</v>
      </c>
      <c r="C97" s="926" t="s">
        <v>1295</v>
      </c>
      <c r="F97" s="939">
        <v>135693</v>
      </c>
      <c r="G97" s="928" t="s">
        <v>1729</v>
      </c>
      <c r="I97" s="929" t="s">
        <v>1317</v>
      </c>
    </row>
    <row r="98" spans="1:9" ht="14.4">
      <c r="A98" s="931" t="s">
        <v>1448</v>
      </c>
      <c r="B98" s="926" t="s">
        <v>356</v>
      </c>
      <c r="C98" s="926" t="s">
        <v>1318</v>
      </c>
      <c r="G98" s="928" t="s">
        <v>1319</v>
      </c>
      <c r="I98" s="929" t="s">
        <v>1320</v>
      </c>
    </row>
    <row r="99" ht="14.4"/>
    <row r="100" ht="14.4"/>
    <row r="101" spans="1:6" ht="14.4">
      <c r="A101"/>
      <c r="B101"/>
      <c r="C101"/>
      <c r="D101"/>
      <c r="E101"/>
      <c r="F101"/>
    </row>
    <row r="102" spans="1:6" ht="14.4">
      <c r="A102"/>
      <c r="B102"/>
      <c r="C102"/>
      <c r="D102"/>
      <c r="E102"/>
      <c r="F102"/>
    </row>
    <row r="103" spans="1:6" ht="14.4">
      <c r="A103" s="281" t="s">
        <v>1788</v>
      </c>
      <c r="B103"/>
      <c r="C103"/>
      <c r="D103"/>
      <c r="E103"/>
      <c r="F103"/>
    </row>
    <row r="104" spans="1:6" ht="28.8">
      <c r="A104" s="1301" t="s">
        <v>1782</v>
      </c>
      <c r="B104" s="1301" t="s">
        <v>1783</v>
      </c>
      <c r="C104" s="1301" t="s">
        <v>1784</v>
      </c>
      <c r="D104" s="1301" t="s">
        <v>1785</v>
      </c>
      <c r="E104" s="1301" t="s">
        <v>1786</v>
      </c>
      <c r="F104" s="1301" t="s">
        <v>1787</v>
      </c>
    </row>
    <row r="105" spans="1:6" ht="14.4">
      <c r="A105">
        <v>10</v>
      </c>
      <c r="B105">
        <v>0</v>
      </c>
      <c r="C105">
        <v>31444</v>
      </c>
      <c r="D105" s="359">
        <f>C105/$C$109*$F$92</f>
        <v>36488.988410685357</v>
      </c>
      <c r="E105" s="353">
        <f>B105*D105*0.8%</f>
        <v>0</v>
      </c>
      <c r="F105" s="1303">
        <f>D105/$D$109*B105</f>
        <v>0</v>
      </c>
    </row>
    <row r="106" spans="1:6" ht="14.4">
      <c r="A106">
        <v>54</v>
      </c>
      <c r="B106">
        <v>1.70</v>
      </c>
      <c r="C106">
        <v>231052</v>
      </c>
      <c r="D106" s="359">
        <f t="shared" si="0" ref="D106:D109">C106/$C$109*$F$92</f>
        <v>268122.81358178583</v>
      </c>
      <c r="E106" s="353">
        <f t="shared" si="1" ref="E106:E108">B106*D106*0.8%</f>
        <v>3646.4702647122872</v>
      </c>
      <c r="F106" s="1303">
        <f t="shared" si="2" ref="F106:F108">D106/$D$109*B106</f>
        <v>0.54341033257196458</v>
      </c>
    </row>
    <row r="107" spans="1:6" ht="14.4">
      <c r="A107">
        <v>83</v>
      </c>
      <c r="B107">
        <v>2.90</v>
      </c>
      <c r="C107" s="508">
        <v>354766</v>
      </c>
      <c r="D107" s="359">
        <f t="shared" si="0"/>
        <v>411685.93253101391</v>
      </c>
      <c r="E107" s="353">
        <f t="shared" si="1"/>
        <v>9551.1136347195225</v>
      </c>
      <c r="F107" s="1303">
        <f t="shared" si="2"/>
        <v>1.4233418785563785</v>
      </c>
    </row>
    <row r="108" spans="1:6" ht="14.4">
      <c r="A108">
        <v>37</v>
      </c>
      <c r="B108">
        <v>4.20</v>
      </c>
      <c r="C108" s="508">
        <v>105559</v>
      </c>
      <c r="D108" s="359">
        <f t="shared" si="0"/>
        <v>122495.26547651494</v>
      </c>
      <c r="E108" s="353">
        <f t="shared" si="1"/>
        <v>4115.8409200109018</v>
      </c>
      <c r="F108" s="1303">
        <f t="shared" si="2"/>
        <v>0.61335766393062741</v>
      </c>
    </row>
    <row r="109" spans="1:6" ht="14.4">
      <c r="A109">
        <v>184</v>
      </c>
      <c r="B109"/>
      <c r="C109" s="508">
        <f>SUM(C105:C108)</f>
        <v>722821</v>
      </c>
      <c r="D109" s="359">
        <f t="shared" si="0"/>
        <v>838793</v>
      </c>
      <c r="E109" s="508">
        <f>SUM(E105:E108)</f>
        <v>17313.424819442713</v>
      </c>
      <c r="F109" s="1303">
        <f>SUM(F105:F108)</f>
        <v>2.5801098750589704</v>
      </c>
    </row>
  </sheetData>
  <pageMargins left="0.7" right="0.7" top="0.75" bottom="0.75" header="0.3" footer="0.3"/>
  <pageSetup orientation="portrait" r:id="rId2"/>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3"/>
  <sheetViews>
    <sheetView zoomScale="70" zoomScaleNormal="70" workbookViewId="0" topLeftCell="A1"/>
  </sheetViews>
  <sheetFormatPr defaultColWidth="8.77734375" defaultRowHeight="14.4"/>
  <cols>
    <col min="1" max="1" width="8.77777777777778" customWidth="1"/>
  </cols>
  <sheetData>
    <row r="1" ht="14.4">
      <c r="A1" s="381" t="s">
        <v>826</v>
      </c>
    </row>
    <row r="2" ht="14.4"/>
    <row r="3" ht="14.4">
      <c r="A3" s="338" t="s">
        <v>1631</v>
      </c>
    </row>
  </sheetData>
  <pageMargins left="0.7" right="0.7" top="0.75" bottom="0.75" header="0.3" footer="0.3"/>
  <pageSetup orientation="portrait"/>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C000"/>
  </sheetPr>
  <dimension ref="A1:P52"/>
  <sheetViews>
    <sheetView zoomScale="70" zoomScaleNormal="70" workbookViewId="0" topLeftCell="A22">
      <selection pane="topLeft" activeCell="A1" sqref="A1"/>
    </sheetView>
  </sheetViews>
  <sheetFormatPr defaultColWidth="9.21875" defaultRowHeight="14.4"/>
  <cols>
    <col min="1" max="1" width="9.22222222222222" style="24"/>
    <col min="2" max="2" width="21.7777777777778" style="24" customWidth="1"/>
    <col min="3" max="3" width="60.7777777777778" style="24" customWidth="1"/>
    <col min="4" max="4" width="27.2222222222222" style="665" customWidth="1"/>
    <col min="5" max="6" width="10" style="24" bestFit="1" customWidth="1"/>
    <col min="7" max="10" width="14.7777777777778" style="24" bestFit="1" customWidth="1"/>
    <col min="11" max="13" width="15.7777777777778" style="24" customWidth="1"/>
    <col min="14" max="15" width="39.2222222222222" style="24" customWidth="1"/>
    <col min="16" max="16" width="14.7777777777778" style="24" customWidth="1"/>
    <col min="17" max="17" width="22.2222222222222" style="24" bestFit="1" customWidth="1"/>
    <col min="18" max="16384" width="9.22222222222222" style="24"/>
  </cols>
  <sheetData>
    <row r="1" spans="1:4" ht="14.4">
      <c r="A1" s="1003"/>
      <c r="B1" s="979" t="s">
        <v>1632</v>
      </c>
      <c r="C1" s="979"/>
      <c r="D1" s="1004"/>
    </row>
    <row r="2" spans="2:10" ht="13.05" customHeight="1">
      <c r="B2" s="1799" t="s">
        <v>693</v>
      </c>
      <c r="C2" s="1800" t="s">
        <v>1724</v>
      </c>
      <c r="D2" s="1800" t="s">
        <v>361</v>
      </c>
      <c r="E2" s="1796" t="s">
        <v>360</v>
      </c>
      <c r="F2" s="1797"/>
      <c r="G2" s="1796" t="s">
        <v>692</v>
      </c>
      <c r="H2" s="1797"/>
      <c r="I2" s="1796" t="s">
        <v>691</v>
      </c>
      <c r="J2" s="1797"/>
    </row>
    <row r="3" spans="2:10" ht="14.4">
      <c r="B3" s="1799"/>
      <c r="C3" s="1801"/>
      <c r="D3" s="1801"/>
      <c r="E3" s="1005" t="s">
        <v>359</v>
      </c>
      <c r="F3" s="1005" t="s">
        <v>358</v>
      </c>
      <c r="G3" s="1005" t="s">
        <v>690</v>
      </c>
      <c r="H3" s="1005" t="s">
        <v>690</v>
      </c>
      <c r="I3" s="1005" t="s">
        <v>690</v>
      </c>
      <c r="J3" s="1005" t="s">
        <v>690</v>
      </c>
    </row>
    <row r="4" spans="2:10" ht="12.6" customHeight="1">
      <c r="B4" s="1799"/>
      <c r="C4" s="1802"/>
      <c r="D4" s="1802"/>
      <c r="E4" s="1006" t="s">
        <v>357</v>
      </c>
      <c r="F4" s="1006" t="s">
        <v>357</v>
      </c>
      <c r="G4" s="1006" t="s">
        <v>171</v>
      </c>
      <c r="H4" s="1006" t="s">
        <v>165</v>
      </c>
      <c r="I4" s="1006" t="s">
        <v>171</v>
      </c>
      <c r="J4" s="1006" t="s">
        <v>165</v>
      </c>
    </row>
    <row r="5" spans="2:10" ht="14.4">
      <c r="B5" s="626" t="s">
        <v>356</v>
      </c>
      <c r="C5" s="626" t="s">
        <v>355</v>
      </c>
      <c r="D5" s="1007" t="s">
        <v>342</v>
      </c>
      <c r="E5" s="1008">
        <v>2228</v>
      </c>
      <c r="F5" s="1008">
        <v>889</v>
      </c>
      <c r="G5" s="1008">
        <f>344601795/29838</f>
        <v>11549.091594610898</v>
      </c>
      <c r="H5" s="1009">
        <f>HLOOKUP($D5,'BEopt Demand Results'!$B$20:$P$22,3,FALSE)*$G5</f>
        <v>3.060746428226393</v>
      </c>
      <c r="I5" s="1013">
        <f t="shared" si="0" ref="I5:I13">$G5*$C$19</f>
        <v>826.91495817414022</v>
      </c>
      <c r="J5" s="1011">
        <f>$H5*$C$20</f>
        <v>0.030607464282263932</v>
      </c>
    </row>
    <row r="6" spans="2:10" ht="14.4">
      <c r="B6" s="626" t="s">
        <v>354</v>
      </c>
      <c r="C6" s="626" t="s">
        <v>353</v>
      </c>
      <c r="D6" s="1007" t="s">
        <v>342</v>
      </c>
      <c r="E6" s="1008">
        <v>2228</v>
      </c>
      <c r="F6" s="1008">
        <v>889</v>
      </c>
      <c r="G6" s="1012">
        <f>2158660712/151841</f>
        <v>14216.586508255346</v>
      </c>
      <c r="H6" s="1009">
        <f>HLOOKUP($D6,'BEopt Demand Results'!$B$20:$P$22,3,FALSE)*$G6</f>
        <v>3.7676873562089099</v>
      </c>
      <c r="I6" s="1013">
        <f t="shared" si="0"/>
        <v>1017.9075939910828</v>
      </c>
      <c r="J6" s="1011">
        <f t="shared" si="1" ref="J6:J13">$H6*$C$20</f>
        <v>0.037676873562089097</v>
      </c>
    </row>
    <row r="7" spans="2:10" ht="14.4">
      <c r="B7" s="626" t="s">
        <v>352</v>
      </c>
      <c r="C7" s="626" t="s">
        <v>351</v>
      </c>
      <c r="D7" s="1007" t="s">
        <v>350</v>
      </c>
      <c r="E7" s="1008">
        <v>3288</v>
      </c>
      <c r="F7" s="1008">
        <v>504</v>
      </c>
      <c r="G7" s="1008">
        <f>153985287/12487</f>
        <v>12331.647873788741</v>
      </c>
      <c r="H7" s="1009">
        <f>HLOOKUP($D7,'BEopt Demand Results'!$B$20:$P$22,3,FALSE)*$G7</f>
        <v>1.3229950308412273</v>
      </c>
      <c r="I7" s="1013">
        <f t="shared" si="0"/>
        <v>882.94598776327382</v>
      </c>
      <c r="J7" s="1011">
        <f t="shared" si="1"/>
        <v>0.013229950308412272</v>
      </c>
    </row>
    <row r="8" spans="2:10" ht="14.4">
      <c r="B8" s="626" t="s">
        <v>349</v>
      </c>
      <c r="C8" s="626" t="s">
        <v>348</v>
      </c>
      <c r="D8" s="1007" t="s">
        <v>334</v>
      </c>
      <c r="E8" s="1008">
        <v>3068</v>
      </c>
      <c r="F8" s="1008">
        <v>709</v>
      </c>
      <c r="G8" s="1008">
        <f>449435653/31330</f>
        <v>14345.217140121289</v>
      </c>
      <c r="H8" s="1009">
        <f>HLOOKUP($D8,'BEopt Demand Results'!$B$20:$P$22,3,FALSE)*$G8</f>
        <v>1.2764571941691878</v>
      </c>
      <c r="I8" s="1013">
        <f t="shared" si="0"/>
        <v>1027.1175472326843</v>
      </c>
      <c r="J8" s="1011">
        <f t="shared" si="1"/>
        <v>0.012764571941691878</v>
      </c>
    </row>
    <row r="9" spans="2:10" ht="14.4">
      <c r="B9" s="626" t="s">
        <v>347</v>
      </c>
      <c r="C9" s="626" t="s">
        <v>346</v>
      </c>
      <c r="D9" s="1007" t="s">
        <v>345</v>
      </c>
      <c r="E9" s="1008">
        <v>2915</v>
      </c>
      <c r="F9" s="1008">
        <v>583</v>
      </c>
      <c r="G9" s="1008">
        <f>2167741983/174527</f>
        <v>12420.668337850304</v>
      </c>
      <c r="H9" s="1009">
        <f>HLOOKUP($D9,'BEopt Demand Results'!$B$20:$P$22,3,FALSE)*$G9</f>
        <v>2.1524597602781776</v>
      </c>
      <c r="I9" s="1013">
        <f t="shared" si="0"/>
        <v>889.3198529900817</v>
      </c>
      <c r="J9" s="1011">
        <f t="shared" si="1"/>
        <v>0.021524597602781775</v>
      </c>
    </row>
    <row r="10" spans="2:10" ht="14.4">
      <c r="B10" s="626" t="s">
        <v>344</v>
      </c>
      <c r="C10" s="626" t="s">
        <v>343</v>
      </c>
      <c r="D10" s="1007" t="s">
        <v>342</v>
      </c>
      <c r="E10" s="1008">
        <v>2228</v>
      </c>
      <c r="F10" s="1008">
        <v>889</v>
      </c>
      <c r="G10" s="1008">
        <f>288007840/22167</f>
        <v>12992.639509180313</v>
      </c>
      <c r="H10" s="1009">
        <f>HLOOKUP($D10,'BEopt Demand Results'!$B$20:$P$22,3,FALSE)*$G10</f>
        <v>3.4433162682260776</v>
      </c>
      <c r="I10" s="1013">
        <f t="shared" si="0"/>
        <v>930.27298885731034</v>
      </c>
      <c r="J10" s="1011">
        <f t="shared" si="1"/>
        <v>0.034433162682260779</v>
      </c>
    </row>
    <row r="11" spans="2:10" ht="14.4">
      <c r="B11" s="626" t="s">
        <v>341</v>
      </c>
      <c r="C11" s="1014" t="s">
        <v>340</v>
      </c>
      <c r="D11" s="1015" t="s">
        <v>337</v>
      </c>
      <c r="E11" s="1008">
        <v>2215</v>
      </c>
      <c r="F11" s="1008">
        <v>1133</v>
      </c>
      <c r="G11" s="1008">
        <f>673963607/49085</f>
        <v>13730.541041051238</v>
      </c>
      <c r="H11" s="1009">
        <f>HLOOKUP($D11,'BEopt Demand Results'!$B$20:$P$22,3,FALSE)*$G11</f>
        <v>1.2915879582228063</v>
      </c>
      <c r="I11" s="1013">
        <f t="shared" si="0"/>
        <v>983.10673853926858</v>
      </c>
      <c r="J11" s="1011">
        <f t="shared" si="1"/>
        <v>0.012915879582228063</v>
      </c>
    </row>
    <row r="12" spans="2:10" ht="14.4">
      <c r="B12" s="626" t="s">
        <v>339</v>
      </c>
      <c r="C12" s="626" t="s">
        <v>338</v>
      </c>
      <c r="D12" s="1007" t="s">
        <v>337</v>
      </c>
      <c r="E12" s="1008">
        <v>2215</v>
      </c>
      <c r="F12" s="1008">
        <v>1133</v>
      </c>
      <c r="G12" s="1008">
        <f>162787207/15018</f>
        <v>10839.473098947929</v>
      </c>
      <c r="H12" s="1009">
        <f>HLOOKUP($D12,'BEopt Demand Results'!$B$20:$P$22,3,FALSE)*$G12</f>
        <v>1.0196344693354713</v>
      </c>
      <c r="I12" s="1013">
        <f t="shared" si="0"/>
        <v>776.10627388467162</v>
      </c>
      <c r="J12" s="1011">
        <f t="shared" si="1"/>
        <v>0.010196344693354714</v>
      </c>
    </row>
    <row r="13" spans="2:10" ht="14.4">
      <c r="B13" s="626" t="s">
        <v>336</v>
      </c>
      <c r="C13" s="626" t="s">
        <v>335</v>
      </c>
      <c r="D13" s="1007" t="s">
        <v>334</v>
      </c>
      <c r="E13" s="1008">
        <v>3068</v>
      </c>
      <c r="F13" s="1008">
        <v>709</v>
      </c>
      <c r="G13" s="1008">
        <f>2659200725/186814</f>
        <v>14234.48309548535</v>
      </c>
      <c r="H13" s="1009">
        <f>HLOOKUP($D13,'BEopt Demand Results'!$B$20:$P$22,3,FALSE)*$G13</f>
        <v>1.2666039262448097</v>
      </c>
      <c r="I13" s="1013">
        <f t="shared" si="0"/>
        <v>1019.188989636751</v>
      </c>
      <c r="J13" s="1011">
        <f t="shared" si="1"/>
        <v>0.012666039262448097</v>
      </c>
    </row>
    <row r="14" ht="14.4">
      <c r="P14" s="994"/>
    </row>
    <row r="15" spans="2:13" ht="14.4">
      <c r="B15" s="865" t="s">
        <v>1725</v>
      </c>
      <c r="E15" s="865"/>
      <c r="M15" s="994"/>
    </row>
    <row r="16" spans="2:13" ht="14.4">
      <c r="B16" s="865" t="s">
        <v>1726</v>
      </c>
      <c r="E16" s="865"/>
      <c r="M16" s="994"/>
    </row>
    <row r="17" spans="5:13" ht="14.4">
      <c r="E17" s="865"/>
      <c r="M17" s="994"/>
    </row>
    <row r="18" spans="2:5" ht="14.4">
      <c r="B18" s="1019" t="s">
        <v>196</v>
      </c>
      <c r="C18" s="1019" t="s">
        <v>260</v>
      </c>
      <c r="D18" s="1020" t="s">
        <v>78</v>
      </c>
      <c r="E18" s="501"/>
    </row>
    <row r="19" spans="2:5" ht="28.8">
      <c r="B19" s="1025" t="s">
        <v>689</v>
      </c>
      <c r="C19" s="1026">
        <f>$D$49</f>
        <v>0.071599999999999997</v>
      </c>
      <c r="D19" s="1027" t="s">
        <v>688</v>
      </c>
      <c r="E19" s="1028"/>
    </row>
    <row r="20" spans="2:5" ht="43.2">
      <c r="B20" s="1025" t="s">
        <v>687</v>
      </c>
      <c r="C20" s="1026">
        <v>0.01</v>
      </c>
      <c r="D20" s="1027" t="s">
        <v>686</v>
      </c>
      <c r="E20" s="1028"/>
    </row>
    <row r="21" spans="2:5" ht="14.4">
      <c r="B21" s="341"/>
      <c r="C21" s="339"/>
      <c r="D21" s="942" t="s">
        <v>685</v>
      </c>
      <c r="E21" s="340"/>
    </row>
    <row r="22" spans="2:5" ht="14.4">
      <c r="B22" s="979" t="s">
        <v>684</v>
      </c>
      <c r="C22" s="339"/>
      <c r="D22" s="457"/>
      <c r="E22" s="46"/>
    </row>
    <row r="23" spans="2:5" ht="12.6" customHeight="1">
      <c r="B23" s="1798" t="s">
        <v>683</v>
      </c>
      <c r="C23" s="1798"/>
      <c r="D23" s="1798"/>
      <c r="E23" s="1029"/>
    </row>
    <row r="24" spans="2:5" ht="14.4">
      <c r="B24" s="1798"/>
      <c r="C24" s="1798"/>
      <c r="D24" s="1798"/>
      <c r="E24" s="1029"/>
    </row>
    <row r="25" spans="2:5" ht="14.4">
      <c r="B25" s="1798"/>
      <c r="C25" s="1798"/>
      <c r="D25" s="1798"/>
      <c r="E25" s="1029"/>
    </row>
    <row r="26" spans="2:6" ht="14.4">
      <c r="B26" s="1798"/>
      <c r="C26" s="1798"/>
      <c r="D26" s="1798"/>
      <c r="E26" s="1029"/>
      <c r="F26" s="1029"/>
    </row>
    <row r="27" spans="2:6" ht="14.4">
      <c r="B27" s="1798"/>
      <c r="C27" s="1798"/>
      <c r="D27" s="1798"/>
      <c r="E27" s="1029"/>
      <c r="F27" s="1029"/>
    </row>
    <row r="28" spans="2:8" ht="14.4">
      <c r="B28" s="1798"/>
      <c r="C28" s="1798"/>
      <c r="D28" s="1798"/>
      <c r="E28" s="1029"/>
      <c r="F28" s="1029"/>
      <c r="G28" s="1029"/>
      <c r="H28" s="1029"/>
    </row>
    <row r="29" ht="14.4">
      <c r="B29" s="979" t="s">
        <v>682</v>
      </c>
    </row>
    <row r="30" ht="14.4"/>
    <row r="31" ht="14.4">
      <c r="B31" s="24" t="s">
        <v>681</v>
      </c>
    </row>
    <row r="32" ht="14.4">
      <c r="B32" s="979" t="s">
        <v>680</v>
      </c>
    </row>
    <row r="33" ht="14.4"/>
    <row r="34" ht="14.4">
      <c r="B34" s="24" t="s">
        <v>679</v>
      </c>
    </row>
    <row r="35" ht="14.4">
      <c r="B35" s="979" t="s">
        <v>678</v>
      </c>
    </row>
    <row r="36" ht="14.4"/>
    <row r="37" ht="14.4">
      <c r="B37" s="24" t="s">
        <v>677</v>
      </c>
    </row>
    <row r="38" ht="14.4">
      <c r="B38" s="24" t="s">
        <v>676</v>
      </c>
    </row>
    <row r="39" ht="14.4">
      <c r="B39" s="979" t="s">
        <v>675</v>
      </c>
    </row>
    <row r="40" ht="14.4"/>
    <row r="41" ht="14.4">
      <c r="B41" s="628" t="s">
        <v>674</v>
      </c>
    </row>
    <row r="42" ht="14.4">
      <c r="B42" s="979" t="s">
        <v>673</v>
      </c>
    </row>
    <row r="43" ht="14.4">
      <c r="B43" s="979"/>
    </row>
    <row r="44" spans="2:4" ht="14.4">
      <c r="B44" s="994" t="s">
        <v>1640</v>
      </c>
      <c r="C44" s="628"/>
      <c r="D44" s="843"/>
    </row>
    <row r="45" spans="2:4" ht="14.4">
      <c r="B45" s="628"/>
      <c r="C45" s="994" t="s">
        <v>1641</v>
      </c>
      <c r="D45" s="1030" t="s">
        <v>1642</v>
      </c>
    </row>
    <row r="46" spans="2:4" ht="14.4">
      <c r="B46" s="628" t="s">
        <v>1643</v>
      </c>
      <c r="C46" s="589">
        <v>0.075899999999999995</v>
      </c>
      <c r="D46" s="1031">
        <v>0.075899999999999995</v>
      </c>
    </row>
    <row r="47" spans="2:4" ht="14.4">
      <c r="B47" s="628" t="s">
        <v>1644</v>
      </c>
      <c r="C47" s="589">
        <v>-0.00080000000000000004</v>
      </c>
      <c r="D47" s="1031">
        <v>-0.0040000000000000001</v>
      </c>
    </row>
    <row r="48" spans="2:4" ht="14.4">
      <c r="B48" s="628" t="s">
        <v>1645</v>
      </c>
      <c r="C48" s="589">
        <v>-0.00029999999999999997</v>
      </c>
      <c r="D48" s="1031">
        <v>-0.00029999999999999997</v>
      </c>
    </row>
    <row r="49" spans="2:4" ht="14.4">
      <c r="B49" s="628" t="s">
        <v>1646</v>
      </c>
      <c r="C49" s="589">
        <v>0.074800000000000005</v>
      </c>
      <c r="D49" s="943">
        <v>0.071599999999999997</v>
      </c>
    </row>
    <row r="50" spans="2:4" ht="14.4">
      <c r="B50" s="994" t="s">
        <v>1647</v>
      </c>
      <c r="C50" s="628"/>
      <c r="D50" s="843"/>
    </row>
    <row r="51" ht="14.4"/>
    <row r="52" spans="2:8" ht="14.4">
      <c r="B52" s="628" t="s">
        <v>672</v>
      </c>
      <c r="C52" s="628">
        <v>1</v>
      </c>
      <c r="D52" s="843" t="s">
        <v>174</v>
      </c>
      <c r="E52" s="628"/>
      <c r="F52" s="628"/>
      <c r="G52" s="628"/>
      <c r="H52" s="628"/>
    </row>
  </sheetData>
  <mergeCells count="7">
    <mergeCell ref="G2:H2"/>
    <mergeCell ref="I2:J2"/>
    <mergeCell ref="B23:D28"/>
    <mergeCell ref="B2:B4"/>
    <mergeCell ref="C2:C4"/>
    <mergeCell ref="D2:D4"/>
    <mergeCell ref="E2:F2"/>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theme="2" tint="-0.09997"/>
  </sheetPr>
  <dimension ref="A1:P25"/>
  <sheetViews>
    <sheetView zoomScale="70" zoomScaleNormal="70" workbookViewId="0" topLeftCell="A1">
      <selection pane="topLeft" activeCell="A1" sqref="A1"/>
    </sheetView>
  </sheetViews>
  <sheetFormatPr defaultColWidth="9.21875" defaultRowHeight="14.4"/>
  <cols>
    <col min="1" max="1" width="9.22222222222222" style="24"/>
    <col min="2" max="2" width="21.7777777777778" style="24" customWidth="1"/>
    <col min="3" max="3" width="57.2222222222222" style="24" bestFit="1" customWidth="1"/>
    <col min="4" max="4" width="21.7777777777778" style="665" customWidth="1"/>
    <col min="5" max="6" width="10" style="24" bestFit="1" customWidth="1"/>
    <col min="7" max="10" width="14.7777777777778" style="24" bestFit="1" customWidth="1"/>
    <col min="11" max="11" width="21.7777777777778" style="24" customWidth="1"/>
    <col min="12" max="16" width="15.7777777777778" style="24" customWidth="1"/>
    <col min="17" max="18" width="39.2222222222222" style="24" customWidth="1"/>
    <col min="19" max="19" width="14.7777777777778" style="24" customWidth="1"/>
    <col min="20" max="20" width="22.2222222222222" style="24" bestFit="1" customWidth="1"/>
    <col min="21" max="16384" width="9.22222222222222" style="24"/>
  </cols>
  <sheetData>
    <row r="1" spans="1:4" ht="14.4">
      <c r="A1" s="1003"/>
      <c r="B1" s="979" t="s">
        <v>1632</v>
      </c>
      <c r="C1" s="979"/>
      <c r="D1" s="1004"/>
    </row>
    <row r="2" spans="2:10" ht="13.05" customHeight="1">
      <c r="B2" s="1799" t="s">
        <v>693</v>
      </c>
      <c r="C2" s="1800" t="s">
        <v>1724</v>
      </c>
      <c r="D2" s="1800" t="s">
        <v>361</v>
      </c>
      <c r="E2" s="1799" t="s">
        <v>360</v>
      </c>
      <c r="F2" s="1799"/>
      <c r="G2" s="1796" t="s">
        <v>692</v>
      </c>
      <c r="H2" s="1797"/>
      <c r="I2" s="1799" t="s">
        <v>1680</v>
      </c>
      <c r="J2" s="1799"/>
    </row>
    <row r="3" spans="2:10" ht="14.4">
      <c r="B3" s="1799"/>
      <c r="C3" s="1801"/>
      <c r="D3" s="1801"/>
      <c r="E3" s="1005" t="s">
        <v>359</v>
      </c>
      <c r="F3" s="1005" t="s">
        <v>358</v>
      </c>
      <c r="G3" s="1005" t="s">
        <v>690</v>
      </c>
      <c r="H3" s="1005" t="s">
        <v>690</v>
      </c>
      <c r="I3" s="1005" t="s">
        <v>690</v>
      </c>
      <c r="J3" s="1005" t="s">
        <v>690</v>
      </c>
    </row>
    <row r="4" spans="2:10" ht="12.6" customHeight="1">
      <c r="B4" s="1799"/>
      <c r="C4" s="1802"/>
      <c r="D4" s="1802"/>
      <c r="E4" s="1006" t="s">
        <v>357</v>
      </c>
      <c r="F4" s="1006" t="s">
        <v>357</v>
      </c>
      <c r="G4" s="1006" t="s">
        <v>171</v>
      </c>
      <c r="H4" s="1006" t="s">
        <v>165</v>
      </c>
      <c r="I4" s="1006" t="s">
        <v>171</v>
      </c>
      <c r="J4" s="1006" t="s">
        <v>165</v>
      </c>
    </row>
    <row r="5" spans="2:10" ht="14.4">
      <c r="B5" s="626" t="s">
        <v>356</v>
      </c>
      <c r="C5" s="626" t="s">
        <v>355</v>
      </c>
      <c r="D5" s="1007" t="s">
        <v>342</v>
      </c>
      <c r="E5" s="1008">
        <v>2228</v>
      </c>
      <c r="F5" s="1008">
        <v>889</v>
      </c>
      <c r="G5" s="1008">
        <f>344601795/29838</f>
        <v>11549.091594610898</v>
      </c>
      <c r="H5" s="1009">
        <f>HLOOKUP($D5,'BEopt Demand Results'!$B$20:$P$22,3,FALSE)*$G5</f>
        <v>3.060746428226393</v>
      </c>
      <c r="I5" s="1010">
        <f t="shared" si="0" ref="I5:I13">G5*$C$19</f>
        <v>461.96366378443594</v>
      </c>
      <c r="J5" s="1011">
        <f>H5*$C$20</f>
        <v>0</v>
      </c>
    </row>
    <row r="6" spans="2:10" ht="14.4">
      <c r="B6" s="626" t="s">
        <v>354</v>
      </c>
      <c r="C6" s="626" t="s">
        <v>353</v>
      </c>
      <c r="D6" s="1007" t="s">
        <v>342</v>
      </c>
      <c r="E6" s="1008">
        <v>2228</v>
      </c>
      <c r="F6" s="1008">
        <v>889</v>
      </c>
      <c r="G6" s="1012">
        <f>2158660712/151841</f>
        <v>14216.586508255346</v>
      </c>
      <c r="H6" s="1009">
        <f>HLOOKUP($D6,'BEopt Demand Results'!$B$20:$P$22,3,FALSE)*$G6</f>
        <v>3.7676873562089099</v>
      </c>
      <c r="I6" s="1013">
        <f t="shared" si="0"/>
        <v>568.66346033021387</v>
      </c>
      <c r="J6" s="1011">
        <f t="shared" si="1" ref="J6:J13">H6*$C$20</f>
        <v>0</v>
      </c>
    </row>
    <row r="7" spans="2:10" ht="14.4">
      <c r="B7" s="626" t="s">
        <v>352</v>
      </c>
      <c r="C7" s="626" t="s">
        <v>351</v>
      </c>
      <c r="D7" s="1007" t="s">
        <v>350</v>
      </c>
      <c r="E7" s="1008">
        <v>3288</v>
      </c>
      <c r="F7" s="1008">
        <v>504</v>
      </c>
      <c r="G7" s="1008">
        <f>153985287/12487</f>
        <v>12331.647873788741</v>
      </c>
      <c r="H7" s="1009">
        <f>HLOOKUP($D7,'BEopt Demand Results'!$B$20:$P$22,3,FALSE)*$G7</f>
        <v>1.3229950308412273</v>
      </c>
      <c r="I7" s="1013">
        <f t="shared" si="0"/>
        <v>493.26591495154963</v>
      </c>
      <c r="J7" s="1011">
        <f t="shared" si="1"/>
        <v>0</v>
      </c>
    </row>
    <row r="8" spans="2:10" ht="14.4">
      <c r="B8" s="626" t="s">
        <v>349</v>
      </c>
      <c r="C8" s="626" t="s">
        <v>348</v>
      </c>
      <c r="D8" s="1007" t="s">
        <v>334</v>
      </c>
      <c r="E8" s="1008">
        <v>3068</v>
      </c>
      <c r="F8" s="1008">
        <v>709</v>
      </c>
      <c r="G8" s="1008">
        <f>449435653/31330</f>
        <v>14345.217140121289</v>
      </c>
      <c r="H8" s="1009">
        <f>HLOOKUP($D8,'BEopt Demand Results'!$B$20:$P$22,3,FALSE)*$G8</f>
        <v>1.2764571941691878</v>
      </c>
      <c r="I8" s="1013">
        <f t="shared" si="0"/>
        <v>573.80868560485158</v>
      </c>
      <c r="J8" s="1011">
        <f t="shared" si="1"/>
        <v>0</v>
      </c>
    </row>
    <row r="9" spans="2:10" ht="14.4">
      <c r="B9" s="626" t="s">
        <v>347</v>
      </c>
      <c r="C9" s="626" t="s">
        <v>346</v>
      </c>
      <c r="D9" s="1007" t="s">
        <v>345</v>
      </c>
      <c r="E9" s="1008">
        <v>2915</v>
      </c>
      <c r="F9" s="1008">
        <v>583</v>
      </c>
      <c r="G9" s="1008">
        <f>2167741983/174527</f>
        <v>12420.668337850304</v>
      </c>
      <c r="H9" s="1009">
        <f>HLOOKUP($D9,'BEopt Demand Results'!$B$20:$P$22,3,FALSE)*$G9</f>
        <v>2.1524597602781776</v>
      </c>
      <c r="I9" s="1013">
        <f t="shared" si="0"/>
        <v>496.82673351401218</v>
      </c>
      <c r="J9" s="1011">
        <f t="shared" si="1"/>
        <v>0</v>
      </c>
    </row>
    <row r="10" spans="2:10" ht="14.4">
      <c r="B10" s="626" t="s">
        <v>344</v>
      </c>
      <c r="C10" s="626" t="s">
        <v>343</v>
      </c>
      <c r="D10" s="1007" t="s">
        <v>342</v>
      </c>
      <c r="E10" s="1008">
        <v>2228</v>
      </c>
      <c r="F10" s="1008">
        <v>889</v>
      </c>
      <c r="G10" s="1008">
        <f>288007840/22167</f>
        <v>12992.639509180313</v>
      </c>
      <c r="H10" s="1009">
        <f>HLOOKUP($D10,'BEopt Demand Results'!$B$20:$P$22,3,FALSE)*$G10</f>
        <v>3.4433162682260776</v>
      </c>
      <c r="I10" s="1013">
        <f t="shared" si="0"/>
        <v>519.70558036721252</v>
      </c>
      <c r="J10" s="1011">
        <f t="shared" si="1"/>
        <v>0</v>
      </c>
    </row>
    <row r="11" spans="2:10" ht="14.4">
      <c r="B11" s="1014" t="s">
        <v>341</v>
      </c>
      <c r="C11" s="1014" t="s">
        <v>340</v>
      </c>
      <c r="D11" s="1015" t="s">
        <v>337</v>
      </c>
      <c r="E11" s="1016">
        <v>2215</v>
      </c>
      <c r="F11" s="1016">
        <v>1133</v>
      </c>
      <c r="G11" s="1016">
        <f>673963607/49085</f>
        <v>13730.541041051238</v>
      </c>
      <c r="H11" s="1017">
        <f>HLOOKUP($D11,'BEopt Demand Results'!$B$20:$P$22,3,FALSE)*$G11</f>
        <v>1.2915879582228063</v>
      </c>
      <c r="I11" s="1018">
        <f t="shared" si="0"/>
        <v>549.22164164204958</v>
      </c>
      <c r="J11" s="1011">
        <f t="shared" si="1"/>
        <v>0</v>
      </c>
    </row>
    <row r="12" spans="2:10" ht="14.4">
      <c r="B12" s="626" t="s">
        <v>339</v>
      </c>
      <c r="C12" s="626" t="s">
        <v>338</v>
      </c>
      <c r="D12" s="1007" t="s">
        <v>337</v>
      </c>
      <c r="E12" s="1008">
        <v>2215</v>
      </c>
      <c r="F12" s="1008">
        <v>1133</v>
      </c>
      <c r="G12" s="1008">
        <f>162787207/15018</f>
        <v>10839.473098947929</v>
      </c>
      <c r="H12" s="1009">
        <f>HLOOKUP($D12,'BEopt Demand Results'!$B$20:$P$22,3,FALSE)*$G12</f>
        <v>1.0196344693354713</v>
      </c>
      <c r="I12" s="1013">
        <f t="shared" si="0"/>
        <v>433.57892395791714</v>
      </c>
      <c r="J12" s="1011">
        <f t="shared" si="1"/>
        <v>0</v>
      </c>
    </row>
    <row r="13" spans="2:10" ht="14.4">
      <c r="B13" s="626" t="s">
        <v>336</v>
      </c>
      <c r="C13" s="626" t="s">
        <v>335</v>
      </c>
      <c r="D13" s="1007" t="s">
        <v>334</v>
      </c>
      <c r="E13" s="1008">
        <v>3068</v>
      </c>
      <c r="F13" s="1008">
        <v>709</v>
      </c>
      <c r="G13" s="1008">
        <f>2659200725/186814</f>
        <v>14234.48309548535</v>
      </c>
      <c r="H13" s="1009">
        <f>HLOOKUP($D13,'BEopt Demand Results'!$B$20:$P$22,3,FALSE)*$G13</f>
        <v>1.2666039262448097</v>
      </c>
      <c r="I13" s="1013">
        <f t="shared" si="0"/>
        <v>569.37932381941403</v>
      </c>
      <c r="J13" s="1011">
        <f t="shared" si="1"/>
        <v>0</v>
      </c>
    </row>
    <row r="14" ht="14.4">
      <c r="P14" s="994"/>
    </row>
    <row r="15" spans="2:16" ht="14.4">
      <c r="B15" s="865" t="s">
        <v>1725</v>
      </c>
      <c r="G15" s="865"/>
      <c r="H15" s="865"/>
      <c r="P15" s="994"/>
    </row>
    <row r="16" spans="2:16" ht="14.4">
      <c r="B16" s="865" t="s">
        <v>1726</v>
      </c>
      <c r="G16" s="865"/>
      <c r="H16" s="865"/>
      <c r="P16" s="994"/>
    </row>
    <row r="17" spans="2:16" ht="14.4">
      <c r="B17" s="865"/>
      <c r="G17" s="865"/>
      <c r="H17" s="865"/>
      <c r="P17" s="994"/>
    </row>
    <row r="18" spans="2:8" ht="14.4">
      <c r="B18" s="1019" t="s">
        <v>196</v>
      </c>
      <c r="C18" s="1019" t="s">
        <v>260</v>
      </c>
      <c r="D18" s="1020" t="s">
        <v>78</v>
      </c>
      <c r="G18" s="501"/>
      <c r="H18" s="501"/>
    </row>
    <row r="19" spans="2:8" s="674" customFormat="1" ht="86.4">
      <c r="B19" s="1021" t="s">
        <v>689</v>
      </c>
      <c r="C19" s="1022">
        <v>0.04</v>
      </c>
      <c r="D19" s="1023" t="s">
        <v>821</v>
      </c>
      <c r="G19" s="1024"/>
      <c r="H19" s="1024"/>
    </row>
    <row r="20" spans="2:8" s="674" customFormat="1" ht="115.2">
      <c r="B20" s="1021" t="s">
        <v>687</v>
      </c>
      <c r="C20" s="1022">
        <v>0</v>
      </c>
      <c r="D20" s="1023" t="s">
        <v>820</v>
      </c>
      <c r="G20" s="1024"/>
      <c r="H20" s="1024"/>
    </row>
    <row r="21" spans="2:8" ht="14.4">
      <c r="B21" s="341"/>
      <c r="C21" s="339"/>
      <c r="D21" s="942" t="s">
        <v>685</v>
      </c>
      <c r="G21" s="340"/>
      <c r="H21" s="340"/>
    </row>
    <row r="22" ht="14.4"/>
    <row r="23" spans="2:11" ht="14.4">
      <c r="B23" s="628" t="s">
        <v>672</v>
      </c>
      <c r="C23" s="628">
        <v>1</v>
      </c>
      <c r="D23" s="843" t="s">
        <v>174</v>
      </c>
      <c r="G23" s="628"/>
      <c r="H23" s="628"/>
      <c r="I23" s="628"/>
      <c r="J23" s="628"/>
      <c r="K23" s="628"/>
    </row>
    <row r="24" ht="14.4"/>
    <row r="25" ht="14.4">
      <c r="B25" s="1003" t="s">
        <v>819</v>
      </c>
    </row>
  </sheetData>
  <mergeCells count="6">
    <mergeCell ref="B2:B4"/>
    <mergeCell ref="E2:F2"/>
    <mergeCell ref="I2:J2"/>
    <mergeCell ref="G2:H2"/>
    <mergeCell ref="D2:D4"/>
    <mergeCell ref="C2: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39998"/>
  </sheetPr>
  <dimension ref="A1:AB188"/>
  <sheetViews>
    <sheetView zoomScale="80" zoomScaleNormal="80" workbookViewId="0" topLeftCell="A1">
      <selection pane="topLeft" activeCell="A1" sqref="A1"/>
    </sheetView>
  </sheetViews>
  <sheetFormatPr defaultColWidth="9.21875" defaultRowHeight="14.4"/>
  <cols>
    <col min="1" max="1" width="9.22222222222222" style="267"/>
    <col min="2" max="2" width="14.4444444444444" style="267" customWidth="1"/>
    <col min="3" max="3" width="55.2222222222222" style="267" bestFit="1" customWidth="1"/>
    <col min="4" max="14" width="16.5555555555556" style="267" customWidth="1"/>
    <col min="15" max="15" width="9.22222222222222" style="267"/>
    <col min="16" max="16" width="9.55555555555556" style="267" customWidth="1"/>
    <col min="17" max="17" width="55.2222222222222" style="609" bestFit="1" customWidth="1"/>
    <col min="18" max="28" width="16.5555555555556" style="267" customWidth="1"/>
    <col min="29" max="16384" width="9.22222222222222" style="267"/>
  </cols>
  <sheetData>
    <row r="1" spans="2:4" ht="15" thickBot="1">
      <c r="B1" s="1613" t="s">
        <v>1622</v>
      </c>
      <c r="C1" s="1614"/>
      <c r="D1" s="1614"/>
    </row>
    <row r="2" spans="2:8" ht="14.4">
      <c r="B2" s="593" t="s">
        <v>1160</v>
      </c>
      <c r="C2" s="594">
        <f>'Save Spend Summary'!$C$2</f>
        <v>2015</v>
      </c>
      <c r="E2" s="619"/>
      <c r="F2" s="620"/>
      <c r="G2" s="621"/>
      <c r="H2" s="622"/>
    </row>
    <row r="3" spans="1:8" ht="15" thickBot="1">
      <c r="A3" s="281"/>
      <c r="E3" s="600" t="s">
        <v>1764</v>
      </c>
      <c r="F3" s="598" t="s">
        <v>1766</v>
      </c>
      <c r="G3" s="599" t="s">
        <v>1765</v>
      </c>
      <c r="H3" s="623"/>
    </row>
    <row r="4" spans="2:16" ht="14.4">
      <c r="B4" s="514" t="s">
        <v>1454</v>
      </c>
      <c r="P4" s="514" t="s">
        <v>1454</v>
      </c>
    </row>
    <row r="5" spans="2:28" ht="15.6" customHeight="1">
      <c r="B5" s="1616" t="s">
        <v>882</v>
      </c>
      <c r="C5" s="1615" t="s">
        <v>74</v>
      </c>
      <c r="D5" s="1615" t="s">
        <v>887</v>
      </c>
      <c r="E5" s="1615"/>
      <c r="F5" s="1615"/>
      <c r="G5" s="1615"/>
      <c r="H5" s="1615"/>
      <c r="I5" s="1615"/>
      <c r="J5" s="1615"/>
      <c r="K5" s="1615"/>
      <c r="L5" s="1615"/>
      <c r="M5" s="1615"/>
      <c r="N5" s="1615"/>
      <c r="P5" s="1616" t="str">
        <f>"% "&amp;B5</f>
        <v>% Total Annual MWhs</v>
      </c>
      <c r="Q5" s="1617" t="s">
        <v>74</v>
      </c>
      <c r="R5" s="1615" t="s">
        <v>887</v>
      </c>
      <c r="S5" s="1615"/>
      <c r="T5" s="1615"/>
      <c r="U5" s="1615"/>
      <c r="V5" s="1615"/>
      <c r="W5" s="1615"/>
      <c r="X5" s="1615"/>
      <c r="Y5" s="1615"/>
      <c r="Z5" s="1615"/>
      <c r="AA5" s="1615"/>
      <c r="AB5" s="1615"/>
    </row>
    <row r="6" spans="2:28" ht="15" thickBot="1">
      <c r="B6" s="1616"/>
      <c r="C6" s="1615"/>
      <c r="D6" s="607" t="s">
        <v>889</v>
      </c>
      <c r="E6" s="607" t="s">
        <v>1580</v>
      </c>
      <c r="F6" s="607" t="s">
        <v>892</v>
      </c>
      <c r="G6" s="607" t="s">
        <v>893</v>
      </c>
      <c r="H6" s="607" t="s">
        <v>890</v>
      </c>
      <c r="I6" s="607" t="s">
        <v>891</v>
      </c>
      <c r="J6" s="607" t="s">
        <v>894</v>
      </c>
      <c r="K6" s="607" t="s">
        <v>895</v>
      </c>
      <c r="L6" s="607" t="s">
        <v>896</v>
      </c>
      <c r="M6" s="607" t="s">
        <v>897</v>
      </c>
      <c r="N6" s="607" t="s">
        <v>898</v>
      </c>
      <c r="P6" s="1616"/>
      <c r="Q6" s="1617"/>
      <c r="R6" s="607" t="s">
        <v>889</v>
      </c>
      <c r="S6" s="607" t="s">
        <v>1580</v>
      </c>
      <c r="T6" s="607" t="s">
        <v>892</v>
      </c>
      <c r="U6" s="607" t="s">
        <v>893</v>
      </c>
      <c r="V6" s="607" t="s">
        <v>890</v>
      </c>
      <c r="W6" s="607" t="s">
        <v>891</v>
      </c>
      <c r="X6" s="607" t="s">
        <v>894</v>
      </c>
      <c r="Y6" s="607" t="s">
        <v>895</v>
      </c>
      <c r="Z6" s="607" t="s">
        <v>896</v>
      </c>
      <c r="AA6" s="607" t="s">
        <v>897</v>
      </c>
      <c r="AB6" s="607" t="s">
        <v>898</v>
      </c>
    </row>
    <row r="7" spans="2:28" ht="14.55" customHeight="1">
      <c r="B7" s="1616"/>
      <c r="C7" s="601" t="s">
        <v>61</v>
      </c>
      <c r="D7" s="602">
        <f>SUM(E7:N7)</f>
        <v>7788.6285433059174</v>
      </c>
      <c r="E7" s="602">
        <v>0</v>
      </c>
      <c r="F7" s="602">
        <f>'Talquin 2015'!K24</f>
        <v>232.97034523980852</v>
      </c>
      <c r="G7" s="602">
        <f>'Tri-County 2015'!K24</f>
        <v>447.9731617142628</v>
      </c>
      <c r="H7" s="602">
        <f>'Suwannee 2015'!K24</f>
        <v>1812.1827299608965</v>
      </c>
      <c r="I7" s="602">
        <f>'Clay 2015 without Resizing'!K29</f>
        <v>658.65125075790627</v>
      </c>
      <c r="J7" s="602">
        <f>'Central Florida 2015'!K26</f>
        <v>548.99403492822557</v>
      </c>
      <c r="K7" s="602">
        <f>'Sumter 2015'!K24</f>
        <v>4050.5480461546963</v>
      </c>
      <c r="L7" s="602">
        <f>'Withlacoochee 2015'!K23</f>
        <v>5.5925855999999996</v>
      </c>
      <c r="M7" s="602">
        <f>'Peace River 2015'!K24</f>
        <v>26.123803350119996</v>
      </c>
      <c r="N7" s="602">
        <f>'Glades 2015'!K23</f>
        <v>5.5925855999999996</v>
      </c>
      <c r="P7" s="1616"/>
      <c r="Q7" s="594" t="s">
        <v>61</v>
      </c>
      <c r="R7" s="423">
        <f t="shared" si="0" ref="R7:AB7">D7/D$11</f>
        <v>0.68063973207448303</v>
      </c>
      <c r="S7" s="423">
        <f t="shared" si="0"/>
        <v>0</v>
      </c>
      <c r="T7" s="423">
        <f t="shared" si="0"/>
        <v>0.50083359179083986</v>
      </c>
      <c r="U7" s="423">
        <f t="shared" si="0"/>
        <v>1</v>
      </c>
      <c r="V7" s="423">
        <f t="shared" si="0"/>
        <v>1</v>
      </c>
      <c r="W7" s="423">
        <f t="shared" si="0"/>
        <v>0.58870381977583675</v>
      </c>
      <c r="X7" s="423">
        <f t="shared" si="0"/>
        <v>0.89693489323515696</v>
      </c>
      <c r="Y7" s="423">
        <f t="shared" si="0"/>
        <v>0.77603499184829439</v>
      </c>
      <c r="Z7" s="423">
        <f t="shared" si="0"/>
        <v>0.0057641572852743612</v>
      </c>
      <c r="AA7" s="423">
        <f t="shared" si="0"/>
        <v>0.057905856492428236</v>
      </c>
      <c r="AB7" s="423">
        <f t="shared" si="0"/>
        <v>0.09097343347023748</v>
      </c>
    </row>
    <row r="8" spans="2:28" ht="14.4">
      <c r="B8" s="1616"/>
      <c r="C8" s="601" t="s">
        <v>900</v>
      </c>
      <c r="D8" s="602">
        <f>SUM(E8:N8)</f>
        <v>278.34437800000001</v>
      </c>
      <c r="E8" s="602">
        <v>0</v>
      </c>
      <c r="F8" s="602">
        <f>'Talquin 2015'!K33</f>
        <v>0</v>
      </c>
      <c r="G8" s="602">
        <f>'Tri-County 2015'!K33</f>
        <v>0</v>
      </c>
      <c r="H8" s="602">
        <f>'Suwannee 2015'!K33</f>
        <v>0</v>
      </c>
      <c r="I8" s="602">
        <f>'Clay 2015 without Resizing'!K38</f>
        <v>1.3341899999999998</v>
      </c>
      <c r="J8" s="602">
        <f>'Central Florida 2015'!K35</f>
        <v>0</v>
      </c>
      <c r="K8" s="602">
        <f>'Sumter 2015'!K34</f>
        <v>158.50985800000001</v>
      </c>
      <c r="L8" s="602">
        <f>'Withlacoochee 2015'!K33</f>
        <v>59.707024000000004</v>
      </c>
      <c r="M8" s="602">
        <f>'Peace River 2015'!K33</f>
        <v>2.9109600000000002</v>
      </c>
      <c r="N8" s="602">
        <f>'Glades 2015'!K33</f>
        <v>55.882345999999998</v>
      </c>
      <c r="P8" s="1616"/>
      <c r="Q8" s="594" t="s">
        <v>900</v>
      </c>
      <c r="R8" s="423">
        <f t="shared" si="1" ref="R8:S10">D8/D$11</f>
        <v>0.024324210843151187</v>
      </c>
      <c r="S8" s="423">
        <f t="shared" si="1"/>
        <v>0</v>
      </c>
      <c r="T8" s="423">
        <f t="shared" si="2" ref="T8:AB10">F8/F$11</f>
        <v>0</v>
      </c>
      <c r="U8" s="423">
        <f t="shared" si="2"/>
        <v>0</v>
      </c>
      <c r="V8" s="423">
        <f t="shared" si="2"/>
        <v>0</v>
      </c>
      <c r="W8" s="423">
        <f t="shared" si="2"/>
        <v>0.0011925017198447872</v>
      </c>
      <c r="X8" s="423">
        <f t="shared" si="2"/>
        <v>0</v>
      </c>
      <c r="Y8" s="423">
        <f t="shared" si="2"/>
        <v>0.030368531605909608</v>
      </c>
      <c r="Z8" s="423">
        <f t="shared" si="2"/>
        <v>0.061538741109595382</v>
      </c>
      <c r="AA8" s="423">
        <f t="shared" si="2"/>
        <v>0.0064524154372194295</v>
      </c>
      <c r="AB8" s="423">
        <f t="shared" si="2"/>
        <v>0.90902656652976255</v>
      </c>
    </row>
    <row r="9" spans="2:28" ht="14.4">
      <c r="B9" s="1616"/>
      <c r="C9" s="601" t="s">
        <v>888</v>
      </c>
      <c r="D9" s="602">
        <f>SUM(E9:N9)</f>
        <v>158</v>
      </c>
      <c r="E9" s="602">
        <v>0</v>
      </c>
      <c r="F9" s="602">
        <f>SUM('Talquin 2015'!K28,'Talquin 2015'!K37)</f>
        <v>0</v>
      </c>
      <c r="G9" s="602">
        <f>SUM('Tri-County 2015'!K28,'Tri-County 2015'!K37)</f>
        <v>0</v>
      </c>
      <c r="H9" s="602">
        <f>SUM('Suwannee 2015'!K28,'Suwannee 2015'!K38)</f>
        <v>0</v>
      </c>
      <c r="I9" s="602">
        <f>SUM('Clay 2015 without Resizing'!K33,'Clay 2015 without Resizing'!K42)</f>
        <v>0</v>
      </c>
      <c r="J9" s="602">
        <f>SUM('Central Florida 2015'!K30,'Central Florida 2015'!K40)</f>
        <v>0</v>
      </c>
      <c r="K9" s="602">
        <f>SUM('Sumter 2015'!K28,'Sumter 2015'!K38)</f>
        <v>158</v>
      </c>
      <c r="L9" s="602">
        <f>SUM('Withlacoochee 2015'!K27,'Withlacoochee 2015'!K37)</f>
        <v>0</v>
      </c>
      <c r="M9" s="602">
        <f>SUM('Peace River 2015'!K28,'Peace River 2015'!K38)</f>
        <v>0</v>
      </c>
      <c r="N9" s="602">
        <f>SUM('Glades 2015'!K27,'Glades 2015'!K37)</f>
        <v>0</v>
      </c>
      <c r="P9" s="1616"/>
      <c r="Q9" s="594" t="s">
        <v>888</v>
      </c>
      <c r="R9" s="423">
        <f t="shared" si="1"/>
        <v>0.013807447237960336</v>
      </c>
      <c r="S9" s="423">
        <f t="shared" si="1"/>
        <v>0</v>
      </c>
      <c r="T9" s="423">
        <f t="shared" si="2"/>
        <v>0</v>
      </c>
      <c r="U9" s="423">
        <f t="shared" si="2"/>
        <v>0</v>
      </c>
      <c r="V9" s="423">
        <f t="shared" si="2"/>
        <v>0</v>
      </c>
      <c r="W9" s="423">
        <f t="shared" si="2"/>
        <v>0</v>
      </c>
      <c r="X9" s="423">
        <f t="shared" si="2"/>
        <v>0</v>
      </c>
      <c r="Y9" s="423">
        <f t="shared" si="2"/>
        <v>0.030270849108537577</v>
      </c>
      <c r="Z9" s="423">
        <f t="shared" si="2"/>
        <v>0</v>
      </c>
      <c r="AA9" s="423">
        <f t="shared" si="2"/>
        <v>0</v>
      </c>
      <c r="AB9" s="423">
        <f t="shared" si="2"/>
        <v>0</v>
      </c>
    </row>
    <row r="10" spans="2:28" ht="14.4">
      <c r="B10" s="1616"/>
      <c r="C10" s="601" t="s">
        <v>901</v>
      </c>
      <c r="D10" s="602">
        <f>SUM(E10:N10)</f>
        <v>3218.1271157245401</v>
      </c>
      <c r="E10" s="602">
        <f>'Seminole 2015'!K45</f>
        <v>284.48967185714287</v>
      </c>
      <c r="F10" s="602">
        <f>'Talquin 2015'!K42</f>
        <v>232.19482949771691</v>
      </c>
      <c r="G10" s="602">
        <f>'Tri-County 2015'!K42</f>
        <v>0</v>
      </c>
      <c r="H10" s="602">
        <f>'Suwannee 2015'!K43</f>
        <v>0</v>
      </c>
      <c r="I10" s="602">
        <f>'Clay 2015 without Resizing'!K48</f>
        <v>458.83055572858456</v>
      </c>
      <c r="J10" s="602">
        <f>'Central Florida 2015'!K45</f>
        <v>63.083875150684932</v>
      </c>
      <c r="K10" s="602">
        <f>'Sumter 2015'!K43</f>
        <v>852.48514313424664</v>
      </c>
      <c r="L10" s="602">
        <f>'Withlacoochee 2015'!K42</f>
        <v>904.93512259360728</v>
      </c>
      <c r="M10" s="602">
        <f>'Peace River 2015'!K44</f>
        <v>422.10791776255712</v>
      </c>
      <c r="N10" s="602">
        <f>'Glades 2015'!K42</f>
        <v>0</v>
      </c>
      <c r="P10" s="1616"/>
      <c r="Q10" s="594" t="s">
        <v>901</v>
      </c>
      <c r="R10" s="423">
        <f t="shared" si="1"/>
        <v>0.28122860984440545</v>
      </c>
      <c r="S10" s="423">
        <f t="shared" si="1"/>
        <v>1</v>
      </c>
      <c r="T10" s="423">
        <f t="shared" si="2"/>
        <v>0.49916640820916008</v>
      </c>
      <c r="U10" s="423">
        <f t="shared" si="2"/>
        <v>0</v>
      </c>
      <c r="V10" s="423">
        <f t="shared" si="2"/>
        <v>0</v>
      </c>
      <c r="W10" s="423">
        <f t="shared" si="2"/>
        <v>0.4101036785043185</v>
      </c>
      <c r="X10" s="423">
        <f t="shared" si="2"/>
        <v>0.10306510676484308</v>
      </c>
      <c r="Y10" s="423">
        <f t="shared" si="2"/>
        <v>0.16332562743725845</v>
      </c>
      <c r="Z10" s="423">
        <f t="shared" si="2"/>
        <v>0.93269710160513031</v>
      </c>
      <c r="AA10" s="423">
        <f t="shared" si="2"/>
        <v>0.9356417280703524</v>
      </c>
      <c r="AB10" s="423">
        <f t="shared" si="2"/>
        <v>0</v>
      </c>
    </row>
    <row r="11" spans="2:28" ht="14.4">
      <c r="B11" s="1616"/>
      <c r="C11" s="608" t="s">
        <v>131</v>
      </c>
      <c r="D11" s="429">
        <f>SUM(D7:D10)</f>
        <v>11443.100037030457</v>
      </c>
      <c r="E11" s="429">
        <f t="shared" si="3" ref="E11:N11">SUM(E7:E10)</f>
        <v>284.48967185714287</v>
      </c>
      <c r="F11" s="429">
        <f t="shared" si="3"/>
        <v>465.16517473752543</v>
      </c>
      <c r="G11" s="429">
        <f t="shared" si="3"/>
        <v>447.9731617142628</v>
      </c>
      <c r="H11" s="429">
        <f t="shared" si="3"/>
        <v>1812.1827299608965</v>
      </c>
      <c r="I11" s="429">
        <f t="shared" si="3"/>
        <v>1118.8159964864908</v>
      </c>
      <c r="J11" s="429">
        <f t="shared" si="3"/>
        <v>612.07791007891046</v>
      </c>
      <c r="K11" s="429">
        <f t="shared" si="3"/>
        <v>5219.5430472889429</v>
      </c>
      <c r="L11" s="429">
        <f t="shared" si="3"/>
        <v>970.23473219360721</v>
      </c>
      <c r="M11" s="429">
        <f t="shared" si="3"/>
        <v>451.14268111267711</v>
      </c>
      <c r="N11" s="429">
        <f t="shared" si="3"/>
        <v>61.474931599999998</v>
      </c>
      <c r="P11" s="1616"/>
      <c r="Q11" s="610" t="s">
        <v>131</v>
      </c>
      <c r="R11" s="435">
        <f t="shared" si="4" ref="R11:AB11">SUM(R7:R10)</f>
        <v>1</v>
      </c>
      <c r="S11" s="435">
        <f t="shared" si="4"/>
        <v>1</v>
      </c>
      <c r="T11" s="435">
        <f t="shared" si="4"/>
        <v>1</v>
      </c>
      <c r="U11" s="435">
        <f t="shared" si="4"/>
        <v>1</v>
      </c>
      <c r="V11" s="435">
        <f t="shared" si="4"/>
        <v>1</v>
      </c>
      <c r="W11" s="435">
        <f t="shared" si="4"/>
        <v>1</v>
      </c>
      <c r="X11" s="435">
        <f t="shared" si="4"/>
        <v>1</v>
      </c>
      <c r="Y11" s="435">
        <f t="shared" si="4"/>
        <v>1</v>
      </c>
      <c r="Z11" s="435">
        <f t="shared" si="4"/>
        <v>1</v>
      </c>
      <c r="AA11" s="435">
        <f t="shared" si="4"/>
        <v>1</v>
      </c>
      <c r="AB11" s="435">
        <f t="shared" si="4"/>
        <v>1</v>
      </c>
    </row>
    <row r="12" spans="4:5" ht="14.4">
      <c r="D12" s="603">
        <f>SUM(D7:D8)</f>
        <v>8066.9729213059172</v>
      </c>
      <c r="E12" s="603"/>
    </row>
    <row r="13" spans="2:16" ht="15.6" customHeight="1">
      <c r="B13" s="514" t="s">
        <v>1454</v>
      </c>
      <c r="P13" s="514" t="s">
        <v>1454</v>
      </c>
    </row>
    <row r="14" spans="2:28" ht="14.4">
      <c r="B14" s="1616" t="s">
        <v>883</v>
      </c>
      <c r="C14" s="1615" t="s">
        <v>74</v>
      </c>
      <c r="D14" s="1615" t="s">
        <v>887</v>
      </c>
      <c r="E14" s="1615"/>
      <c r="F14" s="1615"/>
      <c r="G14" s="1615"/>
      <c r="H14" s="1615"/>
      <c r="I14" s="1615"/>
      <c r="J14" s="1615"/>
      <c r="K14" s="1615"/>
      <c r="L14" s="1615"/>
      <c r="M14" s="1615"/>
      <c r="N14" s="1615"/>
      <c r="P14" s="1616" t="str">
        <f>"% "&amp;B14</f>
        <v>% Total Lifetime MWhs</v>
      </c>
      <c r="Q14" s="1617" t="s">
        <v>74</v>
      </c>
      <c r="R14" s="1615" t="s">
        <v>887</v>
      </c>
      <c r="S14" s="1615"/>
      <c r="T14" s="1615"/>
      <c r="U14" s="1615"/>
      <c r="V14" s="1615"/>
      <c r="W14" s="1615"/>
      <c r="X14" s="1615"/>
      <c r="Y14" s="1615"/>
      <c r="Z14" s="1615"/>
      <c r="AA14" s="1615"/>
      <c r="AB14" s="1615"/>
    </row>
    <row r="15" spans="2:28" ht="15" thickBot="1">
      <c r="B15" s="1616"/>
      <c r="C15" s="1615"/>
      <c r="D15" s="607" t="s">
        <v>889</v>
      </c>
      <c r="E15" s="607" t="s">
        <v>1580</v>
      </c>
      <c r="F15" s="607" t="s">
        <v>892</v>
      </c>
      <c r="G15" s="607" t="s">
        <v>893</v>
      </c>
      <c r="H15" s="607" t="s">
        <v>890</v>
      </c>
      <c r="I15" s="607" t="s">
        <v>891</v>
      </c>
      <c r="J15" s="607" t="s">
        <v>894</v>
      </c>
      <c r="K15" s="607" t="s">
        <v>895</v>
      </c>
      <c r="L15" s="607" t="s">
        <v>896</v>
      </c>
      <c r="M15" s="607" t="s">
        <v>897</v>
      </c>
      <c r="N15" s="607" t="s">
        <v>898</v>
      </c>
      <c r="P15" s="1616"/>
      <c r="Q15" s="1617"/>
      <c r="R15" s="607" t="s">
        <v>889</v>
      </c>
      <c r="S15" s="607" t="s">
        <v>1580</v>
      </c>
      <c r="T15" s="607" t="s">
        <v>892</v>
      </c>
      <c r="U15" s="607" t="s">
        <v>893</v>
      </c>
      <c r="V15" s="607" t="s">
        <v>890</v>
      </c>
      <c r="W15" s="607" t="s">
        <v>891</v>
      </c>
      <c r="X15" s="607" t="s">
        <v>894</v>
      </c>
      <c r="Y15" s="607" t="s">
        <v>895</v>
      </c>
      <c r="Z15" s="607" t="s">
        <v>896</v>
      </c>
      <c r="AA15" s="607" t="s">
        <v>897</v>
      </c>
      <c r="AB15" s="607" t="s">
        <v>898</v>
      </c>
    </row>
    <row r="16" spans="2:28" ht="14.4">
      <c r="B16" s="1616"/>
      <c r="C16" s="601" t="s">
        <v>61</v>
      </c>
      <c r="D16" s="602">
        <f>SUM(E16:N16)</f>
        <v>19941.796385524773</v>
      </c>
      <c r="E16" s="602">
        <v>0</v>
      </c>
      <c r="F16" s="602">
        <f>'Talquin 2015'!L24</f>
        <v>339.22947163980848</v>
      </c>
      <c r="G16" s="602">
        <f>'Tri-County 2015'!L24</f>
        <v>554.23228811426281</v>
      </c>
      <c r="H16" s="602">
        <f>'Suwannee 2015'!L24</f>
        <v>1918.4418563608965</v>
      </c>
      <c r="I16" s="602">
        <f>'Clay 2015 without Resizing'!L29</f>
        <v>8523.1441606240423</v>
      </c>
      <c r="J16" s="602">
        <f>'Central Florida 2015'!L26</f>
        <v>889.15311038022548</v>
      </c>
      <c r="K16" s="602">
        <f>'Sumter 2015'!L24</f>
        <v>7238.3218381546958</v>
      </c>
      <c r="L16" s="602">
        <f>'Withlacoochee 2015'!L23</f>
        <v>111.85171199999999</v>
      </c>
      <c r="M16" s="602">
        <f>'Peace River 2015'!L24</f>
        <v>255.57023625083997</v>
      </c>
      <c r="N16" s="602">
        <f>'Glades 2015'!L23</f>
        <v>111.85171199999999</v>
      </c>
      <c r="P16" s="1616"/>
      <c r="Q16" s="594" t="s">
        <v>61</v>
      </c>
      <c r="R16" s="423">
        <f t="shared" si="5" ref="R16:AB19">D16/D$20</f>
        <v>0.61766720646234818</v>
      </c>
      <c r="S16" s="423">
        <f t="shared" si="5"/>
        <v>0</v>
      </c>
      <c r="T16" s="423">
        <f t="shared" si="5"/>
        <v>0.59365601176657989</v>
      </c>
      <c r="U16" s="423">
        <f t="shared" si="5"/>
        <v>1</v>
      </c>
      <c r="V16" s="423">
        <f t="shared" si="5"/>
        <v>1</v>
      </c>
      <c r="W16" s="423">
        <f t="shared" si="5"/>
        <v>0.89956224072319113</v>
      </c>
      <c r="X16" s="423">
        <f t="shared" si="5"/>
        <v>0.93375191668751123</v>
      </c>
      <c r="Y16" s="423">
        <f t="shared" si="5"/>
        <v>0.70900636573022058</v>
      </c>
      <c r="Z16" s="423">
        <f t="shared" si="5"/>
        <v>0.063726385018092926</v>
      </c>
      <c r="AA16" s="423">
        <f t="shared" si="5"/>
        <v>0.23795817870908384</v>
      </c>
      <c r="AB16" s="423">
        <f t="shared" si="5"/>
        <v>0.13930067067345636</v>
      </c>
    </row>
    <row r="17" spans="2:28" ht="14.4">
      <c r="B17" s="1616"/>
      <c r="C17" s="601" t="s">
        <v>900</v>
      </c>
      <c r="D17" s="602">
        <f>SUM(E17:N17)</f>
        <v>3442.2999999999997</v>
      </c>
      <c r="E17" s="602">
        <v>0</v>
      </c>
      <c r="F17" s="602">
        <f>'Talquin 2015'!L33</f>
        <v>0</v>
      </c>
      <c r="G17" s="602">
        <f>'Tri-County 2015'!L33</f>
        <v>0</v>
      </c>
      <c r="H17" s="602">
        <f>'Suwannee 2015'!L33</f>
        <v>0</v>
      </c>
      <c r="I17" s="602">
        <f>'Clay 2015 without Resizing'!L38</f>
        <v>16.499999999999996</v>
      </c>
      <c r="J17" s="602">
        <f>'Central Florida 2015'!L35</f>
        <v>0</v>
      </c>
      <c r="K17" s="602">
        <f>'Sumter 2015'!L34</f>
        <v>1960.2999999999997</v>
      </c>
      <c r="L17" s="602">
        <f>'Withlacoochee 2015'!L33</f>
        <v>738.40000000000009</v>
      </c>
      <c r="M17" s="602">
        <f>'Peace River 2015'!L33</f>
        <v>36</v>
      </c>
      <c r="N17" s="602">
        <f>'Glades 2015'!L33</f>
        <v>691.10</v>
      </c>
      <c r="P17" s="1616"/>
      <c r="Q17" s="594" t="s">
        <v>900</v>
      </c>
      <c r="R17" s="423">
        <f t="shared" si="5"/>
        <v>0.10662007492708585</v>
      </c>
      <c r="S17" s="423">
        <f t="shared" si="5"/>
        <v>0</v>
      </c>
      <c r="T17" s="423">
        <f t="shared" si="5"/>
        <v>0</v>
      </c>
      <c r="U17" s="423">
        <f t="shared" si="5"/>
        <v>0</v>
      </c>
      <c r="V17" s="423">
        <f t="shared" si="5"/>
        <v>0</v>
      </c>
      <c r="W17" s="423">
        <f t="shared" si="5"/>
        <v>0.0017414673144336328</v>
      </c>
      <c r="X17" s="423">
        <f t="shared" si="5"/>
        <v>0</v>
      </c>
      <c r="Y17" s="423">
        <f t="shared" si="5"/>
        <v>0.19201483573370329</v>
      </c>
      <c r="Z17" s="423">
        <f t="shared" si="5"/>
        <v>0.42069595409822447</v>
      </c>
      <c r="AA17" s="423">
        <f t="shared" si="5"/>
        <v>0.033519139627507633</v>
      </c>
      <c r="AB17" s="423">
        <f t="shared" si="5"/>
        <v>0.86069932932654358</v>
      </c>
    </row>
    <row r="18" spans="2:28" ht="14.4">
      <c r="B18" s="1616"/>
      <c r="C18" s="601" t="s">
        <v>888</v>
      </c>
      <c r="D18" s="602">
        <f>SUM(E18:N18)</f>
        <v>158</v>
      </c>
      <c r="E18" s="602">
        <v>0</v>
      </c>
      <c r="F18" s="602">
        <f>SUM('Talquin 2015'!L28,'Talquin 2015'!L37)</f>
        <v>0</v>
      </c>
      <c r="G18" s="602">
        <f>SUM('Tri-County 2015'!L28,'Tri-County 2015'!L37)</f>
        <v>0</v>
      </c>
      <c r="H18" s="602">
        <f>SUM('Suwannee 2015'!L28,'Suwannee 2015'!L38)</f>
        <v>0</v>
      </c>
      <c r="I18" s="602">
        <f>SUM('Clay 2015 without Resizing'!L33,'Clay 2015 without Resizing'!L42)</f>
        <v>0</v>
      </c>
      <c r="J18" s="602">
        <f>SUM('Central Florida 2015'!L30,'Central Florida 2015'!L40)</f>
        <v>0</v>
      </c>
      <c r="K18" s="602">
        <f>SUM('Sumter 2015'!L28,'Sumter 2015'!L38)</f>
        <v>158</v>
      </c>
      <c r="L18" s="602">
        <f>SUM('Withlacoochee 2015'!L27,'Withlacoochee 2015'!L37)</f>
        <v>0</v>
      </c>
      <c r="M18" s="602">
        <f>SUM('Peace River 2015'!L28,'Peace River 2015'!L38)</f>
        <v>0</v>
      </c>
      <c r="N18" s="602">
        <f>SUM('Glades 2015'!L27,'Glades 2015'!L37)</f>
        <v>0</v>
      </c>
      <c r="P18" s="1616"/>
      <c r="Q18" s="594" t="s">
        <v>888</v>
      </c>
      <c r="R18" s="423">
        <f t="shared" si="5"/>
        <v>0.0048938128107601214</v>
      </c>
      <c r="S18" s="423">
        <f t="shared" si="5"/>
        <v>0</v>
      </c>
      <c r="T18" s="423">
        <f t="shared" si="5"/>
        <v>0</v>
      </c>
      <c r="U18" s="423">
        <f t="shared" si="5"/>
        <v>0</v>
      </c>
      <c r="V18" s="423">
        <f t="shared" si="5"/>
        <v>0</v>
      </c>
      <c r="W18" s="423">
        <f t="shared" si="5"/>
        <v>0</v>
      </c>
      <c r="X18" s="423">
        <f t="shared" si="5"/>
        <v>0</v>
      </c>
      <c r="Y18" s="423">
        <f t="shared" si="5"/>
        <v>0.015476378128819633</v>
      </c>
      <c r="Z18" s="423">
        <f t="shared" si="5"/>
        <v>0</v>
      </c>
      <c r="AA18" s="423">
        <f t="shared" si="5"/>
        <v>0</v>
      </c>
      <c r="AB18" s="423">
        <f t="shared" si="5"/>
        <v>0</v>
      </c>
    </row>
    <row r="19" spans="2:28" ht="14.4">
      <c r="B19" s="1616"/>
      <c r="C19" s="601" t="s">
        <v>901</v>
      </c>
      <c r="D19" s="602">
        <f>SUM(E19:N19)</f>
        <v>8743.5684140364901</v>
      </c>
      <c r="E19" s="602">
        <f>'Seminole 2015'!L45</f>
        <v>4973.3018948240633</v>
      </c>
      <c r="F19" s="602">
        <f>'Talquin 2015'!L42</f>
        <v>232.19482949771691</v>
      </c>
      <c r="G19" s="602">
        <f>'Tri-County 2015'!L42</f>
        <v>0</v>
      </c>
      <c r="H19" s="602">
        <f>'Suwannee 2015'!L43</f>
        <v>0</v>
      </c>
      <c r="I19" s="602">
        <f>'Clay 2015 without Resizing'!L48</f>
        <v>935.12453772858476</v>
      </c>
      <c r="J19" s="602">
        <f>'Central Florida 2015'!L45</f>
        <v>63.083875150684932</v>
      </c>
      <c r="K19" s="602">
        <f>'Sumter 2015'!L43</f>
        <v>852.48514313424664</v>
      </c>
      <c r="L19" s="602">
        <f>'Withlacoochee 2015'!L42</f>
        <v>904.93512259360728</v>
      </c>
      <c r="M19" s="602">
        <f>'Peace River 2015'!L44</f>
        <v>782.44301110758681</v>
      </c>
      <c r="N19" s="602">
        <f>'Glades 2015'!L42</f>
        <v>0</v>
      </c>
      <c r="P19" s="1616"/>
      <c r="Q19" s="594" t="s">
        <v>901</v>
      </c>
      <c r="R19" s="423">
        <f t="shared" si="5"/>
        <v>0.27081890579980589</v>
      </c>
      <c r="S19" s="423">
        <f t="shared" si="5"/>
        <v>1</v>
      </c>
      <c r="T19" s="423">
        <f t="shared" si="5"/>
        <v>0.40634398823342011</v>
      </c>
      <c r="U19" s="423">
        <f t="shared" si="5"/>
        <v>0</v>
      </c>
      <c r="V19" s="423">
        <f t="shared" si="5"/>
        <v>0</v>
      </c>
      <c r="W19" s="423">
        <f t="shared" si="5"/>
        <v>0.098696291962375227</v>
      </c>
      <c r="X19" s="423">
        <f t="shared" si="5"/>
        <v>0.066248083312488784</v>
      </c>
      <c r="Y19" s="423">
        <f t="shared" si="5"/>
        <v>0.083502420407256514</v>
      </c>
      <c r="Z19" s="423">
        <f t="shared" si="5"/>
        <v>0.51557766088368262</v>
      </c>
      <c r="AA19" s="423">
        <f t="shared" si="5"/>
        <v>0.72852268166340861</v>
      </c>
      <c r="AB19" s="423">
        <f t="shared" si="5"/>
        <v>0</v>
      </c>
    </row>
    <row r="20" spans="2:28" ht="14.4">
      <c r="B20" s="1616"/>
      <c r="C20" s="608" t="s">
        <v>131</v>
      </c>
      <c r="D20" s="429">
        <f t="shared" si="6" ref="D20:N20">SUM(D16:D19)</f>
        <v>32285.664799561262</v>
      </c>
      <c r="E20" s="429">
        <f t="shared" si="6"/>
        <v>4973.3018948240633</v>
      </c>
      <c r="F20" s="429">
        <f t="shared" si="6"/>
        <v>571.42430113752539</v>
      </c>
      <c r="G20" s="429">
        <f t="shared" si="6"/>
        <v>554.23228811426281</v>
      </c>
      <c r="H20" s="429">
        <f t="shared" si="6"/>
        <v>1918.4418563608965</v>
      </c>
      <c r="I20" s="429">
        <f t="shared" si="6"/>
        <v>9474.7686983526273</v>
      </c>
      <c r="J20" s="429">
        <f t="shared" si="6"/>
        <v>952.23698553091037</v>
      </c>
      <c r="K20" s="429">
        <f t="shared" si="6"/>
        <v>10209.106981288942</v>
      </c>
      <c r="L20" s="429">
        <f t="shared" si="6"/>
        <v>1755.1868345936073</v>
      </c>
      <c r="M20" s="429">
        <f t="shared" si="6"/>
        <v>1074.0132473584267</v>
      </c>
      <c r="N20" s="429">
        <f t="shared" si="6"/>
        <v>802.95171200000004</v>
      </c>
      <c r="P20" s="1616"/>
      <c r="Q20" s="610" t="s">
        <v>131</v>
      </c>
      <c r="R20" s="435">
        <f t="shared" si="7" ref="R20:AB20">SUM(R16:R19)</f>
        <v>1</v>
      </c>
      <c r="S20" s="435">
        <f>SUM(S16:S19)</f>
        <v>1</v>
      </c>
      <c r="T20" s="435">
        <f t="shared" si="7"/>
        <v>1</v>
      </c>
      <c r="U20" s="435">
        <f t="shared" si="7"/>
        <v>1</v>
      </c>
      <c r="V20" s="435">
        <f t="shared" si="7"/>
        <v>1</v>
      </c>
      <c r="W20" s="435">
        <f t="shared" si="7"/>
        <v>1</v>
      </c>
      <c r="X20" s="435">
        <f t="shared" si="7"/>
        <v>1</v>
      </c>
      <c r="Y20" s="435">
        <f t="shared" si="7"/>
        <v>1</v>
      </c>
      <c r="Z20" s="435">
        <f t="shared" si="7"/>
        <v>1</v>
      </c>
      <c r="AA20" s="435">
        <f t="shared" si="7"/>
        <v>1</v>
      </c>
      <c r="AB20" s="435">
        <f t="shared" si="7"/>
        <v>1</v>
      </c>
    </row>
    <row r="21" spans="4:5" ht="14.4">
      <c r="D21" s="603">
        <f>SUM(D16:D17)</f>
        <v>23384.096385524772</v>
      </c>
      <c r="E21" s="603"/>
    </row>
    <row r="22" spans="2:16" ht="14.4">
      <c r="B22" s="514" t="s">
        <v>1454</v>
      </c>
      <c r="P22" s="514" t="s">
        <v>1454</v>
      </c>
    </row>
    <row r="23" spans="2:28" ht="14.4">
      <c r="B23" s="1616" t="s">
        <v>902</v>
      </c>
      <c r="C23" s="1615" t="s">
        <v>74</v>
      </c>
      <c r="D23" s="1615" t="s">
        <v>887</v>
      </c>
      <c r="E23" s="1615"/>
      <c r="F23" s="1615"/>
      <c r="G23" s="1615"/>
      <c r="H23" s="1615"/>
      <c r="I23" s="1615"/>
      <c r="J23" s="1615"/>
      <c r="K23" s="1615"/>
      <c r="L23" s="1615"/>
      <c r="M23" s="1615"/>
      <c r="N23" s="1615"/>
      <c r="P23" s="1616" t="str">
        <f>"% "&amp;B23</f>
        <v>% Total Annual kW</v>
      </c>
      <c r="Q23" s="1617" t="s">
        <v>74</v>
      </c>
      <c r="R23" s="1615" t="s">
        <v>887</v>
      </c>
      <c r="S23" s="1615"/>
      <c r="T23" s="1615"/>
      <c r="U23" s="1615"/>
      <c r="V23" s="1615"/>
      <c r="W23" s="1615"/>
      <c r="X23" s="1615"/>
      <c r="Y23" s="1615"/>
      <c r="Z23" s="1615"/>
      <c r="AA23" s="1615"/>
      <c r="AB23" s="1615"/>
    </row>
    <row r="24" spans="2:28" ht="15" thickBot="1">
      <c r="B24" s="1616"/>
      <c r="C24" s="1615"/>
      <c r="D24" s="607" t="s">
        <v>889</v>
      </c>
      <c r="E24" s="607" t="s">
        <v>1580</v>
      </c>
      <c r="F24" s="607" t="s">
        <v>892</v>
      </c>
      <c r="G24" s="607" t="s">
        <v>893</v>
      </c>
      <c r="H24" s="607" t="s">
        <v>890</v>
      </c>
      <c r="I24" s="607" t="s">
        <v>891</v>
      </c>
      <c r="J24" s="607" t="s">
        <v>894</v>
      </c>
      <c r="K24" s="607" t="s">
        <v>895</v>
      </c>
      <c r="L24" s="607" t="s">
        <v>896</v>
      </c>
      <c r="M24" s="607" t="s">
        <v>897</v>
      </c>
      <c r="N24" s="607" t="s">
        <v>898</v>
      </c>
      <c r="P24" s="1616"/>
      <c r="Q24" s="1617"/>
      <c r="R24" s="607" t="s">
        <v>889</v>
      </c>
      <c r="S24" s="607" t="s">
        <v>1580</v>
      </c>
      <c r="T24" s="607" t="s">
        <v>892</v>
      </c>
      <c r="U24" s="607" t="s">
        <v>893</v>
      </c>
      <c r="V24" s="607" t="s">
        <v>890</v>
      </c>
      <c r="W24" s="607" t="s">
        <v>891</v>
      </c>
      <c r="X24" s="607" t="s">
        <v>894</v>
      </c>
      <c r="Y24" s="607" t="s">
        <v>895</v>
      </c>
      <c r="Z24" s="607" t="s">
        <v>896</v>
      </c>
      <c r="AA24" s="607" t="s">
        <v>897</v>
      </c>
      <c r="AB24" s="607" t="s">
        <v>898</v>
      </c>
    </row>
    <row r="25" spans="1:28" ht="14.4">
      <c r="A25" s="272">
        <f>D25/$D$29</f>
        <v>0.005554314052047476</v>
      </c>
      <c r="B25" s="1616"/>
      <c r="C25" s="601" t="s">
        <v>61</v>
      </c>
      <c r="D25" s="602">
        <f>SUM(E25:N25)</f>
        <v>435.88694772373111</v>
      </c>
      <c r="E25" s="436">
        <v>0</v>
      </c>
      <c r="F25" s="436">
        <f>'Talquin 2015'!M24</f>
        <v>0.64931673151750968</v>
      </c>
      <c r="G25" s="436">
        <f>'Tri-County 2015'!M24</f>
        <v>6.4612332067296965</v>
      </c>
      <c r="H25" s="436">
        <f>'Suwannee 2015'!M24</f>
        <v>67.518518660467947</v>
      </c>
      <c r="I25" s="436">
        <f>'Clay 2015 without Resizing'!M29</f>
        <v>219.71904371294184</v>
      </c>
      <c r="J25" s="436">
        <f>'Central Florida 2015'!M26</f>
        <v>23.783922472881386</v>
      </c>
      <c r="K25" s="436">
        <f>'Sumter 2015'!M24</f>
        <v>113.45589507927053</v>
      </c>
      <c r="L25" s="436">
        <f>'Withlacoochee 2015'!M23</f>
        <v>0.64931673151750968</v>
      </c>
      <c r="M25" s="436">
        <f>'Peace River 2015'!M24</f>
        <v>3.00038439688716</v>
      </c>
      <c r="N25" s="436">
        <f>'Glades 2015'!M23</f>
        <v>0.64931673151750968</v>
      </c>
      <c r="P25" s="1616"/>
      <c r="Q25" s="594" t="s">
        <v>61</v>
      </c>
      <c r="R25" s="423">
        <f>D25/D$29</f>
        <v>0.005554314052047476</v>
      </c>
      <c r="S25" s="423">
        <f t="shared" si="8" ref="S25:T28">E25/E$29</f>
        <v>0</v>
      </c>
      <c r="T25" s="423">
        <f t="shared" si="8"/>
        <v>0.00014559319696182756</v>
      </c>
      <c r="U25" s="423">
        <f t="shared" si="9" ref="U25:AB28">G25/G$29</f>
        <v>1</v>
      </c>
      <c r="V25" s="423">
        <f t="shared" si="9"/>
        <v>1</v>
      </c>
      <c r="W25" s="423">
        <f t="shared" si="9"/>
        <v>0.01252898886932432</v>
      </c>
      <c r="X25" s="423">
        <f t="shared" si="9"/>
        <v>0.019103231153450306</v>
      </c>
      <c r="Y25" s="423">
        <f t="shared" si="9"/>
        <v>0.0035691821109525915</v>
      </c>
      <c r="Z25" s="423">
        <f t="shared" si="9"/>
        <v>3.7801166301269982E-05</v>
      </c>
      <c r="AA25" s="423">
        <f t="shared" si="9"/>
        <v>0.00048537389963933844</v>
      </c>
      <c r="AB25" s="423">
        <f t="shared" si="9"/>
        <v>1</v>
      </c>
    </row>
    <row r="26" spans="1:28" ht="14.4">
      <c r="A26" s="272">
        <f>D26/$D$29</f>
        <v>0</v>
      </c>
      <c r="B26" s="1616"/>
      <c r="C26" s="601" t="s">
        <v>900</v>
      </c>
      <c r="D26" s="602">
        <f>SUM(E26:N26)</f>
        <v>0</v>
      </c>
      <c r="E26" s="436">
        <v>0</v>
      </c>
      <c r="F26" s="436">
        <f>'Talquin 2015'!M33</f>
        <v>0</v>
      </c>
      <c r="G26" s="436">
        <f>'Tri-County 2015'!M33</f>
        <v>0</v>
      </c>
      <c r="H26" s="436">
        <f>'Suwannee 2015'!M33</f>
        <v>0</v>
      </c>
      <c r="I26" s="436">
        <f>'Clay 2015 without Resizing'!M38</f>
        <v>0</v>
      </c>
      <c r="J26" s="436">
        <f>'Central Florida 2015'!M35</f>
        <v>0</v>
      </c>
      <c r="K26" s="436">
        <f>'Sumter 2015'!M34</f>
        <v>0</v>
      </c>
      <c r="L26" s="436">
        <f>'Withlacoochee 2015'!M33</f>
        <v>0</v>
      </c>
      <c r="M26" s="436">
        <f>'Peace River 2015'!M33</f>
        <v>0</v>
      </c>
      <c r="N26" s="436">
        <f>'Glades 2015'!M33</f>
        <v>0</v>
      </c>
      <c r="P26" s="1616"/>
      <c r="Q26" s="594" t="s">
        <v>900</v>
      </c>
      <c r="R26" s="423">
        <f>D26/D$29</f>
        <v>0</v>
      </c>
      <c r="S26" s="423">
        <f t="shared" si="8"/>
        <v>0</v>
      </c>
      <c r="T26" s="423">
        <f t="shared" si="8"/>
        <v>0</v>
      </c>
      <c r="U26" s="423">
        <f t="shared" si="9"/>
        <v>0</v>
      </c>
      <c r="V26" s="423">
        <f t="shared" si="9"/>
        <v>0</v>
      </c>
      <c r="W26" s="423">
        <f t="shared" si="9"/>
        <v>0</v>
      </c>
      <c r="X26" s="423">
        <f t="shared" si="9"/>
        <v>0</v>
      </c>
      <c r="Y26" s="423">
        <f t="shared" si="9"/>
        <v>0</v>
      </c>
      <c r="Z26" s="423">
        <f t="shared" si="9"/>
        <v>0</v>
      </c>
      <c r="AA26" s="423">
        <f t="shared" si="9"/>
        <v>0</v>
      </c>
      <c r="AB26" s="423">
        <f t="shared" si="9"/>
        <v>0</v>
      </c>
    </row>
    <row r="27" spans="1:28" ht="14.4">
      <c r="A27" s="272">
        <f>D27/$D$29</f>
        <v>0.21662346022953963</v>
      </c>
      <c r="B27" s="1616"/>
      <c r="C27" s="601" t="s">
        <v>888</v>
      </c>
      <c r="D27" s="602">
        <f>SUM(E27:N27)</f>
        <v>17000</v>
      </c>
      <c r="E27" s="436">
        <v>0</v>
      </c>
      <c r="F27" s="436">
        <f>SUM('Talquin 2015'!M28,'Talquin 2015'!M37)</f>
        <v>0</v>
      </c>
      <c r="G27" s="436">
        <f>SUM('Tri-County 2015'!M28,'Tri-County 2015'!M37)</f>
        <v>0</v>
      </c>
      <c r="H27" s="436">
        <f>SUM('Suwannee 2015'!M28,'Suwannee 2015'!M38)</f>
        <v>0</v>
      </c>
      <c r="I27" s="436">
        <f>SUM('Clay 2015 without Resizing'!M33,'Clay 2015 without Resizing'!M42)</f>
        <v>0</v>
      </c>
      <c r="J27" s="436">
        <f>SUM('Central Florida 2015'!M30,'Central Florida 2015'!M40)</f>
        <v>0</v>
      </c>
      <c r="K27" s="436">
        <f>SUM('Sumter 2015'!M28,'Sumter 2015'!M38)</f>
        <v>17000</v>
      </c>
      <c r="L27" s="436">
        <f>SUM('Withlacoochee 2015'!M27,'Withlacoochee 2015'!M37)</f>
        <v>0</v>
      </c>
      <c r="M27" s="436">
        <f>SUM('Peace River 2015'!M28,'Peace River 2015'!M38)</f>
        <v>0</v>
      </c>
      <c r="N27" s="436">
        <f>SUM('Glades 2015'!M27,'Glades 2015'!M37)</f>
        <v>0</v>
      </c>
      <c r="P27" s="1616"/>
      <c r="Q27" s="594" t="s">
        <v>888</v>
      </c>
      <c r="R27" s="423">
        <f>D27/D$29</f>
        <v>0.21662346022953963</v>
      </c>
      <c r="S27" s="423">
        <f t="shared" si="8"/>
        <v>0</v>
      </c>
      <c r="T27" s="423">
        <f t="shared" si="8"/>
        <v>0</v>
      </c>
      <c r="U27" s="423">
        <f t="shared" si="9"/>
        <v>0</v>
      </c>
      <c r="V27" s="423">
        <f t="shared" si="9"/>
        <v>0</v>
      </c>
      <c r="W27" s="423">
        <f t="shared" si="9"/>
        <v>0</v>
      </c>
      <c r="X27" s="423">
        <f t="shared" si="9"/>
        <v>0</v>
      </c>
      <c r="Y27" s="423">
        <f t="shared" si="9"/>
        <v>0.5347989705056776</v>
      </c>
      <c r="Z27" s="423">
        <f t="shared" si="9"/>
        <v>0</v>
      </c>
      <c r="AA27" s="423">
        <f t="shared" si="9"/>
        <v>0</v>
      </c>
      <c r="AB27" s="423">
        <f t="shared" si="9"/>
        <v>0</v>
      </c>
    </row>
    <row r="28" spans="1:28" ht="14.4">
      <c r="A28" s="272">
        <f>D28/$D$29</f>
        <v>0.77782222571841297</v>
      </c>
      <c r="B28" s="1616"/>
      <c r="C28" s="601" t="s">
        <v>901</v>
      </c>
      <c r="D28" s="602">
        <f>SUM(E28:N28)</f>
        <v>61041.300989290925</v>
      </c>
      <c r="E28" s="436">
        <f>'Seminole 2015'!M45</f>
        <v>14.482342073599998</v>
      </c>
      <c r="F28" s="436">
        <f>'Talquin 2015'!M42</f>
        <v>4459.152</v>
      </c>
      <c r="G28" s="436">
        <f>'Tri-County 2015'!M42</f>
        <v>0</v>
      </c>
      <c r="H28" s="436">
        <f>'Suwannee 2015'!M43</f>
        <v>0</v>
      </c>
      <c r="I28" s="436">
        <f>'Clay 2015 without Resizing'!M48</f>
        <v>17317.134568703998</v>
      </c>
      <c r="J28" s="436">
        <f>'Central Florida 2015'!M45</f>
        <v>1221.2370000000001</v>
      </c>
      <c r="K28" s="436">
        <f>'Sumter 2015'!M43</f>
        <v>14674.18944</v>
      </c>
      <c r="L28" s="436">
        <f>'Withlacoochee 2015'!M42</f>
        <v>17176.511999999999</v>
      </c>
      <c r="M28" s="436">
        <f>'Peace River 2015'!M44</f>
        <v>6178.5936385133336</v>
      </c>
      <c r="N28" s="436">
        <f>'Glades 2015'!M42</f>
        <v>0</v>
      </c>
      <c r="P28" s="1616"/>
      <c r="Q28" s="594" t="s">
        <v>901</v>
      </c>
      <c r="R28" s="423">
        <f>D28/D$29</f>
        <v>0.77782222571841297</v>
      </c>
      <c r="S28" s="423">
        <f t="shared" si="8"/>
        <v>1</v>
      </c>
      <c r="T28" s="423">
        <f t="shared" si="8"/>
        <v>0.99985440680303816</v>
      </c>
      <c r="U28" s="423">
        <f t="shared" si="9"/>
        <v>0</v>
      </c>
      <c r="V28" s="423">
        <f t="shared" si="9"/>
        <v>0</v>
      </c>
      <c r="W28" s="423">
        <f t="shared" si="9"/>
        <v>0.98747101113067559</v>
      </c>
      <c r="X28" s="423">
        <f t="shared" si="9"/>
        <v>0.98089676884654975</v>
      </c>
      <c r="Y28" s="423">
        <f t="shared" si="9"/>
        <v>0.46163184738336976</v>
      </c>
      <c r="Z28" s="423">
        <f t="shared" si="9"/>
        <v>0.99996219883369875</v>
      </c>
      <c r="AA28" s="423">
        <f t="shared" si="9"/>
        <v>0.99951462610036068</v>
      </c>
      <c r="AB28" s="423">
        <f t="shared" si="9"/>
        <v>0</v>
      </c>
    </row>
    <row r="29" spans="1:28" ht="14.4">
      <c r="A29" s="272">
        <f>D29/$D$29</f>
        <v>1</v>
      </c>
      <c r="B29" s="1616"/>
      <c r="C29" s="608" t="s">
        <v>131</v>
      </c>
      <c r="D29" s="429">
        <f t="shared" si="10" ref="D29:N29">SUM(D25:D28)</f>
        <v>78477.187937014649</v>
      </c>
      <c r="E29" s="429">
        <f t="shared" si="10"/>
        <v>14.482342073599998</v>
      </c>
      <c r="F29" s="429">
        <f t="shared" si="10"/>
        <v>4459.8013167315175</v>
      </c>
      <c r="G29" s="429">
        <f t="shared" si="10"/>
        <v>6.4612332067296965</v>
      </c>
      <c r="H29" s="429">
        <f t="shared" si="10"/>
        <v>67.518518660467947</v>
      </c>
      <c r="I29" s="429">
        <f t="shared" si="10"/>
        <v>17536.85361241694</v>
      </c>
      <c r="J29" s="429">
        <f t="shared" si="10"/>
        <v>1245.0209224728815</v>
      </c>
      <c r="K29" s="429">
        <f t="shared" si="10"/>
        <v>31787.645335079273</v>
      </c>
      <c r="L29" s="429">
        <f t="shared" si="10"/>
        <v>17177.161316731515</v>
      </c>
      <c r="M29" s="429">
        <f t="shared" si="10"/>
        <v>6181.5940229102207</v>
      </c>
      <c r="N29" s="429">
        <f t="shared" si="10"/>
        <v>0.64931673151750968</v>
      </c>
      <c r="P29" s="1616"/>
      <c r="Q29" s="610" t="s">
        <v>131</v>
      </c>
      <c r="R29" s="435">
        <f t="shared" si="11" ref="R29:AB29">SUM(R25:R28)</f>
        <v>1</v>
      </c>
      <c r="S29" s="435">
        <f>SUM(S25:S28)</f>
        <v>1</v>
      </c>
      <c r="T29" s="435">
        <f t="shared" si="11"/>
        <v>1</v>
      </c>
      <c r="U29" s="435">
        <f t="shared" si="11"/>
        <v>1</v>
      </c>
      <c r="V29" s="435">
        <f t="shared" si="11"/>
        <v>1</v>
      </c>
      <c r="W29" s="435">
        <f t="shared" si="11"/>
        <v>0.99999999999999989</v>
      </c>
      <c r="X29" s="435">
        <f t="shared" si="11"/>
        <v>1</v>
      </c>
      <c r="Y29" s="435">
        <f t="shared" si="11"/>
        <v>1</v>
      </c>
      <c r="Z29" s="435">
        <f t="shared" si="11"/>
        <v>1</v>
      </c>
      <c r="AA29" s="435">
        <f>SUM(AA25:AA28)</f>
        <v>1</v>
      </c>
      <c r="AB29" s="435">
        <f t="shared" si="11"/>
        <v>1</v>
      </c>
    </row>
    <row r="30" spans="4:5" ht="14.4">
      <c r="D30" s="603">
        <f>SUM(D25:D26)</f>
        <v>435.88694772373111</v>
      </c>
      <c r="E30" s="603"/>
    </row>
    <row r="31" spans="2:16" ht="14.4">
      <c r="B31" s="514" t="s">
        <v>1455</v>
      </c>
      <c r="P31" s="514" t="s">
        <v>1455</v>
      </c>
    </row>
    <row r="32" spans="2:28" ht="14.4">
      <c r="B32" s="1616" t="s">
        <v>882</v>
      </c>
      <c r="C32" s="1615" t="s">
        <v>74</v>
      </c>
      <c r="D32" s="1615" t="s">
        <v>887</v>
      </c>
      <c r="E32" s="1615"/>
      <c r="F32" s="1615"/>
      <c r="G32" s="1615"/>
      <c r="H32" s="1615"/>
      <c r="I32" s="1615"/>
      <c r="J32" s="1615"/>
      <c r="K32" s="1615"/>
      <c r="L32" s="1615"/>
      <c r="M32" s="1615"/>
      <c r="N32" s="1615"/>
      <c r="P32" s="1616" t="str">
        <f>"% "&amp;B32</f>
        <v>% Total Annual MWhs</v>
      </c>
      <c r="Q32" s="1617" t="s">
        <v>74</v>
      </c>
      <c r="R32" s="1615" t="s">
        <v>887</v>
      </c>
      <c r="S32" s="1615"/>
      <c r="T32" s="1615"/>
      <c r="U32" s="1615"/>
      <c r="V32" s="1615"/>
      <c r="W32" s="1615"/>
      <c r="X32" s="1615"/>
      <c r="Y32" s="1615"/>
      <c r="Z32" s="1615"/>
      <c r="AA32" s="1615"/>
      <c r="AB32" s="1615"/>
    </row>
    <row r="33" spans="2:28" ht="15" thickBot="1">
      <c r="B33" s="1616"/>
      <c r="C33" s="1615"/>
      <c r="D33" s="607" t="s">
        <v>889</v>
      </c>
      <c r="E33" s="607" t="s">
        <v>1580</v>
      </c>
      <c r="F33" s="607" t="s">
        <v>892</v>
      </c>
      <c r="G33" s="607" t="s">
        <v>893</v>
      </c>
      <c r="H33" s="607" t="s">
        <v>890</v>
      </c>
      <c r="I33" s="607" t="s">
        <v>891</v>
      </c>
      <c r="J33" s="607" t="s">
        <v>894</v>
      </c>
      <c r="K33" s="607" t="s">
        <v>895</v>
      </c>
      <c r="L33" s="607" t="s">
        <v>896</v>
      </c>
      <c r="M33" s="607" t="s">
        <v>897</v>
      </c>
      <c r="N33" s="607" t="s">
        <v>898</v>
      </c>
      <c r="P33" s="1616"/>
      <c r="Q33" s="1617"/>
      <c r="R33" s="607" t="s">
        <v>889</v>
      </c>
      <c r="S33" s="607" t="s">
        <v>1580</v>
      </c>
      <c r="T33" s="607" t="s">
        <v>892</v>
      </c>
      <c r="U33" s="607" t="s">
        <v>893</v>
      </c>
      <c r="V33" s="607" t="s">
        <v>890</v>
      </c>
      <c r="W33" s="607" t="s">
        <v>891</v>
      </c>
      <c r="X33" s="607" t="s">
        <v>894</v>
      </c>
      <c r="Y33" s="607" t="s">
        <v>895</v>
      </c>
      <c r="Z33" s="607" t="s">
        <v>896</v>
      </c>
      <c r="AA33" s="607" t="s">
        <v>897</v>
      </c>
      <c r="AB33" s="607" t="s">
        <v>898</v>
      </c>
    </row>
    <row r="34" spans="2:28" ht="14.4">
      <c r="B34" s="1616"/>
      <c r="C34" s="601" t="s">
        <v>61</v>
      </c>
      <c r="D34" s="602">
        <f>SUM(E34:N34)</f>
        <v>8406.0463421466047</v>
      </c>
      <c r="E34" s="602">
        <f>E7</f>
        <v>0</v>
      </c>
      <c r="F34" s="602">
        <f>(1+INDEX('T&amp;D Loss Factors'!$B$28:$AD$37,MATCH(F$33,'T&amp;D Loss Factors'!$B$28:$B$37,0),MATCH($C$2,'T&amp;D Loss Factors'!$B$28:$AD$28,0)))*F7</f>
        <v>249.48794271731094</v>
      </c>
      <c r="G34" s="602">
        <f>(1+INDEX('T&amp;D Loss Factors'!$B$28:$AD$37,MATCH(G$33,'T&amp;D Loss Factors'!$B$28:$B$37,0),MATCH($C$2,'T&amp;D Loss Factors'!$B$28:$AD$28,0)))*G7</f>
        <v>488.9627060111178</v>
      </c>
      <c r="H34" s="602">
        <f>(1+INDEX('T&amp;D Loss Factors'!$B$28:$AD$37,MATCH(H$33,'T&amp;D Loss Factors'!$B$28:$B$37,0),MATCH($C$2,'T&amp;D Loss Factors'!$B$28:$AD$28,0)))*H7</f>
        <v>1971.6548101974556</v>
      </c>
      <c r="I34" s="602">
        <f>(1+INDEX('T&amp;D Loss Factors'!$B$28:$AD$37,MATCH(I$33,'T&amp;D Loss Factors'!$B$28:$B$37,0),MATCH($C$2,'T&amp;D Loss Factors'!$B$28:$AD$28,0)))*I7</f>
        <v>708.84047606565878</v>
      </c>
      <c r="J34" s="602">
        <f>(1+INDEX('T&amp;D Loss Factors'!$B$28:$AD$37,MATCH(J$33,'T&amp;D Loss Factors'!$B$28:$B$37,0),MATCH($C$2,'T&amp;D Loss Factors'!$B$28:$AD$28,0)))*J7</f>
        <v>595.98792431808158</v>
      </c>
      <c r="K34" s="602">
        <f>(1+INDEX('T&amp;D Loss Factors'!$B$28:$AD$37,MATCH(K$33,'T&amp;D Loss Factors'!$B$28:$B$37,0),MATCH($C$2,'T&amp;D Loss Factors'!$B$28:$AD$28,0)))*K7</f>
        <v>4350.2886015701442</v>
      </c>
      <c r="L34" s="602">
        <f>(1+INDEX('T&amp;D Loss Factors'!$B$28:$AD$37,MATCH(L$33,'T&amp;D Loss Factors'!$B$28:$B$37,0),MATCH($C$2,'T&amp;D Loss Factors'!$B$28:$AD$28,0)))*L7</f>
        <v>6.2072107574400004</v>
      </c>
      <c r="M34" s="602">
        <f>(1+INDEX('T&amp;D Loss Factors'!$B$28:$AD$37,MATCH(M$33,'T&amp;D Loss Factors'!$B$28:$B$37,0),MATCH($C$2,'T&amp;D Loss Factors'!$B$28:$AD$28,0)))*M7</f>
        <v>28.420085664595547</v>
      </c>
      <c r="N34" s="602">
        <f>(1+INDEX('T&amp;D Loss Factors'!$B$28:$AD$37,MATCH(N$33,'T&amp;D Loss Factors'!$B$28:$B$37,0),MATCH($C$2,'T&amp;D Loss Factors'!$B$28:$AD$28,0)))*N7</f>
        <v>6.1965848448000003</v>
      </c>
      <c r="P34" s="1616"/>
      <c r="Q34" s="594" t="s">
        <v>61</v>
      </c>
      <c r="R34" s="423">
        <f t="shared" si="12" ref="R34:AB34">D34/D$38</f>
        <v>0.68046643675183094</v>
      </c>
      <c r="S34" s="423">
        <f t="shared" si="12"/>
        <v>0</v>
      </c>
      <c r="T34" s="423">
        <f t="shared" si="12"/>
        <v>0.50083359179083986</v>
      </c>
      <c r="U34" s="423">
        <f t="shared" si="12"/>
        <v>1</v>
      </c>
      <c r="V34" s="423">
        <f t="shared" si="12"/>
        <v>1</v>
      </c>
      <c r="W34" s="423">
        <f t="shared" si="12"/>
        <v>0.58870381977583675</v>
      </c>
      <c r="X34" s="423">
        <f t="shared" si="12"/>
        <v>0.89693489323515685</v>
      </c>
      <c r="Y34" s="423">
        <f t="shared" si="12"/>
        <v>0.77603499184829428</v>
      </c>
      <c r="Z34" s="423">
        <f t="shared" si="12"/>
        <v>0.0057641572852743612</v>
      </c>
      <c r="AA34" s="423">
        <f t="shared" si="12"/>
        <v>0.057905856492428236</v>
      </c>
      <c r="AB34" s="423">
        <f t="shared" si="12"/>
        <v>0.090973433470237494</v>
      </c>
    </row>
    <row r="35" spans="2:28" ht="14.4">
      <c r="B35" s="1616"/>
      <c r="C35" s="601" t="s">
        <v>900</v>
      </c>
      <c r="D35" s="602">
        <f>SUM(E35:N35)</f>
        <v>303.02874145960004</v>
      </c>
      <c r="E35" s="602">
        <f>E8</f>
        <v>0</v>
      </c>
      <c r="F35" s="602">
        <f>(1+INDEX('T&amp;D Loss Factors'!$B$28:$AD$37,MATCH(F$33,'T&amp;D Loss Factors'!$B$28:$B$37,0),MATCH($C$2,'T&amp;D Loss Factors'!$B$28:$AD$28,0)))*F8</f>
        <v>0</v>
      </c>
      <c r="G35" s="602">
        <f>(1+INDEX('T&amp;D Loss Factors'!$B$28:$AD$37,MATCH(G$33,'T&amp;D Loss Factors'!$B$28:$B$37,0),MATCH($C$2,'T&amp;D Loss Factors'!$B$28:$AD$28,0)))*G8</f>
        <v>0</v>
      </c>
      <c r="H35" s="602">
        <f>(1+INDEX('T&amp;D Loss Factors'!$B$28:$AD$37,MATCH(H$33,'T&amp;D Loss Factors'!$B$28:$B$37,0),MATCH($C$2,'T&amp;D Loss Factors'!$B$28:$AD$28,0)))*H8</f>
        <v>0</v>
      </c>
      <c r="I35" s="602">
        <f>(1+INDEX('T&amp;D Loss Factors'!$B$28:$AD$37,MATCH(I$33,'T&amp;D Loss Factors'!$B$28:$B$37,0),MATCH($C$2,'T&amp;D Loss Factors'!$B$28:$AD$28,0)))*I8</f>
        <v>1.4358552779999998</v>
      </c>
      <c r="J35" s="602">
        <f>(1+INDEX('T&amp;D Loss Factors'!$B$28:$AD$37,MATCH(J$33,'T&amp;D Loss Factors'!$B$28:$B$37,0),MATCH($C$2,'T&amp;D Loss Factors'!$B$28:$AD$28,0)))*J8</f>
        <v>0</v>
      </c>
      <c r="K35" s="602">
        <f>(1+INDEX('T&amp;D Loss Factors'!$B$28:$AD$37,MATCH(K$33,'T&amp;D Loss Factors'!$B$28:$B$37,0),MATCH($C$2,'T&amp;D Loss Factors'!$B$28:$AD$28,0)))*K8</f>
        <v>170.23958749200003</v>
      </c>
      <c r="L35" s="602">
        <f>(1+INDEX('T&amp;D Loss Factors'!$B$28:$AD$37,MATCH(L$33,'T&amp;D Loss Factors'!$B$28:$B$37,0),MATCH($C$2,'T&amp;D Loss Factors'!$B$28:$AD$28,0)))*L8</f>
        <v>66.268825937600013</v>
      </c>
      <c r="M35" s="602">
        <f>(1+INDEX('T&amp;D Loss Factors'!$B$28:$AD$37,MATCH(M$33,'T&amp;D Loss Factors'!$B$28:$B$37,0),MATCH($C$2,'T&amp;D Loss Factors'!$B$28:$AD$28,0)))*M8</f>
        <v>3.1668333840000007</v>
      </c>
      <c r="N35" s="602">
        <f>(1+INDEX('T&amp;D Loss Factors'!$B$28:$AD$37,MATCH(N$33,'T&amp;D Loss Factors'!$B$28:$B$37,0),MATCH($C$2,'T&amp;D Loss Factors'!$B$28:$AD$28,0)))*N8</f>
        <v>61.917639368000003</v>
      </c>
      <c r="P35" s="1616"/>
      <c r="Q35" s="594" t="s">
        <v>900</v>
      </c>
      <c r="R35" s="423">
        <f>D35/D$38</f>
        <v>0.024530067946514498</v>
      </c>
      <c r="S35" s="423">
        <f t="shared" si="13" ref="S35:T37">E35/E$38</f>
        <v>0</v>
      </c>
      <c r="T35" s="423">
        <f t="shared" si="13"/>
        <v>0</v>
      </c>
      <c r="U35" s="423">
        <f t="shared" si="14" ref="U35:AB37">G35/G$38</f>
        <v>0</v>
      </c>
      <c r="V35" s="423">
        <f t="shared" si="14"/>
        <v>0</v>
      </c>
      <c r="W35" s="423">
        <f t="shared" si="14"/>
        <v>0.0011925017198447872</v>
      </c>
      <c r="X35" s="423">
        <f t="shared" si="14"/>
        <v>0</v>
      </c>
      <c r="Y35" s="423">
        <f t="shared" si="14"/>
        <v>0.030368531605909604</v>
      </c>
      <c r="Z35" s="423">
        <f t="shared" si="14"/>
        <v>0.061538741109595382</v>
      </c>
      <c r="AA35" s="423">
        <f t="shared" si="14"/>
        <v>0.0064524154372194295</v>
      </c>
      <c r="AB35" s="423">
        <f t="shared" si="14"/>
        <v>0.90902656652976266</v>
      </c>
    </row>
    <row r="36" spans="2:28" ht="14.4">
      <c r="B36" s="1616"/>
      <c r="C36" s="601" t="s">
        <v>888</v>
      </c>
      <c r="D36" s="602">
        <f>SUM(E36:N36)</f>
        <v>169.69200000000001</v>
      </c>
      <c r="E36" s="602">
        <f>E9</f>
        <v>0</v>
      </c>
      <c r="F36" s="602">
        <f>(1+INDEX('T&amp;D Loss Factors'!$B$28:$AD$37,MATCH(F$33,'T&amp;D Loss Factors'!$B$28:$B$37,0),MATCH($C$2,'T&amp;D Loss Factors'!$B$28:$AD$28,0)))*F9</f>
        <v>0</v>
      </c>
      <c r="G36" s="602">
        <f>(1+INDEX('T&amp;D Loss Factors'!$B$28:$AD$37,MATCH(G$33,'T&amp;D Loss Factors'!$B$28:$B$37,0),MATCH($C$2,'T&amp;D Loss Factors'!$B$28:$AD$28,0)))*G9</f>
        <v>0</v>
      </c>
      <c r="H36" s="602">
        <f>(1+INDEX('T&amp;D Loss Factors'!$B$28:$AD$37,MATCH(H$33,'T&amp;D Loss Factors'!$B$28:$B$37,0),MATCH($C$2,'T&amp;D Loss Factors'!$B$28:$AD$28,0)))*H9</f>
        <v>0</v>
      </c>
      <c r="I36" s="602">
        <f>(1+INDEX('T&amp;D Loss Factors'!$B$28:$AD$37,MATCH(I$33,'T&amp;D Loss Factors'!$B$28:$B$37,0),MATCH($C$2,'T&amp;D Loss Factors'!$B$28:$AD$28,0)))*I9</f>
        <v>0</v>
      </c>
      <c r="J36" s="602">
        <f>(1+INDEX('T&amp;D Loss Factors'!$B$28:$AD$37,MATCH(J$33,'T&amp;D Loss Factors'!$B$28:$B$37,0),MATCH($C$2,'T&amp;D Loss Factors'!$B$28:$AD$28,0)))*J9</f>
        <v>0</v>
      </c>
      <c r="K36" s="602">
        <f>(1+INDEX('T&amp;D Loss Factors'!$B$28:$AD$37,MATCH(K$33,'T&amp;D Loss Factors'!$B$28:$B$37,0),MATCH($C$2,'T&amp;D Loss Factors'!$B$28:$AD$28,0)))*K9</f>
        <v>169.69200000000001</v>
      </c>
      <c r="L36" s="602">
        <f>(1+INDEX('T&amp;D Loss Factors'!$B$28:$AD$37,MATCH(L$33,'T&amp;D Loss Factors'!$B$28:$B$37,0),MATCH($C$2,'T&amp;D Loss Factors'!$B$28:$AD$28,0)))*L9</f>
        <v>0</v>
      </c>
      <c r="M36" s="602">
        <f>(1+INDEX('T&amp;D Loss Factors'!$B$28:$AD$37,MATCH(M$33,'T&amp;D Loss Factors'!$B$28:$B$37,0),MATCH($C$2,'T&amp;D Loss Factors'!$B$28:$AD$28,0)))*M9</f>
        <v>0</v>
      </c>
      <c r="N36" s="602">
        <f>(1+INDEX('T&amp;D Loss Factors'!$B$28:$AD$37,MATCH(N$33,'T&amp;D Loss Factors'!$B$28:$B$37,0),MATCH($C$2,'T&amp;D Loss Factors'!$B$28:$AD$28,0)))*N9</f>
        <v>0</v>
      </c>
      <c r="P36" s="1616"/>
      <c r="Q36" s="594" t="s">
        <v>888</v>
      </c>
      <c r="R36" s="423">
        <f>D36/D$38</f>
        <v>0.013736506543670191</v>
      </c>
      <c r="S36" s="423">
        <f t="shared" si="13"/>
        <v>0</v>
      </c>
      <c r="T36" s="423">
        <f t="shared" si="13"/>
        <v>0</v>
      </c>
      <c r="U36" s="423">
        <f t="shared" si="14"/>
        <v>0</v>
      </c>
      <c r="V36" s="423">
        <f t="shared" si="14"/>
        <v>0</v>
      </c>
      <c r="W36" s="423">
        <f t="shared" si="14"/>
        <v>0</v>
      </c>
      <c r="X36" s="423">
        <f t="shared" si="14"/>
        <v>0</v>
      </c>
      <c r="Y36" s="423">
        <f t="shared" si="14"/>
        <v>0.030270849108537574</v>
      </c>
      <c r="Z36" s="423">
        <f t="shared" si="14"/>
        <v>0</v>
      </c>
      <c r="AA36" s="423">
        <f t="shared" si="14"/>
        <v>0</v>
      </c>
      <c r="AB36" s="423">
        <f t="shared" si="14"/>
        <v>0</v>
      </c>
    </row>
    <row r="37" spans="2:28" ht="14.4">
      <c r="B37" s="1616"/>
      <c r="C37" s="601" t="s">
        <v>901</v>
      </c>
      <c r="D37" s="602">
        <f>SUM(E37:N37)</f>
        <v>3474.5921537316458</v>
      </c>
      <c r="E37" s="602">
        <f>E10</f>
        <v>284.48967185714287</v>
      </c>
      <c r="F37" s="602">
        <f>(1+INDEX('T&amp;D Loss Factors'!$B$28:$AD$37,MATCH(F$33,'T&amp;D Loss Factors'!$B$28:$B$37,0),MATCH($C$2,'T&amp;D Loss Factors'!$B$28:$AD$28,0)))*F10</f>
        <v>248.65744290910504</v>
      </c>
      <c r="G37" s="602">
        <f>(1+INDEX('T&amp;D Loss Factors'!$B$28:$AD$37,MATCH(G$33,'T&amp;D Loss Factors'!$B$28:$B$37,0),MATCH($C$2,'T&amp;D Loss Factors'!$B$28:$AD$28,0)))*G10</f>
        <v>0</v>
      </c>
      <c r="H37" s="602">
        <f>(1+INDEX('T&amp;D Loss Factors'!$B$28:$AD$37,MATCH(H$33,'T&amp;D Loss Factors'!$B$28:$B$37,0),MATCH($C$2,'T&amp;D Loss Factors'!$B$28:$AD$28,0)))*H10</f>
        <v>0</v>
      </c>
      <c r="I37" s="602">
        <f>(1+INDEX('T&amp;D Loss Factors'!$B$28:$AD$37,MATCH(I$33,'T&amp;D Loss Factors'!$B$28:$B$37,0),MATCH($C$2,'T&amp;D Loss Factors'!$B$28:$AD$28,0)))*I10</f>
        <v>493.79344407510274</v>
      </c>
      <c r="J37" s="602">
        <f>(1+INDEX('T&amp;D Loss Factors'!$B$28:$AD$37,MATCH(J$33,'T&amp;D Loss Factors'!$B$28:$B$37,0),MATCH($C$2,'T&amp;D Loss Factors'!$B$28:$AD$28,0)))*J10</f>
        <v>68.483854863583559</v>
      </c>
      <c r="K37" s="602">
        <f>(1+INDEX('T&amp;D Loss Factors'!$B$28:$AD$37,MATCH(K$33,'T&amp;D Loss Factors'!$B$28:$B$37,0),MATCH($C$2,'T&amp;D Loss Factors'!$B$28:$AD$28,0)))*K10</f>
        <v>915.56904372618089</v>
      </c>
      <c r="L37" s="602">
        <f>(1+INDEX('T&amp;D Loss Factors'!$B$28:$AD$37,MATCH(L$33,'T&amp;D Loss Factors'!$B$28:$B$37,0),MATCH($C$2,'T&amp;D Loss Factors'!$B$28:$AD$28,0)))*L10</f>
        <v>1004.3874925666448</v>
      </c>
      <c r="M37" s="602">
        <f>(1+INDEX('T&amp;D Loss Factors'!$B$28:$AD$37,MATCH(M$33,'T&amp;D Loss Factors'!$B$28:$B$37,0),MATCH($C$2,'T&amp;D Loss Factors'!$B$28:$AD$28,0)))*M10</f>
        <v>459.21120373388595</v>
      </c>
      <c r="N37" s="602">
        <f>(1+INDEX('T&amp;D Loss Factors'!$B$28:$AD$37,MATCH(N$33,'T&amp;D Loss Factors'!$B$28:$B$37,0),MATCH($C$2,'T&amp;D Loss Factors'!$B$28:$AD$28,0)))*N10</f>
        <v>0</v>
      </c>
      <c r="P37" s="1616"/>
      <c r="Q37" s="594" t="s">
        <v>901</v>
      </c>
      <c r="R37" s="423">
        <f>D37/D$38</f>
        <v>0.28126698875798417</v>
      </c>
      <c r="S37" s="423">
        <f t="shared" si="13"/>
        <v>1</v>
      </c>
      <c r="T37" s="423">
        <f t="shared" si="13"/>
        <v>0.49916640820916014</v>
      </c>
      <c r="U37" s="423">
        <f t="shared" si="14"/>
        <v>0</v>
      </c>
      <c r="V37" s="423">
        <f t="shared" si="14"/>
        <v>0</v>
      </c>
      <c r="W37" s="423">
        <f t="shared" si="14"/>
        <v>0.4101036785043185</v>
      </c>
      <c r="X37" s="423">
        <f t="shared" si="14"/>
        <v>0.10306510676484308</v>
      </c>
      <c r="Y37" s="423">
        <f t="shared" si="14"/>
        <v>0.16332562743725845</v>
      </c>
      <c r="Z37" s="423">
        <f t="shared" si="14"/>
        <v>0.93269710160513031</v>
      </c>
      <c r="AA37" s="423">
        <f t="shared" si="14"/>
        <v>0.93564172807035229</v>
      </c>
      <c r="AB37" s="423">
        <f t="shared" si="14"/>
        <v>0</v>
      </c>
    </row>
    <row r="38" spans="2:28" ht="14.4">
      <c r="B38" s="1616"/>
      <c r="C38" s="608" t="s">
        <v>131</v>
      </c>
      <c r="D38" s="429">
        <f t="shared" si="15" ref="D38:N38">SUM(D34:D37)</f>
        <v>12353.359237337852</v>
      </c>
      <c r="E38" s="429">
        <f t="shared" si="15"/>
        <v>284.48967185714287</v>
      </c>
      <c r="F38" s="429">
        <f t="shared" si="15"/>
        <v>498.14538562641599</v>
      </c>
      <c r="G38" s="429">
        <f t="shared" si="15"/>
        <v>488.9627060111178</v>
      </c>
      <c r="H38" s="429">
        <f t="shared" si="15"/>
        <v>1971.6548101974556</v>
      </c>
      <c r="I38" s="429">
        <f t="shared" si="15"/>
        <v>1204.0697754187615</v>
      </c>
      <c r="J38" s="429">
        <f t="shared" si="15"/>
        <v>664.47177918166517</v>
      </c>
      <c r="K38" s="429">
        <f t="shared" si="15"/>
        <v>5605.7892327883255</v>
      </c>
      <c r="L38" s="429">
        <f t="shared" si="15"/>
        <v>1076.8635292616848</v>
      </c>
      <c r="M38" s="429">
        <f t="shared" si="15"/>
        <v>490.79812278248153</v>
      </c>
      <c r="N38" s="429">
        <f t="shared" si="15"/>
        <v>68.114224212799996</v>
      </c>
      <c r="P38" s="1616"/>
      <c r="Q38" s="610" t="s">
        <v>131</v>
      </c>
      <c r="R38" s="435">
        <f t="shared" si="16" ref="R38:AB38">SUM(R34:R37)</f>
        <v>0.99999999999999978</v>
      </c>
      <c r="S38" s="435">
        <f t="shared" si="16"/>
        <v>1</v>
      </c>
      <c r="T38" s="435">
        <f t="shared" si="16"/>
        <v>1</v>
      </c>
      <c r="U38" s="435">
        <f t="shared" si="16"/>
        <v>1</v>
      </c>
      <c r="V38" s="435">
        <f t="shared" si="16"/>
        <v>1</v>
      </c>
      <c r="W38" s="435">
        <f t="shared" si="16"/>
        <v>1</v>
      </c>
      <c r="X38" s="435">
        <f t="shared" si="16"/>
        <v>0.99999999999999989</v>
      </c>
      <c r="Y38" s="435">
        <f t="shared" si="16"/>
        <v>0.99999999999999989</v>
      </c>
      <c r="Z38" s="435">
        <f t="shared" si="16"/>
        <v>1</v>
      </c>
      <c r="AA38" s="435">
        <f t="shared" si="16"/>
        <v>1</v>
      </c>
      <c r="AB38" s="435">
        <f t="shared" si="16"/>
        <v>1.0000000000000002</v>
      </c>
    </row>
    <row r="39" spans="4:5" ht="14.4">
      <c r="D39" s="1282">
        <f>D38/13374000</f>
        <v>0.00092368470445176106</v>
      </c>
      <c r="E39" s="603"/>
    </row>
    <row r="40" spans="2:16" ht="14.4">
      <c r="B40" s="514" t="s">
        <v>1455</v>
      </c>
      <c r="P40" s="514" t="s">
        <v>1455</v>
      </c>
    </row>
    <row r="41" spans="2:28" ht="14.4">
      <c r="B41" s="1616" t="s">
        <v>883</v>
      </c>
      <c r="C41" s="1615" t="s">
        <v>74</v>
      </c>
      <c r="D41" s="1615" t="s">
        <v>887</v>
      </c>
      <c r="E41" s="1615"/>
      <c r="F41" s="1615"/>
      <c r="G41" s="1615"/>
      <c r="H41" s="1615"/>
      <c r="I41" s="1615"/>
      <c r="J41" s="1615"/>
      <c r="K41" s="1615"/>
      <c r="L41" s="1615"/>
      <c r="M41" s="1615"/>
      <c r="N41" s="1615"/>
      <c r="P41" s="1616" t="str">
        <f>"% "&amp;B41</f>
        <v>% Total Lifetime MWhs</v>
      </c>
      <c r="Q41" s="1617" t="s">
        <v>74</v>
      </c>
      <c r="R41" s="1615" t="s">
        <v>887</v>
      </c>
      <c r="S41" s="1615"/>
      <c r="T41" s="1615"/>
      <c r="U41" s="1615"/>
      <c r="V41" s="1615"/>
      <c r="W41" s="1615"/>
      <c r="X41" s="1615"/>
      <c r="Y41" s="1615"/>
      <c r="Z41" s="1615"/>
      <c r="AA41" s="1615"/>
      <c r="AB41" s="1615"/>
    </row>
    <row r="42" spans="2:28" ht="15" thickBot="1">
      <c r="B42" s="1616"/>
      <c r="C42" s="1615"/>
      <c r="D42" s="607" t="s">
        <v>889</v>
      </c>
      <c r="E42" s="607" t="s">
        <v>1580</v>
      </c>
      <c r="F42" s="607" t="s">
        <v>892</v>
      </c>
      <c r="G42" s="607" t="s">
        <v>893</v>
      </c>
      <c r="H42" s="607" t="s">
        <v>890</v>
      </c>
      <c r="I42" s="607" t="s">
        <v>891</v>
      </c>
      <c r="J42" s="607" t="s">
        <v>894</v>
      </c>
      <c r="K42" s="607" t="s">
        <v>895</v>
      </c>
      <c r="L42" s="607" t="s">
        <v>896</v>
      </c>
      <c r="M42" s="607" t="s">
        <v>897</v>
      </c>
      <c r="N42" s="607" t="s">
        <v>898</v>
      </c>
      <c r="P42" s="1616"/>
      <c r="Q42" s="1617"/>
      <c r="R42" s="607" t="s">
        <v>889</v>
      </c>
      <c r="S42" s="607" t="s">
        <v>1580</v>
      </c>
      <c r="T42" s="607" t="s">
        <v>892</v>
      </c>
      <c r="U42" s="607" t="s">
        <v>893</v>
      </c>
      <c r="V42" s="607" t="s">
        <v>890</v>
      </c>
      <c r="W42" s="607" t="s">
        <v>891</v>
      </c>
      <c r="X42" s="607" t="s">
        <v>894</v>
      </c>
      <c r="Y42" s="607" t="s">
        <v>895</v>
      </c>
      <c r="Z42" s="607" t="s">
        <v>896</v>
      </c>
      <c r="AA42" s="607" t="s">
        <v>897</v>
      </c>
      <c r="AB42" s="607" t="s">
        <v>898</v>
      </c>
    </row>
    <row r="43" spans="2:28" ht="14.4">
      <c r="B43" s="1616"/>
      <c r="C43" s="601" t="s">
        <v>61</v>
      </c>
      <c r="D43" s="602">
        <f>SUM(E43:N43)</f>
        <v>21493.430911909043</v>
      </c>
      <c r="E43" s="602">
        <f>E16</f>
        <v>0</v>
      </c>
      <c r="F43" s="602">
        <f>(1+INDEX('T&amp;D Loss Factors'!$B$28:$AD$37,MATCH(F$33,'T&amp;D Loss Factors'!$B$28:$B$37,0),MATCH($C$2,'T&amp;D Loss Factors'!$B$28:$AD$28,0)))*F16</f>
        <v>363.28084117907088</v>
      </c>
      <c r="G43" s="602">
        <f>(1+INDEX('T&amp;D Loss Factors'!$B$28:$AD$37,MATCH(G$33,'T&amp;D Loss Factors'!$B$28:$B$37,0),MATCH($C$2,'T&amp;D Loss Factors'!$B$28:$AD$28,0)))*G16</f>
        <v>604.94454247671786</v>
      </c>
      <c r="H43" s="602">
        <f>(1+INDEX('T&amp;D Loss Factors'!$B$28:$AD$37,MATCH(H$33,'T&amp;D Loss Factors'!$B$28:$B$37,0),MATCH($C$2,'T&amp;D Loss Factors'!$B$28:$AD$28,0)))*H16</f>
        <v>2087.2647397206556</v>
      </c>
      <c r="I43" s="602">
        <f>(1+INDEX('T&amp;D Loss Factors'!$B$28:$AD$37,MATCH(I$33,'T&amp;D Loss Factors'!$B$28:$B$37,0),MATCH($C$2,'T&amp;D Loss Factors'!$B$28:$AD$28,0)))*I16</f>
        <v>9172.607745663594</v>
      </c>
      <c r="J43" s="602">
        <f>(1+INDEX('T&amp;D Loss Factors'!$B$28:$AD$37,MATCH(J$33,'T&amp;D Loss Factors'!$B$28:$B$37,0),MATCH($C$2,'T&amp;D Loss Factors'!$B$28:$AD$28,0)))*J16</f>
        <v>965.26461662877273</v>
      </c>
      <c r="K43" s="602">
        <f>(1+INDEX('T&amp;D Loss Factors'!$B$28:$AD$37,MATCH(K$33,'T&amp;D Loss Factors'!$B$28:$B$37,0),MATCH($C$2,'T&amp;D Loss Factors'!$B$28:$AD$28,0)))*K16</f>
        <v>7773.9576541781435</v>
      </c>
      <c r="L43" s="602">
        <f>(1+INDEX('T&amp;D Loss Factors'!$B$28:$AD$37,MATCH(L$33,'T&amp;D Loss Factors'!$B$28:$B$37,0),MATCH($C$2,'T&amp;D Loss Factors'!$B$28:$AD$28,0)))*L16</f>
        <v>124.1442151488</v>
      </c>
      <c r="M43" s="602">
        <f>(1+INDEX('T&amp;D Loss Factors'!$B$28:$AD$37,MATCH(M$33,'T&amp;D Loss Factors'!$B$28:$B$37,0),MATCH($C$2,'T&amp;D Loss Factors'!$B$28:$AD$28,0)))*M16</f>
        <v>278.03486001728885</v>
      </c>
      <c r="N43" s="602">
        <f>(1+INDEX('T&amp;D Loss Factors'!$B$28:$AD$37,MATCH(N$33,'T&amp;D Loss Factors'!$B$28:$B$37,0),MATCH($C$2,'T&amp;D Loss Factors'!$B$28:$AD$28,0)))*N16</f>
        <v>123.93169689600001</v>
      </c>
      <c r="P43" s="1616"/>
      <c r="Q43" s="594" t="s">
        <v>61</v>
      </c>
      <c r="R43" s="423">
        <f t="shared" si="17" ref="R43:AB43">D43/D$47</f>
        <v>0.62338293586590887</v>
      </c>
      <c r="S43" s="423">
        <f t="shared" si="17"/>
        <v>0</v>
      </c>
      <c r="T43" s="423">
        <f t="shared" si="17"/>
        <v>0.59365601176657989</v>
      </c>
      <c r="U43" s="423">
        <f t="shared" si="17"/>
        <v>1</v>
      </c>
      <c r="V43" s="423">
        <f t="shared" si="17"/>
        <v>1</v>
      </c>
      <c r="W43" s="423">
        <f t="shared" si="17"/>
        <v>0.89956224072319124</v>
      </c>
      <c r="X43" s="423">
        <f t="shared" si="17"/>
        <v>0.93375191668751134</v>
      </c>
      <c r="Y43" s="423">
        <f t="shared" si="17"/>
        <v>0.70900636573022047</v>
      </c>
      <c r="Z43" s="423">
        <f t="shared" si="17"/>
        <v>0.063726385018092913</v>
      </c>
      <c r="AA43" s="423">
        <f t="shared" si="17"/>
        <v>0.23795817870908387</v>
      </c>
      <c r="AB43" s="423">
        <f t="shared" si="17"/>
        <v>0.13930067067345639</v>
      </c>
    </row>
    <row r="44" spans="2:28" ht="14.4">
      <c r="B44" s="1616"/>
      <c r="C44" s="601" t="s">
        <v>900</v>
      </c>
      <c r="D44" s="602">
        <f>SUM(E44:N44)</f>
        <v>3747.5728600000007</v>
      </c>
      <c r="E44" s="602">
        <f>E17</f>
        <v>0</v>
      </c>
      <c r="F44" s="602">
        <f>(1+INDEX('T&amp;D Loss Factors'!$B$28:$AD$37,MATCH(F$33,'T&amp;D Loss Factors'!$B$28:$B$37,0),MATCH($C$2,'T&amp;D Loss Factors'!$B$28:$AD$28,0)))*F17</f>
        <v>0</v>
      </c>
      <c r="G44" s="602">
        <f>(1+INDEX('T&amp;D Loss Factors'!$B$28:$AD$37,MATCH(G$33,'T&amp;D Loss Factors'!$B$28:$B$37,0),MATCH($C$2,'T&amp;D Loss Factors'!$B$28:$AD$28,0)))*G17</f>
        <v>0</v>
      </c>
      <c r="H44" s="602">
        <f>(1+INDEX('T&amp;D Loss Factors'!$B$28:$AD$37,MATCH(H$33,'T&amp;D Loss Factors'!$B$28:$B$37,0),MATCH($C$2,'T&amp;D Loss Factors'!$B$28:$AD$28,0)))*H17</f>
        <v>0</v>
      </c>
      <c r="I44" s="602">
        <f>(1+INDEX('T&amp;D Loss Factors'!$B$28:$AD$37,MATCH(I$33,'T&amp;D Loss Factors'!$B$28:$B$37,0),MATCH($C$2,'T&amp;D Loss Factors'!$B$28:$AD$28,0)))*I17</f>
        <v>17.757299999999997</v>
      </c>
      <c r="J44" s="602">
        <f>(1+INDEX('T&amp;D Loss Factors'!$B$28:$AD$37,MATCH(J$33,'T&amp;D Loss Factors'!$B$28:$B$37,0),MATCH($C$2,'T&amp;D Loss Factors'!$B$28:$AD$28,0)))*J17</f>
        <v>0</v>
      </c>
      <c r="K44" s="602">
        <f>(1+INDEX('T&amp;D Loss Factors'!$B$28:$AD$37,MATCH(K$33,'T&amp;D Loss Factors'!$B$28:$B$37,0),MATCH($C$2,'T&amp;D Loss Factors'!$B$28:$AD$28,0)))*K17</f>
        <v>2105.3622</v>
      </c>
      <c r="L44" s="602">
        <f>(1+INDEX('T&amp;D Loss Factors'!$B$28:$AD$37,MATCH(L$33,'T&amp;D Loss Factors'!$B$28:$B$37,0),MATCH($C$2,'T&amp;D Loss Factors'!$B$28:$AD$28,0)))*L17</f>
        <v>819.55016000000023</v>
      </c>
      <c r="M44" s="602">
        <f>(1+INDEX('T&amp;D Loss Factors'!$B$28:$AD$37,MATCH(M$33,'T&amp;D Loss Factors'!$B$28:$B$37,0),MATCH($C$2,'T&amp;D Loss Factors'!$B$28:$AD$28,0)))*M17</f>
        <v>39.164400000000001</v>
      </c>
      <c r="N44" s="602">
        <f>(1+INDEX('T&amp;D Loss Factors'!$B$28:$AD$37,MATCH(N$33,'T&amp;D Loss Factors'!$B$28:$B$37,0),MATCH($C$2,'T&amp;D Loss Factors'!$B$28:$AD$28,0)))*N17</f>
        <v>765.73880000000008</v>
      </c>
      <c r="P44" s="1616"/>
      <c r="Q44" s="594" t="s">
        <v>900</v>
      </c>
      <c r="R44" s="423">
        <f>D44/D$47</f>
        <v>0.10869241776303748</v>
      </c>
      <c r="S44" s="423">
        <f t="shared" si="18" ref="S44:T46">E44/E$47</f>
        <v>0</v>
      </c>
      <c r="T44" s="423">
        <f t="shared" si="18"/>
        <v>0</v>
      </c>
      <c r="U44" s="423">
        <f t="shared" si="19" ref="U44:AB46">G44/G$47</f>
        <v>0</v>
      </c>
      <c r="V44" s="423">
        <f t="shared" si="19"/>
        <v>0</v>
      </c>
      <c r="W44" s="423">
        <f t="shared" si="19"/>
        <v>0.001741467314433633</v>
      </c>
      <c r="X44" s="423">
        <f t="shared" si="19"/>
        <v>0</v>
      </c>
      <c r="Y44" s="423">
        <f t="shared" si="19"/>
        <v>0.19201483573370332</v>
      </c>
      <c r="Z44" s="423">
        <f t="shared" si="19"/>
        <v>0.42069595409822447</v>
      </c>
      <c r="AA44" s="423">
        <f t="shared" si="19"/>
        <v>0.033519139627507633</v>
      </c>
      <c r="AB44" s="423">
        <f t="shared" si="19"/>
        <v>0.86069932932654369</v>
      </c>
    </row>
    <row r="45" spans="2:28" ht="14.4">
      <c r="B45" s="1616"/>
      <c r="C45" s="601" t="s">
        <v>888</v>
      </c>
      <c r="D45" s="602">
        <f>SUM(E45:N45)</f>
        <v>169.69200000000001</v>
      </c>
      <c r="E45" s="602">
        <f>E18</f>
        <v>0</v>
      </c>
      <c r="F45" s="602">
        <f>(1+INDEX('T&amp;D Loss Factors'!$B$28:$AD$37,MATCH(F$33,'T&amp;D Loss Factors'!$B$28:$B$37,0),MATCH($C$2,'T&amp;D Loss Factors'!$B$28:$AD$28,0)))*F18</f>
        <v>0</v>
      </c>
      <c r="G45" s="602">
        <f>(1+INDEX('T&amp;D Loss Factors'!$B$28:$AD$37,MATCH(G$33,'T&amp;D Loss Factors'!$B$28:$B$37,0),MATCH($C$2,'T&amp;D Loss Factors'!$B$28:$AD$28,0)))*G18</f>
        <v>0</v>
      </c>
      <c r="H45" s="602">
        <f>(1+INDEX('T&amp;D Loss Factors'!$B$28:$AD$37,MATCH(H$33,'T&amp;D Loss Factors'!$B$28:$B$37,0),MATCH($C$2,'T&amp;D Loss Factors'!$B$28:$AD$28,0)))*H18</f>
        <v>0</v>
      </c>
      <c r="I45" s="602">
        <f>(1+INDEX('T&amp;D Loss Factors'!$B$28:$AD$37,MATCH(I$33,'T&amp;D Loss Factors'!$B$28:$B$37,0),MATCH($C$2,'T&amp;D Loss Factors'!$B$28:$AD$28,0)))*I18</f>
        <v>0</v>
      </c>
      <c r="J45" s="602">
        <f>(1+INDEX('T&amp;D Loss Factors'!$B$28:$AD$37,MATCH(J$33,'T&amp;D Loss Factors'!$B$28:$B$37,0),MATCH($C$2,'T&amp;D Loss Factors'!$B$28:$AD$28,0)))*J18</f>
        <v>0</v>
      </c>
      <c r="K45" s="602">
        <f>(1+INDEX('T&amp;D Loss Factors'!$B$28:$AD$37,MATCH(K$33,'T&amp;D Loss Factors'!$B$28:$B$37,0),MATCH($C$2,'T&amp;D Loss Factors'!$B$28:$AD$28,0)))*K18</f>
        <v>169.69200000000001</v>
      </c>
      <c r="L45" s="602">
        <f>(1+INDEX('T&amp;D Loss Factors'!$B$28:$AD$37,MATCH(L$33,'T&amp;D Loss Factors'!$B$28:$B$37,0),MATCH($C$2,'T&amp;D Loss Factors'!$B$28:$AD$28,0)))*L18</f>
        <v>0</v>
      </c>
      <c r="M45" s="602">
        <f>(1+INDEX('T&amp;D Loss Factors'!$B$28:$AD$37,MATCH(M$33,'T&amp;D Loss Factors'!$B$28:$B$37,0),MATCH($C$2,'T&amp;D Loss Factors'!$B$28:$AD$28,0)))*M18</f>
        <v>0</v>
      </c>
      <c r="N45" s="602">
        <f>(1+INDEX('T&amp;D Loss Factors'!$B$28:$AD$37,MATCH(N$33,'T&amp;D Loss Factors'!$B$28:$B$37,0),MATCH($C$2,'T&amp;D Loss Factors'!$B$28:$AD$28,0)))*N18</f>
        <v>0</v>
      </c>
      <c r="P45" s="1616"/>
      <c r="Q45" s="594" t="s">
        <v>888</v>
      </c>
      <c r="R45" s="423">
        <f>D45/D$47</f>
        <v>0.0049216478088821873</v>
      </c>
      <c r="S45" s="423">
        <f t="shared" si="18"/>
        <v>0</v>
      </c>
      <c r="T45" s="423">
        <f t="shared" si="18"/>
        <v>0</v>
      </c>
      <c r="U45" s="423">
        <f t="shared" si="19"/>
        <v>0</v>
      </c>
      <c r="V45" s="423">
        <f t="shared" si="19"/>
        <v>0</v>
      </c>
      <c r="W45" s="423">
        <f t="shared" si="19"/>
        <v>0</v>
      </c>
      <c r="X45" s="423">
        <f t="shared" si="19"/>
        <v>0</v>
      </c>
      <c r="Y45" s="423">
        <f t="shared" si="19"/>
        <v>0.015476378128819631</v>
      </c>
      <c r="Z45" s="423">
        <f t="shared" si="19"/>
        <v>0</v>
      </c>
      <c r="AA45" s="423">
        <f t="shared" si="19"/>
        <v>0</v>
      </c>
      <c r="AB45" s="423">
        <f t="shared" si="19"/>
        <v>0</v>
      </c>
    </row>
    <row r="46" spans="2:28" ht="14.4">
      <c r="B46" s="1616"/>
      <c r="C46" s="601" t="s">
        <v>901</v>
      </c>
      <c r="D46" s="602">
        <f>SUM(E46:N46)</f>
        <v>9068.0005081770232</v>
      </c>
      <c r="E46" s="602">
        <f>E19</f>
        <v>4973.3018948240633</v>
      </c>
      <c r="F46" s="602">
        <f>(1+INDEX('T&amp;D Loss Factors'!$B$28:$AD$37,MATCH(F$33,'T&amp;D Loss Factors'!$B$28:$B$37,0),MATCH($C$2,'T&amp;D Loss Factors'!$B$28:$AD$28,0)))*F19</f>
        <v>248.65744290910504</v>
      </c>
      <c r="G46" s="602">
        <f>(1+INDEX('T&amp;D Loss Factors'!$B$28:$AD$37,MATCH(G$33,'T&amp;D Loss Factors'!$B$28:$B$37,0),MATCH($C$2,'T&amp;D Loss Factors'!$B$28:$AD$28,0)))*G19</f>
        <v>0</v>
      </c>
      <c r="H46" s="602">
        <f>(1+INDEX('T&amp;D Loss Factors'!$B$28:$AD$37,MATCH(H$33,'T&amp;D Loss Factors'!$B$28:$B$37,0),MATCH($C$2,'T&amp;D Loss Factors'!$B$28:$AD$28,0)))*H19</f>
        <v>0</v>
      </c>
      <c r="I46" s="602">
        <f>(1+INDEX('T&amp;D Loss Factors'!$B$28:$AD$37,MATCH(I$33,'T&amp;D Loss Factors'!$B$28:$B$37,0),MATCH($C$2,'T&amp;D Loss Factors'!$B$28:$AD$28,0)))*I19</f>
        <v>1006.381027503503</v>
      </c>
      <c r="J46" s="602">
        <f>(1+INDEX('T&amp;D Loss Factors'!$B$28:$AD$37,MATCH(J$33,'T&amp;D Loss Factors'!$B$28:$B$37,0),MATCH($C$2,'T&amp;D Loss Factors'!$B$28:$AD$28,0)))*J19</f>
        <v>68.483854863583559</v>
      </c>
      <c r="K46" s="602">
        <f>(1+INDEX('T&amp;D Loss Factors'!$B$28:$AD$37,MATCH(K$33,'T&amp;D Loss Factors'!$B$28:$B$37,0),MATCH($C$2,'T&amp;D Loss Factors'!$B$28:$AD$28,0)))*K19</f>
        <v>915.56904372618089</v>
      </c>
      <c r="L46" s="602">
        <f>(1+INDEX('T&amp;D Loss Factors'!$B$28:$AD$37,MATCH(L$33,'T&amp;D Loss Factors'!$B$28:$B$37,0),MATCH($C$2,'T&amp;D Loss Factors'!$B$28:$AD$28,0)))*L19</f>
        <v>1004.3874925666448</v>
      </c>
      <c r="M46" s="602">
        <f>(1+INDEX('T&amp;D Loss Factors'!$B$28:$AD$37,MATCH(M$33,'T&amp;D Loss Factors'!$B$28:$B$37,0),MATCH($C$2,'T&amp;D Loss Factors'!$B$28:$AD$28,0)))*M19</f>
        <v>851.21975178394371</v>
      </c>
      <c r="N46" s="602">
        <f>(1+INDEX('T&amp;D Loss Factors'!$B$28:$AD$37,MATCH(N$33,'T&amp;D Loss Factors'!$B$28:$B$37,0),MATCH($C$2,'T&amp;D Loss Factors'!$B$28:$AD$28,0)))*N19</f>
        <v>0</v>
      </c>
      <c r="P46" s="1616"/>
      <c r="Q46" s="594" t="s">
        <v>901</v>
      </c>
      <c r="R46" s="423">
        <f>D46/D$47</f>
        <v>0.26300299856217152</v>
      </c>
      <c r="S46" s="423">
        <f t="shared" si="18"/>
        <v>1</v>
      </c>
      <c r="T46" s="423">
        <f t="shared" si="18"/>
        <v>0.40634398823342011</v>
      </c>
      <c r="U46" s="423">
        <f t="shared" si="19"/>
        <v>0</v>
      </c>
      <c r="V46" s="423">
        <f t="shared" si="19"/>
        <v>0</v>
      </c>
      <c r="W46" s="423">
        <f t="shared" si="19"/>
        <v>0.09869629196237524</v>
      </c>
      <c r="X46" s="423">
        <f t="shared" si="19"/>
        <v>0.066248083312488798</v>
      </c>
      <c r="Y46" s="423">
        <f t="shared" si="19"/>
        <v>0.0835024204072565</v>
      </c>
      <c r="Z46" s="423">
        <f t="shared" si="19"/>
        <v>0.51557766088368262</v>
      </c>
      <c r="AA46" s="423">
        <f t="shared" si="19"/>
        <v>0.7285226816634085</v>
      </c>
      <c r="AB46" s="423">
        <f t="shared" si="19"/>
        <v>0</v>
      </c>
    </row>
    <row r="47" spans="2:28" ht="14.4">
      <c r="B47" s="1616"/>
      <c r="C47" s="608" t="s">
        <v>131</v>
      </c>
      <c r="D47" s="429">
        <f t="shared" si="20" ref="D47:N47">SUM(D43:D46)</f>
        <v>34478.696280086064</v>
      </c>
      <c r="E47" s="429">
        <f t="shared" si="20"/>
        <v>4973.3018948240633</v>
      </c>
      <c r="F47" s="429">
        <f t="shared" si="20"/>
        <v>611.93828408817592</v>
      </c>
      <c r="G47" s="429">
        <f t="shared" si="20"/>
        <v>604.94454247671786</v>
      </c>
      <c r="H47" s="429">
        <f t="shared" si="20"/>
        <v>2087.2647397206556</v>
      </c>
      <c r="I47" s="429">
        <f t="shared" si="20"/>
        <v>10196.746073167096</v>
      </c>
      <c r="J47" s="429">
        <f t="shared" si="20"/>
        <v>1033.7484714923562</v>
      </c>
      <c r="K47" s="429">
        <f t="shared" si="20"/>
        <v>10964.580897904325</v>
      </c>
      <c r="L47" s="429">
        <f t="shared" si="20"/>
        <v>1948.081867715445</v>
      </c>
      <c r="M47" s="429">
        <f t="shared" si="20"/>
        <v>1168.4190118012325</v>
      </c>
      <c r="N47" s="429">
        <f t="shared" si="20"/>
        <v>889.67049689600003</v>
      </c>
      <c r="P47" s="1616"/>
      <c r="Q47" s="610" t="s">
        <v>131</v>
      </c>
      <c r="R47" s="435">
        <f t="shared" si="21" ref="R47:AB47">SUM(R43:R46)</f>
        <v>1</v>
      </c>
      <c r="S47" s="435">
        <f t="shared" si="21"/>
        <v>1</v>
      </c>
      <c r="T47" s="435">
        <f t="shared" si="21"/>
        <v>1</v>
      </c>
      <c r="U47" s="435">
        <f t="shared" si="21"/>
        <v>1</v>
      </c>
      <c r="V47" s="435">
        <f t="shared" si="21"/>
        <v>1</v>
      </c>
      <c r="W47" s="435">
        <f t="shared" si="21"/>
        <v>1</v>
      </c>
      <c r="X47" s="435">
        <f t="shared" si="21"/>
        <v>1.0000000000000002</v>
      </c>
      <c r="Y47" s="435">
        <f t="shared" si="21"/>
        <v>1</v>
      </c>
      <c r="Z47" s="435">
        <f t="shared" si="21"/>
        <v>1</v>
      </c>
      <c r="AA47" s="435">
        <f t="shared" si="21"/>
        <v>1</v>
      </c>
      <c r="AB47" s="435">
        <f t="shared" si="21"/>
        <v>1</v>
      </c>
    </row>
    <row r="48" spans="4:5" ht="14.4">
      <c r="D48" s="1281"/>
      <c r="E48" s="603"/>
    </row>
    <row r="49" spans="2:16" ht="14.4">
      <c r="B49" s="514" t="s">
        <v>1455</v>
      </c>
      <c r="D49" s="272"/>
      <c r="G49" s="1259"/>
      <c r="H49" s="1258"/>
      <c r="P49" s="514" t="s">
        <v>1455</v>
      </c>
    </row>
    <row r="50" spans="2:28" ht="14.4">
      <c r="B50" s="1616" t="s">
        <v>902</v>
      </c>
      <c r="C50" s="1615" t="s">
        <v>74</v>
      </c>
      <c r="D50" s="1615" t="s">
        <v>887</v>
      </c>
      <c r="E50" s="1615"/>
      <c r="F50" s="1615"/>
      <c r="G50" s="1615"/>
      <c r="H50" s="1615"/>
      <c r="I50" s="1615"/>
      <c r="J50" s="1615"/>
      <c r="K50" s="1615"/>
      <c r="L50" s="1615"/>
      <c r="M50" s="1615"/>
      <c r="N50" s="1615"/>
      <c r="P50" s="1616" t="str">
        <f>"% "&amp;B50</f>
        <v>% Total Annual kW</v>
      </c>
      <c r="Q50" s="1617" t="s">
        <v>74</v>
      </c>
      <c r="R50" s="1615" t="s">
        <v>887</v>
      </c>
      <c r="S50" s="1615"/>
      <c r="T50" s="1615"/>
      <c r="U50" s="1615"/>
      <c r="V50" s="1615"/>
      <c r="W50" s="1615"/>
      <c r="X50" s="1615"/>
      <c r="Y50" s="1615"/>
      <c r="Z50" s="1615"/>
      <c r="AA50" s="1615"/>
      <c r="AB50" s="1615"/>
    </row>
    <row r="51" spans="2:28" ht="15" thickBot="1">
      <c r="B51" s="1616"/>
      <c r="C51" s="1615"/>
      <c r="D51" s="607" t="s">
        <v>889</v>
      </c>
      <c r="E51" s="607" t="s">
        <v>1580</v>
      </c>
      <c r="F51" s="607" t="s">
        <v>892</v>
      </c>
      <c r="G51" s="607" t="s">
        <v>893</v>
      </c>
      <c r="H51" s="607" t="s">
        <v>890</v>
      </c>
      <c r="I51" s="607" t="s">
        <v>891</v>
      </c>
      <c r="J51" s="607" t="s">
        <v>894</v>
      </c>
      <c r="K51" s="607" t="s">
        <v>895</v>
      </c>
      <c r="L51" s="607" t="s">
        <v>896</v>
      </c>
      <c r="M51" s="607" t="s">
        <v>897</v>
      </c>
      <c r="N51" s="607" t="s">
        <v>898</v>
      </c>
      <c r="P51" s="1616"/>
      <c r="Q51" s="1617"/>
      <c r="R51" s="607" t="s">
        <v>889</v>
      </c>
      <c r="S51" s="607" t="s">
        <v>1580</v>
      </c>
      <c r="T51" s="607" t="s">
        <v>892</v>
      </c>
      <c r="U51" s="607" t="s">
        <v>893</v>
      </c>
      <c r="V51" s="607" t="s">
        <v>890</v>
      </c>
      <c r="W51" s="607" t="s">
        <v>891</v>
      </c>
      <c r="X51" s="607" t="s">
        <v>894</v>
      </c>
      <c r="Y51" s="607" t="s">
        <v>895</v>
      </c>
      <c r="Z51" s="607" t="s">
        <v>896</v>
      </c>
      <c r="AA51" s="607" t="s">
        <v>897</v>
      </c>
      <c r="AB51" s="607" t="s">
        <v>898</v>
      </c>
    </row>
    <row r="52" spans="2:28" ht="14.4">
      <c r="B52" s="1616"/>
      <c r="C52" s="601" t="s">
        <v>61</v>
      </c>
      <c r="D52" s="602">
        <f>SUM(E52:N52)</f>
        <v>470.04526779528754</v>
      </c>
      <c r="E52" s="602">
        <f>E25</f>
        <v>0</v>
      </c>
      <c r="F52" s="602">
        <f>(1+INDEX('T&amp;D Loss Factors'!$B$28:$AD$37,MATCH(F$33,'T&amp;D Loss Factors'!$B$28:$B$37,0),MATCH($C$2,'T&amp;D Loss Factors'!$B$28:$AD$28,0)))*F25</f>
        <v>0.69535328778210115</v>
      </c>
      <c r="G52" s="602">
        <f>(1+INDEX('T&amp;D Loss Factors'!$B$28:$AD$37,MATCH(G$33,'T&amp;D Loss Factors'!$B$28:$B$37,0),MATCH($C$2,'T&amp;D Loss Factors'!$B$28:$AD$28,0)))*G25</f>
        <v>7.0524360451454635</v>
      </c>
      <c r="H52" s="602">
        <f>(1+INDEX('T&amp;D Loss Factors'!$B$28:$AD$37,MATCH(H$33,'T&amp;D Loss Factors'!$B$28:$B$37,0),MATCH($C$2,'T&amp;D Loss Factors'!$B$28:$AD$28,0)))*H25</f>
        <v>73.460148302589133</v>
      </c>
      <c r="I52" s="602">
        <f>(1+INDEX('T&amp;D Loss Factors'!$B$28:$AD$37,MATCH(I$33,'T&amp;D Loss Factors'!$B$28:$B$37,0),MATCH($C$2,'T&amp;D Loss Factors'!$B$28:$AD$28,0)))*I25</f>
        <v>236.46163484386801</v>
      </c>
      <c r="J52" s="602">
        <f>(1+INDEX('T&amp;D Loss Factors'!$B$28:$AD$37,MATCH(J$33,'T&amp;D Loss Factors'!$B$28:$B$37,0),MATCH($C$2,'T&amp;D Loss Factors'!$B$28:$AD$28,0)))*J25</f>
        <v>25.819826236560029</v>
      </c>
      <c r="K52" s="602">
        <f>(1+INDEX('T&amp;D Loss Factors'!$B$28:$AD$37,MATCH(K$33,'T&amp;D Loss Factors'!$B$28:$B$37,0),MATCH($C$2,'T&amp;D Loss Factors'!$B$28:$AD$28,0)))*K25</f>
        <v>121.85163131513656</v>
      </c>
      <c r="L52" s="602">
        <f>(1+INDEX('T&amp;D Loss Factors'!$B$28:$AD$37,MATCH(L$33,'T&amp;D Loss Factors'!$B$28:$B$37,0),MATCH($C$2,'T&amp;D Loss Factors'!$B$28:$AD$28,0)))*L25</f>
        <v>0.72067664031128409</v>
      </c>
      <c r="M52" s="602">
        <f>(1+INDEX('T&amp;D Loss Factors'!$B$28:$AD$37,MATCH(M$33,'T&amp;D Loss Factors'!$B$28:$B$37,0),MATCH($C$2,'T&amp;D Loss Factors'!$B$28:$AD$28,0)))*M25</f>
        <v>3.2641181853735417</v>
      </c>
      <c r="N52" s="602">
        <f>(1+INDEX('T&amp;D Loss Factors'!$B$28:$AD$37,MATCH(N$33,'T&amp;D Loss Factors'!$B$28:$B$37,0),MATCH($C$2,'T&amp;D Loss Factors'!$B$28:$AD$28,0)))*N25</f>
        <v>0.71944293852140084</v>
      </c>
      <c r="P52" s="1616"/>
      <c r="Q52" s="594" t="s">
        <v>61</v>
      </c>
      <c r="R52" s="423">
        <f>D52/D$56</f>
        <v>0.0055282344282640171</v>
      </c>
      <c r="S52" s="423">
        <f t="shared" si="22" ref="S52:U55">E52/E$56</f>
        <v>0</v>
      </c>
      <c r="T52" s="423">
        <f>F52/F$56</f>
        <v>0.00014559319696182756</v>
      </c>
      <c r="U52" s="423">
        <f t="shared" si="22"/>
        <v>1</v>
      </c>
      <c r="V52" s="423">
        <f t="shared" si="23" ref="V52:AB55">H52/H$56</f>
        <v>1</v>
      </c>
      <c r="W52" s="423">
        <f t="shared" si="23"/>
        <v>0.01252898886932432</v>
      </c>
      <c r="X52" s="423">
        <f t="shared" si="23"/>
        <v>0.019103231153450306</v>
      </c>
      <c r="Y52" s="423">
        <f t="shared" si="23"/>
        <v>0.003569182110952591</v>
      </c>
      <c r="Z52" s="423">
        <f t="shared" si="23"/>
        <v>3.7801166301269982E-05</v>
      </c>
      <c r="AA52" s="423">
        <f t="shared" si="23"/>
        <v>0.00048537389963933849</v>
      </c>
      <c r="AB52" s="423">
        <f t="shared" si="23"/>
        <v>1</v>
      </c>
    </row>
    <row r="53" spans="2:28" ht="14.4">
      <c r="B53" s="1616"/>
      <c r="C53" s="601" t="s">
        <v>900</v>
      </c>
      <c r="D53" s="602">
        <f>SUM(E53:N53)</f>
        <v>0</v>
      </c>
      <c r="E53" s="602">
        <f>E26</f>
        <v>0</v>
      </c>
      <c r="F53" s="602">
        <f>(1+INDEX('T&amp;D Loss Factors'!$B$28:$AD$37,MATCH(F$33,'T&amp;D Loss Factors'!$B$28:$B$37,0),MATCH($C$2,'T&amp;D Loss Factors'!$B$28:$AD$28,0)))*F26</f>
        <v>0</v>
      </c>
      <c r="G53" s="602">
        <f>(1+INDEX('T&amp;D Loss Factors'!$B$28:$AD$37,MATCH(G$33,'T&amp;D Loss Factors'!$B$28:$B$37,0),MATCH($C$2,'T&amp;D Loss Factors'!$B$28:$AD$28,0)))*G26</f>
        <v>0</v>
      </c>
      <c r="H53" s="602">
        <f>(1+INDEX('T&amp;D Loss Factors'!$B$28:$AD$37,MATCH(H$33,'T&amp;D Loss Factors'!$B$28:$B$37,0),MATCH($C$2,'T&amp;D Loss Factors'!$B$28:$AD$28,0)))*H26</f>
        <v>0</v>
      </c>
      <c r="I53" s="602">
        <f>(1+INDEX('T&amp;D Loss Factors'!$B$28:$AD$37,MATCH(I$33,'T&amp;D Loss Factors'!$B$28:$B$37,0),MATCH($C$2,'T&amp;D Loss Factors'!$B$28:$AD$28,0)))*I26</f>
        <v>0</v>
      </c>
      <c r="J53" s="602">
        <f>(1+INDEX('T&amp;D Loss Factors'!$B$28:$AD$37,MATCH(J$33,'T&amp;D Loss Factors'!$B$28:$B$37,0),MATCH($C$2,'T&amp;D Loss Factors'!$B$28:$AD$28,0)))*J26</f>
        <v>0</v>
      </c>
      <c r="K53" s="602">
        <f>(1+INDEX('T&amp;D Loss Factors'!$B$28:$AD$37,MATCH(K$33,'T&amp;D Loss Factors'!$B$28:$B$37,0),MATCH($C$2,'T&amp;D Loss Factors'!$B$28:$AD$28,0)))*K26</f>
        <v>0</v>
      </c>
      <c r="L53" s="602">
        <f>(1+INDEX('T&amp;D Loss Factors'!$B$28:$AD$37,MATCH(L$33,'T&amp;D Loss Factors'!$B$28:$B$37,0),MATCH($C$2,'T&amp;D Loss Factors'!$B$28:$AD$28,0)))*L26</f>
        <v>0</v>
      </c>
      <c r="M53" s="602">
        <f>(1+INDEX('T&amp;D Loss Factors'!$B$28:$AD$37,MATCH(M$33,'T&amp;D Loss Factors'!$B$28:$B$37,0),MATCH($C$2,'T&amp;D Loss Factors'!$B$28:$AD$28,0)))*M26</f>
        <v>0</v>
      </c>
      <c r="N53" s="602">
        <f>(1+INDEX('T&amp;D Loss Factors'!$B$28:$AD$37,MATCH(N$33,'T&amp;D Loss Factors'!$B$28:$B$37,0),MATCH($C$2,'T&amp;D Loss Factors'!$B$28:$AD$28,0)))*N26</f>
        <v>0</v>
      </c>
      <c r="P53" s="1616"/>
      <c r="Q53" s="594" t="s">
        <v>900</v>
      </c>
      <c r="R53" s="423">
        <f>D53/D$56</f>
        <v>0</v>
      </c>
      <c r="S53" s="423">
        <f t="shared" si="22"/>
        <v>0</v>
      </c>
      <c r="T53" s="423">
        <f t="shared" si="22"/>
        <v>0</v>
      </c>
      <c r="U53" s="423">
        <f t="shared" si="22"/>
        <v>0</v>
      </c>
      <c r="V53" s="423">
        <f t="shared" si="23"/>
        <v>0</v>
      </c>
      <c r="W53" s="423">
        <f t="shared" si="23"/>
        <v>0</v>
      </c>
      <c r="X53" s="423">
        <f t="shared" si="23"/>
        <v>0</v>
      </c>
      <c r="Y53" s="423">
        <f t="shared" si="23"/>
        <v>0</v>
      </c>
      <c r="Z53" s="423">
        <f t="shared" si="23"/>
        <v>0</v>
      </c>
      <c r="AA53" s="423">
        <f t="shared" si="23"/>
        <v>0</v>
      </c>
      <c r="AB53" s="423">
        <f t="shared" si="23"/>
        <v>0</v>
      </c>
    </row>
    <row r="54" spans="2:28" ht="14.4">
      <c r="B54" s="1616"/>
      <c r="C54" s="601" t="s">
        <v>888</v>
      </c>
      <c r="D54" s="602">
        <f>SUM(E54:N54)</f>
        <v>18258</v>
      </c>
      <c r="E54" s="602">
        <f>E27</f>
        <v>0</v>
      </c>
      <c r="F54" s="602">
        <f>(1+INDEX('T&amp;D Loss Factors'!$B$28:$AD$37,MATCH(F$33,'T&amp;D Loss Factors'!$B$28:$B$37,0),MATCH($C$2,'T&amp;D Loss Factors'!$B$28:$AD$28,0)))*F27</f>
        <v>0</v>
      </c>
      <c r="G54" s="602">
        <f>(1+INDEX('T&amp;D Loss Factors'!$B$28:$AD$37,MATCH(G$33,'T&amp;D Loss Factors'!$B$28:$B$37,0),MATCH($C$2,'T&amp;D Loss Factors'!$B$28:$AD$28,0)))*G27</f>
        <v>0</v>
      </c>
      <c r="H54" s="602">
        <f>(1+INDEX('T&amp;D Loss Factors'!$B$28:$AD$37,MATCH(H$33,'T&amp;D Loss Factors'!$B$28:$B$37,0),MATCH($C$2,'T&amp;D Loss Factors'!$B$28:$AD$28,0)))*H27</f>
        <v>0</v>
      </c>
      <c r="I54" s="602">
        <f>(1+INDEX('T&amp;D Loss Factors'!$B$28:$AD$37,MATCH(I$33,'T&amp;D Loss Factors'!$B$28:$B$37,0),MATCH($C$2,'T&amp;D Loss Factors'!$B$28:$AD$28,0)))*I27</f>
        <v>0</v>
      </c>
      <c r="J54" s="602">
        <f>(1+INDEX('T&amp;D Loss Factors'!$B$28:$AD$37,MATCH(J$33,'T&amp;D Loss Factors'!$B$28:$B$37,0),MATCH($C$2,'T&amp;D Loss Factors'!$B$28:$AD$28,0)))*J27</f>
        <v>0</v>
      </c>
      <c r="K54" s="602">
        <f>(1+INDEX('T&amp;D Loss Factors'!$B$28:$AD$37,MATCH(K$33,'T&amp;D Loss Factors'!$B$28:$B$37,0),MATCH($C$2,'T&amp;D Loss Factors'!$B$28:$AD$28,0)))*K27</f>
        <v>18258</v>
      </c>
      <c r="L54" s="602">
        <f>(1+INDEX('T&amp;D Loss Factors'!$B$28:$AD$37,MATCH(L$33,'T&amp;D Loss Factors'!$B$28:$B$37,0),MATCH($C$2,'T&amp;D Loss Factors'!$B$28:$AD$28,0)))*L27</f>
        <v>0</v>
      </c>
      <c r="M54" s="602">
        <f>(1+INDEX('T&amp;D Loss Factors'!$B$28:$AD$37,MATCH(M$33,'T&amp;D Loss Factors'!$B$28:$B$37,0),MATCH($C$2,'T&amp;D Loss Factors'!$B$28:$AD$28,0)))*M27</f>
        <v>0</v>
      </c>
      <c r="N54" s="602">
        <f>(1+INDEX('T&amp;D Loss Factors'!$B$28:$AD$37,MATCH(N$33,'T&amp;D Loss Factors'!$B$28:$B$37,0),MATCH($C$2,'T&amp;D Loss Factors'!$B$28:$AD$28,0)))*N27</f>
        <v>0</v>
      </c>
      <c r="P54" s="1616"/>
      <c r="Q54" s="594" t="s">
        <v>888</v>
      </c>
      <c r="R54" s="423">
        <f>D54/D$56</f>
        <v>0.21473358228808523</v>
      </c>
      <c r="S54" s="423">
        <f t="shared" si="22"/>
        <v>0</v>
      </c>
      <c r="T54" s="423">
        <f t="shared" si="22"/>
        <v>0</v>
      </c>
      <c r="U54" s="423">
        <f t="shared" si="22"/>
        <v>0</v>
      </c>
      <c r="V54" s="423">
        <f t="shared" si="23"/>
        <v>0</v>
      </c>
      <c r="W54" s="423">
        <f t="shared" si="23"/>
        <v>0</v>
      </c>
      <c r="X54" s="423">
        <f t="shared" si="23"/>
        <v>0</v>
      </c>
      <c r="Y54" s="423">
        <f t="shared" si="23"/>
        <v>0.53479897050567748</v>
      </c>
      <c r="Z54" s="423">
        <f t="shared" si="23"/>
        <v>0</v>
      </c>
      <c r="AA54" s="423">
        <f t="shared" si="23"/>
        <v>0</v>
      </c>
      <c r="AB54" s="423">
        <f t="shared" si="23"/>
        <v>0</v>
      </c>
    </row>
    <row r="55" spans="2:28" ht="14.4">
      <c r="B55" s="1616"/>
      <c r="C55" s="601" t="s">
        <v>901</v>
      </c>
      <c r="D55" s="602">
        <f>SUM(E55:N55)</f>
        <v>66298.245475611504</v>
      </c>
      <c r="E55" s="602">
        <f>E28</f>
        <v>14.482342073599998</v>
      </c>
      <c r="F55" s="602">
        <f>(1+INDEX('T&amp;D Loss Factors'!$B$28:$AD$37,MATCH(F$33,'T&amp;D Loss Factors'!$B$28:$B$37,0),MATCH($C$2,'T&amp;D Loss Factors'!$B$28:$AD$28,0)))*F28</f>
        <v>4775.3058768000001</v>
      </c>
      <c r="G55" s="602">
        <f>(1+INDEX('T&amp;D Loss Factors'!$B$28:$AD$37,MATCH(G$33,'T&amp;D Loss Factors'!$B$28:$B$37,0),MATCH($C$2,'T&amp;D Loss Factors'!$B$28:$AD$28,0)))*G28</f>
        <v>0</v>
      </c>
      <c r="H55" s="602">
        <f>(1+INDEX('T&amp;D Loss Factors'!$B$28:$AD$37,MATCH(H$33,'T&amp;D Loss Factors'!$B$28:$B$37,0),MATCH($C$2,'T&amp;D Loss Factors'!$B$28:$AD$28,0)))*H28</f>
        <v>0</v>
      </c>
      <c r="I55" s="602">
        <f>(1+INDEX('T&amp;D Loss Factors'!$B$28:$AD$37,MATCH(I$33,'T&amp;D Loss Factors'!$B$28:$B$37,0),MATCH($C$2,'T&amp;D Loss Factors'!$B$28:$AD$28,0)))*I28</f>
        <v>18636.700222839241</v>
      </c>
      <c r="J55" s="602">
        <f>(1+INDEX('T&amp;D Loss Factors'!$B$28:$AD$37,MATCH(J$33,'T&amp;D Loss Factors'!$B$28:$B$37,0),MATCH($C$2,'T&amp;D Loss Factors'!$B$28:$AD$28,0)))*J28</f>
        <v>1325.7748872</v>
      </c>
      <c r="K55" s="602">
        <f>(1+INDEX('T&amp;D Loss Factors'!$B$28:$AD$37,MATCH(K$33,'T&amp;D Loss Factors'!$B$28:$B$37,0),MATCH($C$2,'T&amp;D Loss Factors'!$B$28:$AD$28,0)))*K28</f>
        <v>15760.079458560002</v>
      </c>
      <c r="L55" s="602">
        <f>(1+INDEX('T&amp;D Loss Factors'!$B$28:$AD$37,MATCH(L$33,'T&amp;D Loss Factors'!$B$28:$B$37,0),MATCH($C$2,'T&amp;D Loss Factors'!$B$28:$AD$28,0)))*L28</f>
        <v>19064.210668800002</v>
      </c>
      <c r="M55" s="602">
        <f>(1+INDEX('T&amp;D Loss Factors'!$B$28:$AD$37,MATCH(M$33,'T&amp;D Loss Factors'!$B$28:$B$37,0),MATCH($C$2,'T&amp;D Loss Factors'!$B$28:$AD$28,0)))*M28</f>
        <v>6721.6920193386559</v>
      </c>
      <c r="N55" s="602">
        <f>(1+INDEX('T&amp;D Loss Factors'!$B$28:$AD$37,MATCH(N$33,'T&amp;D Loss Factors'!$B$28:$B$37,0),MATCH($C$2,'T&amp;D Loss Factors'!$B$28:$AD$28,0)))*N28</f>
        <v>0</v>
      </c>
      <c r="P55" s="1616"/>
      <c r="Q55" s="594" t="s">
        <v>901</v>
      </c>
      <c r="R55" s="423">
        <f>D55/D$56</f>
        <v>0.77973818328365074</v>
      </c>
      <c r="S55" s="423">
        <f t="shared" si="22"/>
        <v>1</v>
      </c>
      <c r="T55" s="423">
        <f t="shared" si="22"/>
        <v>0.99985440680303816</v>
      </c>
      <c r="U55" s="423">
        <f t="shared" si="22"/>
        <v>0</v>
      </c>
      <c r="V55" s="423">
        <f t="shared" si="23"/>
        <v>0</v>
      </c>
      <c r="W55" s="423">
        <f t="shared" si="23"/>
        <v>0.9874710111306757</v>
      </c>
      <c r="X55" s="423">
        <f t="shared" si="23"/>
        <v>0.98089676884654975</v>
      </c>
      <c r="Y55" s="423">
        <f t="shared" si="23"/>
        <v>0.46163184738336971</v>
      </c>
      <c r="Z55" s="423">
        <f t="shared" si="23"/>
        <v>0.99996219883369875</v>
      </c>
      <c r="AA55" s="423">
        <f t="shared" si="23"/>
        <v>0.99951462610036068</v>
      </c>
      <c r="AB55" s="423">
        <f t="shared" si="23"/>
        <v>0</v>
      </c>
    </row>
    <row r="56" spans="2:28" ht="14.4">
      <c r="B56" s="1616"/>
      <c r="C56" s="608" t="s">
        <v>131</v>
      </c>
      <c r="D56" s="429">
        <f t="shared" si="24" ref="D56:N56">SUM(D52:D55)</f>
        <v>85026.290743406789</v>
      </c>
      <c r="E56" s="429">
        <f t="shared" si="24"/>
        <v>14.482342073599998</v>
      </c>
      <c r="F56" s="429">
        <f t="shared" si="24"/>
        <v>4776.0012300877825</v>
      </c>
      <c r="G56" s="1257">
        <f t="shared" si="24"/>
        <v>7.0524360451454635</v>
      </c>
      <c r="H56" s="429">
        <f t="shared" si="24"/>
        <v>73.460148302589133</v>
      </c>
      <c r="I56" s="429">
        <f t="shared" si="24"/>
        <v>18873.16185768311</v>
      </c>
      <c r="J56" s="429">
        <f t="shared" si="24"/>
        <v>1351.5947134365599</v>
      </c>
      <c r="K56" s="429">
        <f t="shared" si="24"/>
        <v>34139.931089875143</v>
      </c>
      <c r="L56" s="429">
        <f t="shared" si="24"/>
        <v>19064.931345440313</v>
      </c>
      <c r="M56" s="429">
        <f t="shared" si="24"/>
        <v>6724.9561375240291</v>
      </c>
      <c r="N56" s="429">
        <f t="shared" si="24"/>
        <v>0.71944293852140084</v>
      </c>
      <c r="P56" s="1616"/>
      <c r="Q56" s="610" t="s">
        <v>131</v>
      </c>
      <c r="R56" s="435">
        <f t="shared" si="25" ref="R56:AB56">SUM(R52:R55)</f>
        <v>1</v>
      </c>
      <c r="S56" s="435">
        <f t="shared" si="25"/>
        <v>1</v>
      </c>
      <c r="T56" s="435">
        <f t="shared" si="25"/>
        <v>1</v>
      </c>
      <c r="U56" s="435">
        <f t="shared" si="25"/>
        <v>1</v>
      </c>
      <c r="V56" s="435">
        <f t="shared" si="25"/>
        <v>1</v>
      </c>
      <c r="W56" s="435">
        <f t="shared" si="25"/>
        <v>1</v>
      </c>
      <c r="X56" s="435">
        <f t="shared" si="25"/>
        <v>1</v>
      </c>
      <c r="Y56" s="435">
        <f t="shared" si="25"/>
        <v>0.99999999999999978</v>
      </c>
      <c r="Z56" s="435">
        <f t="shared" si="25"/>
        <v>1</v>
      </c>
      <c r="AA56" s="435">
        <f t="shared" si="25"/>
        <v>1</v>
      </c>
      <c r="AB56" s="435">
        <f t="shared" si="25"/>
        <v>1</v>
      </c>
    </row>
    <row r="57" spans="4:7" ht="14.4">
      <c r="D57" s="1281">
        <f>D56/1000/3403</f>
        <v>0.02498568637772753</v>
      </c>
      <c r="G57" s="1260"/>
    </row>
    <row r="58" spans="2:16" ht="14.4">
      <c r="B58" s="514" t="s">
        <v>1454</v>
      </c>
      <c r="P58" s="514" t="s">
        <v>1454</v>
      </c>
    </row>
    <row r="59" spans="2:28" ht="15.6" customHeight="1">
      <c r="B59" s="1618" t="s">
        <v>882</v>
      </c>
      <c r="C59" s="1615" t="s">
        <v>1588</v>
      </c>
      <c r="D59" s="1615" t="s">
        <v>887</v>
      </c>
      <c r="E59" s="1615"/>
      <c r="F59" s="1615"/>
      <c r="G59" s="1615"/>
      <c r="H59" s="1615"/>
      <c r="I59" s="1615"/>
      <c r="J59" s="1615"/>
      <c r="K59" s="1615"/>
      <c r="L59" s="1615"/>
      <c r="M59" s="1615"/>
      <c r="N59" s="1615"/>
      <c r="P59" s="1618" t="str">
        <f>"% "&amp;B59</f>
        <v>% Total Annual MWhs</v>
      </c>
      <c r="Q59" s="1617" t="s">
        <v>1588</v>
      </c>
      <c r="R59" s="1615" t="s">
        <v>887</v>
      </c>
      <c r="S59" s="1615"/>
      <c r="T59" s="1615"/>
      <c r="U59" s="1615"/>
      <c r="V59" s="1615"/>
      <c r="W59" s="1615"/>
      <c r="X59" s="1615"/>
      <c r="Y59" s="1615"/>
      <c r="Z59" s="1615"/>
      <c r="AA59" s="1615"/>
      <c r="AB59" s="1615"/>
    </row>
    <row r="60" spans="2:28" ht="14.4">
      <c r="B60" s="1619"/>
      <c r="C60" s="1615"/>
      <c r="D60" s="608" t="s">
        <v>889</v>
      </c>
      <c r="E60" s="608" t="s">
        <v>1580</v>
      </c>
      <c r="F60" s="608" t="s">
        <v>892</v>
      </c>
      <c r="G60" s="608" t="s">
        <v>893</v>
      </c>
      <c r="H60" s="608" t="s">
        <v>890</v>
      </c>
      <c r="I60" s="608" t="s">
        <v>891</v>
      </c>
      <c r="J60" s="608" t="s">
        <v>894</v>
      </c>
      <c r="K60" s="608" t="s">
        <v>895</v>
      </c>
      <c r="L60" s="608" t="s">
        <v>896</v>
      </c>
      <c r="M60" s="608" t="s">
        <v>897</v>
      </c>
      <c r="N60" s="608" t="s">
        <v>898</v>
      </c>
      <c r="P60" s="1619"/>
      <c r="Q60" s="1617"/>
      <c r="R60" s="608" t="s">
        <v>889</v>
      </c>
      <c r="S60" s="608" t="s">
        <v>1580</v>
      </c>
      <c r="T60" s="608" t="s">
        <v>892</v>
      </c>
      <c r="U60" s="608" t="s">
        <v>893</v>
      </c>
      <c r="V60" s="608" t="s">
        <v>890</v>
      </c>
      <c r="W60" s="608" t="s">
        <v>891</v>
      </c>
      <c r="X60" s="608" t="s">
        <v>894</v>
      </c>
      <c r="Y60" s="608" t="s">
        <v>895</v>
      </c>
      <c r="Z60" s="608" t="s">
        <v>896</v>
      </c>
      <c r="AA60" s="608" t="s">
        <v>897</v>
      </c>
      <c r="AB60" s="608" t="s">
        <v>898</v>
      </c>
    </row>
    <row r="61" spans="2:28" ht="14.4">
      <c r="B61" s="1619"/>
      <c r="C61" s="594" t="s">
        <v>1581</v>
      </c>
      <c r="D61" s="602">
        <f>SUM(E61:N61)</f>
        <v>6641.7519087160817</v>
      </c>
      <c r="E61" s="602">
        <v>0</v>
      </c>
      <c r="F61" s="602">
        <v>0</v>
      </c>
      <c r="G61" s="602">
        <f>'Tri-County 2015'!$K$22</f>
        <v>442.38057611426279</v>
      </c>
      <c r="H61" s="602">
        <f>'Suwannee 2015'!$K$22</f>
        <v>1806.5901443608966</v>
      </c>
      <c r="I61" s="602">
        <v>0</v>
      </c>
      <c r="J61" s="602">
        <f>'Central Florida 2015'!$K$22</f>
        <v>504.41812448622557</v>
      </c>
      <c r="K61" s="602">
        <f>'Sumter 2015'!$K$22</f>
        <v>3882.7704781546963</v>
      </c>
      <c r="L61" s="602">
        <f>'Withlacoochee 2015'!$K$22</f>
        <v>5.5925855999999996</v>
      </c>
      <c r="M61" s="602">
        <v>0</v>
      </c>
      <c r="N61" s="602">
        <v>0</v>
      </c>
      <c r="P61" s="1619"/>
      <c r="Q61" s="594" t="s">
        <v>1581</v>
      </c>
      <c r="R61" s="278">
        <f>D61/D$68</f>
        <v>0.58041543700771925</v>
      </c>
      <c r="S61" s="278">
        <f t="shared" si="26" ref="S61:S67">E61/E$68</f>
        <v>0</v>
      </c>
      <c r="T61" s="278">
        <f t="shared" si="27" ref="T61:T67">F61/F$68</f>
        <v>0</v>
      </c>
      <c r="U61" s="278">
        <f t="shared" si="28" ref="U61:U67">G61/G$68</f>
        <v>0.98751580211055767</v>
      </c>
      <c r="V61" s="278">
        <f t="shared" si="29" ref="V61:V67">H61/H$68</f>
        <v>0.99691389532217833</v>
      </c>
      <c r="W61" s="278">
        <f t="shared" si="30" ref="W61:W67">I61/I$68</f>
        <v>0</v>
      </c>
      <c r="X61" s="278">
        <f t="shared" si="31" ref="X61:X67">J61/J$68</f>
        <v>0.8241077094600503</v>
      </c>
      <c r="Y61" s="278">
        <f t="shared" si="32" ref="Y61:Y67">K61/K$68</f>
        <v>0.74389088143863991</v>
      </c>
      <c r="Z61" s="278">
        <f t="shared" si="33" ref="Z61:Z67">L61/L$68</f>
        <v>0.0057641572852743603</v>
      </c>
      <c r="AA61" s="278">
        <f t="shared" si="34" ref="AA61:AA67">M61/M$68</f>
        <v>0</v>
      </c>
      <c r="AB61" s="278">
        <f t="shared" si="35" ref="AB61:AB67">N61/N$68</f>
        <v>0</v>
      </c>
    </row>
    <row r="62" spans="2:28" ht="14.4">
      <c r="B62" s="1619"/>
      <c r="C62" s="594" t="s">
        <v>1582</v>
      </c>
      <c r="D62" s="602">
        <f t="shared" si="36" ref="D62:D67">SUM(E62:N62)</f>
        <v>266.44020979212002</v>
      </c>
      <c r="E62" s="602">
        <v>0</v>
      </c>
      <c r="F62" s="602">
        <f>'Talquin 2015'!$K$23</f>
        <v>5.5925855999999996</v>
      </c>
      <c r="G62" s="602">
        <f>'Tri-County 2015'!$K$23</f>
        <v>5.5925855999999996</v>
      </c>
      <c r="H62" s="602">
        <f>'Suwannee 2015'!$K$23</f>
        <v>5.5925855999999996</v>
      </c>
      <c r="I62" s="602">
        <f>'Clay 2015 without Resizing'!$K$22</f>
        <v>5.5925855999999996</v>
      </c>
      <c r="J62" s="602">
        <f>SUM('Central Florida 2015'!$K$23:$K$24)</f>
        <v>44.575910441999994</v>
      </c>
      <c r="K62" s="602">
        <f>'Sumter 2015'!$K$23</f>
        <v>167.777568</v>
      </c>
      <c r="L62" s="602">
        <v>0</v>
      </c>
      <c r="M62" s="602">
        <f>'Peace River 2015'!$K$24</f>
        <v>26.123803350119996</v>
      </c>
      <c r="N62" s="602">
        <f>'Glades 2015'!$K$23</f>
        <v>5.5925855999999996</v>
      </c>
      <c r="P62" s="1619"/>
      <c r="Q62" s="594" t="s">
        <v>1582</v>
      </c>
      <c r="R62" s="278">
        <f t="shared" si="37" ref="R62:R67">D62/D$68</f>
        <v>0.023283918599846708</v>
      </c>
      <c r="S62" s="278">
        <f t="shared" si="26"/>
        <v>0</v>
      </c>
      <c r="T62" s="278">
        <f t="shared" si="27"/>
        <v>0.012022795135417602</v>
      </c>
      <c r="U62" s="278">
        <f t="shared" si="28"/>
        <v>0.012484197889442312</v>
      </c>
      <c r="V62" s="278">
        <f t="shared" si="29"/>
        <v>0.0030861046778216882</v>
      </c>
      <c r="W62" s="278">
        <f t="shared" si="30"/>
        <v>0.0049986643179601052</v>
      </c>
      <c r="X62" s="278">
        <f t="shared" si="31"/>
        <v>0.072827183775106621</v>
      </c>
      <c r="Y62" s="278">
        <f t="shared" si="32"/>
        <v>0.032144110409654446</v>
      </c>
      <c r="Z62" s="278">
        <f t="shared" si="33"/>
        <v>0</v>
      </c>
      <c r="AA62" s="278">
        <f t="shared" si="34"/>
        <v>0.057905856492428236</v>
      </c>
      <c r="AB62" s="278">
        <f t="shared" si="35"/>
        <v>0.09097343347023748</v>
      </c>
    </row>
    <row r="63" spans="2:28" ht="14.4">
      <c r="B63" s="1619"/>
      <c r="C63" s="594" t="s">
        <v>1583</v>
      </c>
      <c r="D63" s="602">
        <f t="shared" si="36"/>
        <v>158</v>
      </c>
      <c r="E63" s="602">
        <v>0</v>
      </c>
      <c r="F63" s="602">
        <v>0</v>
      </c>
      <c r="G63" s="602">
        <v>0</v>
      </c>
      <c r="H63" s="602">
        <v>0</v>
      </c>
      <c r="I63" s="602">
        <v>0</v>
      </c>
      <c r="J63" s="602">
        <v>0</v>
      </c>
      <c r="K63" s="602">
        <f>'Sumter 2015'!$K$37</f>
        <v>158</v>
      </c>
      <c r="L63" s="602">
        <v>0</v>
      </c>
      <c r="M63" s="602">
        <v>0</v>
      </c>
      <c r="N63" s="602">
        <v>0</v>
      </c>
      <c r="P63" s="1619"/>
      <c r="Q63" s="594" t="s">
        <v>1583</v>
      </c>
      <c r="R63" s="278">
        <f t="shared" si="37"/>
        <v>0.013807447237960336</v>
      </c>
      <c r="S63" s="278">
        <f t="shared" si="26"/>
        <v>0</v>
      </c>
      <c r="T63" s="278">
        <f t="shared" si="27"/>
        <v>0</v>
      </c>
      <c r="U63" s="278">
        <f t="shared" si="28"/>
        <v>0</v>
      </c>
      <c r="V63" s="278">
        <f t="shared" si="29"/>
        <v>0</v>
      </c>
      <c r="W63" s="278">
        <f t="shared" si="30"/>
        <v>0</v>
      </c>
      <c r="X63" s="278">
        <f t="shared" si="31"/>
        <v>0</v>
      </c>
      <c r="Y63" s="278">
        <f t="shared" si="32"/>
        <v>0.030270849108537577</v>
      </c>
      <c r="Z63" s="278">
        <f t="shared" si="33"/>
        <v>0</v>
      </c>
      <c r="AA63" s="278">
        <f t="shared" si="34"/>
        <v>0</v>
      </c>
      <c r="AB63" s="278">
        <f t="shared" si="35"/>
        <v>0</v>
      </c>
    </row>
    <row r="64" spans="2:28" ht="14.4">
      <c r="B64" s="1619"/>
      <c r="C64" s="594" t="s">
        <v>1776</v>
      </c>
      <c r="D64" s="602">
        <f t="shared" si="36"/>
        <v>3218.1271157245401</v>
      </c>
      <c r="E64" s="602">
        <f>'Seminole 2015'!$K$45</f>
        <v>284.48967185714287</v>
      </c>
      <c r="F64" s="602">
        <f>'Talquin 2015'!$K$41</f>
        <v>232.19482949771691</v>
      </c>
      <c r="G64" s="602">
        <v>0</v>
      </c>
      <c r="H64" s="602">
        <v>0</v>
      </c>
      <c r="I64" s="602">
        <f>'Clay 2015 without Resizing'!$K$48</f>
        <v>458.83055572858456</v>
      </c>
      <c r="J64" s="602">
        <f>'Central Florida 2015'!$K$44</f>
        <v>63.083875150684932</v>
      </c>
      <c r="K64" s="602">
        <f>'Sumter 2015'!$K$43</f>
        <v>852.48514313424664</v>
      </c>
      <c r="L64" s="602">
        <f>'Withlacoochee 2015'!$K$42</f>
        <v>904.93512259360728</v>
      </c>
      <c r="M64" s="602">
        <f>'Peace River 2015'!$K$44</f>
        <v>422.10791776255712</v>
      </c>
      <c r="N64" s="602">
        <v>0</v>
      </c>
      <c r="P64" s="1619"/>
      <c r="Q64" s="594" t="s">
        <v>1584</v>
      </c>
      <c r="R64" s="278">
        <f t="shared" si="37"/>
        <v>0.28122860984440545</v>
      </c>
      <c r="S64" s="278">
        <f t="shared" si="26"/>
        <v>1</v>
      </c>
      <c r="T64" s="278">
        <f t="shared" si="27"/>
        <v>0.49916640820916008</v>
      </c>
      <c r="U64" s="278">
        <f t="shared" si="28"/>
        <v>0</v>
      </c>
      <c r="V64" s="278">
        <f t="shared" si="29"/>
        <v>0</v>
      </c>
      <c r="W64" s="278">
        <f t="shared" si="30"/>
        <v>0.4101036785043185</v>
      </c>
      <c r="X64" s="278">
        <f t="shared" si="31"/>
        <v>0.10306510676484308</v>
      </c>
      <c r="Y64" s="278">
        <f t="shared" si="32"/>
        <v>0.16332562743725845</v>
      </c>
      <c r="Z64" s="278">
        <f t="shared" si="33"/>
        <v>0.9326971016051302</v>
      </c>
      <c r="AA64" s="278">
        <f t="shared" si="34"/>
        <v>0.9356417280703524</v>
      </c>
      <c r="AB64" s="278">
        <f t="shared" si="35"/>
        <v>0</v>
      </c>
    </row>
    <row r="65" spans="2:28" ht="14.4">
      <c r="B65" s="1619"/>
      <c r="C65" s="594" t="s">
        <v>1585</v>
      </c>
      <c r="D65" s="602">
        <f t="shared" si="36"/>
        <v>880.43642479771484</v>
      </c>
      <c r="E65" s="602">
        <v>0</v>
      </c>
      <c r="F65" s="602">
        <f>'Talquin 2015'!$K$22</f>
        <v>227.37775963980852</v>
      </c>
      <c r="G65" s="602">
        <v>0</v>
      </c>
      <c r="H65" s="602">
        <v>0</v>
      </c>
      <c r="I65" s="602">
        <f>SUM('Clay 2015 without Resizing'!$K$23:$K$28)</f>
        <v>653.05866515790626</v>
      </c>
      <c r="J65" s="602">
        <v>0</v>
      </c>
      <c r="K65" s="602">
        <v>0</v>
      </c>
      <c r="L65" s="602">
        <v>0</v>
      </c>
      <c r="M65" s="602">
        <v>0</v>
      </c>
      <c r="N65" s="602">
        <v>0</v>
      </c>
      <c r="P65" s="1619"/>
      <c r="Q65" s="594" t="s">
        <v>1585</v>
      </c>
      <c r="R65" s="278">
        <f t="shared" si="37"/>
        <v>0.076940376466916968</v>
      </c>
      <c r="S65" s="278">
        <f t="shared" si="26"/>
        <v>0</v>
      </c>
      <c r="T65" s="278">
        <f t="shared" si="27"/>
        <v>0.48881079665542226</v>
      </c>
      <c r="U65" s="278">
        <f t="shared" si="28"/>
        <v>0</v>
      </c>
      <c r="V65" s="278">
        <f t="shared" si="29"/>
        <v>0</v>
      </c>
      <c r="W65" s="278">
        <f t="shared" si="30"/>
        <v>0.5837051554578766</v>
      </c>
      <c r="X65" s="278">
        <f t="shared" si="31"/>
        <v>0</v>
      </c>
      <c r="Y65" s="278">
        <f t="shared" si="32"/>
        <v>0</v>
      </c>
      <c r="Z65" s="278">
        <f t="shared" si="33"/>
        <v>0</v>
      </c>
      <c r="AA65" s="278">
        <f t="shared" si="34"/>
        <v>0</v>
      </c>
      <c r="AB65" s="278">
        <f t="shared" si="35"/>
        <v>0</v>
      </c>
    </row>
    <row r="66" spans="2:28" ht="14.4">
      <c r="B66" s="1619"/>
      <c r="C66" s="594" t="s">
        <v>1586</v>
      </c>
      <c r="D66" s="602">
        <f t="shared" si="36"/>
        <v>0</v>
      </c>
      <c r="E66" s="602">
        <v>0</v>
      </c>
      <c r="F66" s="602">
        <v>0</v>
      </c>
      <c r="G66" s="602">
        <v>0</v>
      </c>
      <c r="H66" s="602">
        <v>0</v>
      </c>
      <c r="I66" s="602">
        <v>0</v>
      </c>
      <c r="J66" s="602">
        <f>'Central Florida 2015'!$K$25</f>
        <v>0</v>
      </c>
      <c r="K66" s="602">
        <v>0</v>
      </c>
      <c r="L66" s="602">
        <v>0</v>
      </c>
      <c r="M66" s="602">
        <v>0</v>
      </c>
      <c r="N66" s="602">
        <v>0</v>
      </c>
      <c r="P66" s="1619"/>
      <c r="Q66" s="594" t="s">
        <v>1586</v>
      </c>
      <c r="R66" s="278">
        <f t="shared" si="37"/>
        <v>0</v>
      </c>
      <c r="S66" s="278">
        <f t="shared" si="26"/>
        <v>0</v>
      </c>
      <c r="T66" s="278">
        <f t="shared" si="27"/>
        <v>0</v>
      </c>
      <c r="U66" s="278">
        <f t="shared" si="28"/>
        <v>0</v>
      </c>
      <c r="V66" s="278">
        <f t="shared" si="29"/>
        <v>0</v>
      </c>
      <c r="W66" s="278">
        <f t="shared" si="30"/>
        <v>0</v>
      </c>
      <c r="X66" s="278">
        <f t="shared" si="31"/>
        <v>0</v>
      </c>
      <c r="Y66" s="278">
        <f t="shared" si="32"/>
        <v>0</v>
      </c>
      <c r="Z66" s="278">
        <f t="shared" si="33"/>
        <v>0</v>
      </c>
      <c r="AA66" s="278">
        <f t="shared" si="34"/>
        <v>0</v>
      </c>
      <c r="AB66" s="278">
        <f t="shared" si="35"/>
        <v>0</v>
      </c>
    </row>
    <row r="67" spans="2:28" ht="14.4">
      <c r="B67" s="1619"/>
      <c r="C67" s="594" t="s">
        <v>1587</v>
      </c>
      <c r="D67" s="602">
        <f t="shared" si="36"/>
        <v>278.34437800000001</v>
      </c>
      <c r="E67" s="602">
        <v>0</v>
      </c>
      <c r="F67" s="602">
        <v>0</v>
      </c>
      <c r="G67" s="602">
        <v>0</v>
      </c>
      <c r="H67" s="602">
        <v>0</v>
      </c>
      <c r="I67" s="602">
        <f>'Clay 2015 without Resizing'!$K$37</f>
        <v>1.3341899999999998</v>
      </c>
      <c r="J67" s="602">
        <v>0</v>
      </c>
      <c r="K67" s="602">
        <f>'Sumter 2015'!$K$34</f>
        <v>158.50985800000001</v>
      </c>
      <c r="L67" s="602">
        <f>'Withlacoochee 2015'!$K$33</f>
        <v>59.707024000000004</v>
      </c>
      <c r="M67" s="602">
        <f>'Peace River 2015'!$K$33</f>
        <v>2.9109600000000002</v>
      </c>
      <c r="N67" s="602">
        <f>'Glades 2015'!$K$33</f>
        <v>55.882345999999998</v>
      </c>
      <c r="P67" s="1619"/>
      <c r="Q67" s="594" t="s">
        <v>1587</v>
      </c>
      <c r="R67" s="278">
        <f t="shared" si="37"/>
        <v>0.024324210843151187</v>
      </c>
      <c r="S67" s="278">
        <f t="shared" si="26"/>
        <v>0</v>
      </c>
      <c r="T67" s="278">
        <f t="shared" si="27"/>
        <v>0</v>
      </c>
      <c r="U67" s="278">
        <f t="shared" si="28"/>
        <v>0</v>
      </c>
      <c r="V67" s="278">
        <f t="shared" si="29"/>
        <v>0</v>
      </c>
      <c r="W67" s="278">
        <f t="shared" si="30"/>
        <v>0.0011925017198447872</v>
      </c>
      <c r="X67" s="278">
        <f t="shared" si="31"/>
        <v>0</v>
      </c>
      <c r="Y67" s="278">
        <f t="shared" si="32"/>
        <v>0.030368531605909608</v>
      </c>
      <c r="Z67" s="278">
        <f t="shared" si="33"/>
        <v>0.061538741109595375</v>
      </c>
      <c r="AA67" s="278">
        <f t="shared" si="34"/>
        <v>0.0064524154372194295</v>
      </c>
      <c r="AB67" s="278">
        <f t="shared" si="35"/>
        <v>0.90902656652976255</v>
      </c>
    </row>
    <row r="68" spans="2:28" ht="14.4">
      <c r="B68" s="1620"/>
      <c r="C68" s="608" t="s">
        <v>131</v>
      </c>
      <c r="D68" s="429">
        <f>SUM(D61:D67)</f>
        <v>11443.100037030457</v>
      </c>
      <c r="E68" s="429">
        <f t="shared" si="38" ref="E68:N68">SUM(E61:E67)</f>
        <v>284.48967185714287</v>
      </c>
      <c r="F68" s="429">
        <f t="shared" si="38"/>
        <v>465.16517473752543</v>
      </c>
      <c r="G68" s="429">
        <f t="shared" si="38"/>
        <v>447.9731617142628</v>
      </c>
      <c r="H68" s="429">
        <f t="shared" si="38"/>
        <v>1812.1827299608965</v>
      </c>
      <c r="I68" s="429">
        <f t="shared" si="38"/>
        <v>1118.8159964864908</v>
      </c>
      <c r="J68" s="429">
        <f t="shared" si="38"/>
        <v>612.07791007891046</v>
      </c>
      <c r="K68" s="429">
        <f t="shared" si="38"/>
        <v>5219.5430472889429</v>
      </c>
      <c r="L68" s="429">
        <f t="shared" si="38"/>
        <v>970.23473219360733</v>
      </c>
      <c r="M68" s="429">
        <f t="shared" si="38"/>
        <v>451.14268111267711</v>
      </c>
      <c r="N68" s="429">
        <f t="shared" si="38"/>
        <v>61.474931599999998</v>
      </c>
      <c r="P68" s="1620"/>
      <c r="Q68" s="610" t="s">
        <v>131</v>
      </c>
      <c r="R68" s="535">
        <f t="shared" si="39" ref="R68:AB68">SUM(R61:R67)</f>
        <v>0.99999999999999989</v>
      </c>
      <c r="S68" s="535">
        <f t="shared" si="39"/>
        <v>1</v>
      </c>
      <c r="T68" s="535">
        <f t="shared" si="39"/>
        <v>1</v>
      </c>
      <c r="U68" s="535">
        <f t="shared" si="39"/>
        <v>1</v>
      </c>
      <c r="V68" s="535">
        <f t="shared" si="39"/>
        <v>1</v>
      </c>
      <c r="W68" s="535">
        <f t="shared" si="39"/>
        <v>0.99999999999999989</v>
      </c>
      <c r="X68" s="535">
        <f t="shared" si="39"/>
        <v>1</v>
      </c>
      <c r="Y68" s="535">
        <f t="shared" si="39"/>
        <v>1</v>
      </c>
      <c r="Z68" s="535">
        <f t="shared" si="39"/>
        <v>0.99999999999999989</v>
      </c>
      <c r="AA68" s="535">
        <f t="shared" si="39"/>
        <v>1</v>
      </c>
      <c r="AB68" s="535">
        <f t="shared" si="39"/>
        <v>1</v>
      </c>
    </row>
    <row r="69" spans="3:28" ht="14.4">
      <c r="C69" s="604"/>
      <c r="D69" s="267" t="str">
        <f>IF(D68=D11,"OK","CHECK")</f>
        <v>OK</v>
      </c>
      <c r="E69" s="267" t="str">
        <f>IF(E68=E11,"OK","CHECK")</f>
        <v>OK</v>
      </c>
      <c r="F69" s="267" t="str">
        <f>IF(F68=F11,"OK","CHECK")</f>
        <v>OK</v>
      </c>
      <c r="G69" s="267" t="str">
        <f t="shared" si="40" ref="G69:N69">IF(G68=G11,"OK","CHECK")</f>
        <v>OK</v>
      </c>
      <c r="H69" s="267" t="str">
        <f t="shared" si="40"/>
        <v>OK</v>
      </c>
      <c r="I69" s="267" t="str">
        <f t="shared" si="40"/>
        <v>OK</v>
      </c>
      <c r="J69" s="267" t="str">
        <f t="shared" si="40"/>
        <v>OK</v>
      </c>
      <c r="K69" s="267" t="str">
        <f t="shared" si="40"/>
        <v>OK</v>
      </c>
      <c r="L69" s="267" t="str">
        <f t="shared" si="40"/>
        <v>OK</v>
      </c>
      <c r="M69" s="267" t="str">
        <f t="shared" si="40"/>
        <v>OK</v>
      </c>
      <c r="N69" s="267" t="str">
        <f t="shared" si="40"/>
        <v>OK</v>
      </c>
      <c r="Q69" s="604"/>
      <c r="R69" s="267" t="str">
        <f t="shared" si="41" ref="R69:AB69">IF(R68=R11,"OK","CHECK")</f>
        <v>OK</v>
      </c>
      <c r="S69" s="267" t="str">
        <f t="shared" si="41"/>
        <v>OK</v>
      </c>
      <c r="T69" s="267" t="str">
        <f t="shared" si="41"/>
        <v>OK</v>
      </c>
      <c r="U69" s="267" t="str">
        <f t="shared" si="41"/>
        <v>OK</v>
      </c>
      <c r="V69" s="267" t="str">
        <f t="shared" si="41"/>
        <v>OK</v>
      </c>
      <c r="W69" s="267" t="str">
        <f t="shared" si="41"/>
        <v>OK</v>
      </c>
      <c r="X69" s="267" t="str">
        <f t="shared" si="41"/>
        <v>OK</v>
      </c>
      <c r="Y69" s="267" t="str">
        <f t="shared" si="41"/>
        <v>OK</v>
      </c>
      <c r="Z69" s="267" t="str">
        <f t="shared" si="41"/>
        <v>OK</v>
      </c>
      <c r="AA69" s="267" t="str">
        <f t="shared" si="41"/>
        <v>OK</v>
      </c>
      <c r="AB69" s="267" t="str">
        <f t="shared" si="41"/>
        <v>OK</v>
      </c>
    </row>
    <row r="70" spans="2:16" ht="14.4">
      <c r="B70" s="514" t="s">
        <v>1454</v>
      </c>
      <c r="P70" s="514" t="s">
        <v>1454</v>
      </c>
    </row>
    <row r="71" spans="2:28" ht="15.6" customHeight="1">
      <c r="B71" s="1618" t="s">
        <v>883</v>
      </c>
      <c r="C71" s="1615" t="s">
        <v>1588</v>
      </c>
      <c r="D71" s="1615" t="s">
        <v>887</v>
      </c>
      <c r="E71" s="1615"/>
      <c r="F71" s="1615"/>
      <c r="G71" s="1615"/>
      <c r="H71" s="1615"/>
      <c r="I71" s="1615"/>
      <c r="J71" s="1615"/>
      <c r="K71" s="1615"/>
      <c r="L71" s="1615"/>
      <c r="M71" s="1615"/>
      <c r="N71" s="1615"/>
      <c r="P71" s="1618" t="str">
        <f>"% "&amp;B71</f>
        <v>% Total Lifetime MWhs</v>
      </c>
      <c r="Q71" s="1617" t="s">
        <v>1588</v>
      </c>
      <c r="R71" s="1615" t="s">
        <v>887</v>
      </c>
      <c r="S71" s="1615"/>
      <c r="T71" s="1615"/>
      <c r="U71" s="1615"/>
      <c r="V71" s="1615"/>
      <c r="W71" s="1615"/>
      <c r="X71" s="1615"/>
      <c r="Y71" s="1615"/>
      <c r="Z71" s="1615"/>
      <c r="AA71" s="1615"/>
      <c r="AB71" s="1615"/>
    </row>
    <row r="72" spans="2:28" ht="14.4">
      <c r="B72" s="1619"/>
      <c r="C72" s="1615"/>
      <c r="D72" s="608" t="s">
        <v>889</v>
      </c>
      <c r="E72" s="608" t="s">
        <v>1580</v>
      </c>
      <c r="F72" s="608" t="s">
        <v>892</v>
      </c>
      <c r="G72" s="608" t="s">
        <v>893</v>
      </c>
      <c r="H72" s="608" t="s">
        <v>890</v>
      </c>
      <c r="I72" s="608" t="s">
        <v>891</v>
      </c>
      <c r="J72" s="608" t="s">
        <v>894</v>
      </c>
      <c r="K72" s="608" t="s">
        <v>895</v>
      </c>
      <c r="L72" s="608" t="s">
        <v>896</v>
      </c>
      <c r="M72" s="608" t="s">
        <v>897</v>
      </c>
      <c r="N72" s="608" t="s">
        <v>898</v>
      </c>
      <c r="P72" s="1619"/>
      <c r="Q72" s="1617"/>
      <c r="R72" s="608" t="s">
        <v>889</v>
      </c>
      <c r="S72" s="608" t="s">
        <v>1580</v>
      </c>
      <c r="T72" s="608" t="s">
        <v>892</v>
      </c>
      <c r="U72" s="608" t="s">
        <v>893</v>
      </c>
      <c r="V72" s="608" t="s">
        <v>890</v>
      </c>
      <c r="W72" s="608" t="s">
        <v>891</v>
      </c>
      <c r="X72" s="608" t="s">
        <v>894</v>
      </c>
      <c r="Y72" s="608" t="s">
        <v>895</v>
      </c>
      <c r="Z72" s="608" t="s">
        <v>896</v>
      </c>
      <c r="AA72" s="608" t="s">
        <v>897</v>
      </c>
      <c r="AB72" s="608" t="s">
        <v>898</v>
      </c>
    </row>
    <row r="73" spans="2:28" ht="14.4">
      <c r="B73" s="1619"/>
      <c r="C73" s="594" t="s">
        <v>1581</v>
      </c>
      <c r="D73" s="602">
        <f>SUM(E73:N73)</f>
        <v>6748.0110351160811</v>
      </c>
      <c r="E73" s="602">
        <v>0</v>
      </c>
      <c r="F73" s="602">
        <v>0</v>
      </c>
      <c r="G73" s="602">
        <f>'Tri-County 2015'!$L$22</f>
        <v>442.38057611426279</v>
      </c>
      <c r="H73" s="602">
        <f>'Suwannee 2015'!$L$22</f>
        <v>1806.5901443608966</v>
      </c>
      <c r="I73" s="602">
        <v>0</v>
      </c>
      <c r="J73" s="602">
        <f>'Central Florida 2015'!$L$22</f>
        <v>504.41812448622557</v>
      </c>
      <c r="K73" s="602">
        <f>'Sumter 2015'!$L$22</f>
        <v>3882.7704781546963</v>
      </c>
      <c r="L73" s="602">
        <f>'Withlacoochee 2015'!$L$22</f>
        <v>111.85171199999999</v>
      </c>
      <c r="M73" s="602">
        <v>0</v>
      </c>
      <c r="N73" s="602">
        <v>0</v>
      </c>
      <c r="P73" s="1619"/>
      <c r="Q73" s="594" t="s">
        <v>1581</v>
      </c>
      <c r="R73" s="278">
        <f>D73/D$80</f>
        <v>0.20900951171393509</v>
      </c>
      <c r="S73" s="278">
        <f t="shared" si="42" ref="S73:S79">E73/E$80</f>
        <v>0</v>
      </c>
      <c r="T73" s="278">
        <f t="shared" si="43" ref="T73:T79">F73/F$80</f>
        <v>0</v>
      </c>
      <c r="U73" s="278">
        <f t="shared" si="44" ref="U73:U79">G73/G$80</f>
        <v>0.79818622191686495</v>
      </c>
      <c r="V73" s="278">
        <f t="shared" si="45" ref="V73:V79">H73/H$80</f>
        <v>0.94169658484611463</v>
      </c>
      <c r="W73" s="278">
        <f t="shared" si="46" ref="W73:W79">I73/I$80</f>
        <v>0</v>
      </c>
      <c r="X73" s="278">
        <f t="shared" si="47" ref="X73:X79">J73/J$80</f>
        <v>0.52971910580115955</v>
      </c>
      <c r="Y73" s="278">
        <f t="shared" si="48" ref="Y73:Y79">K73/K$80</f>
        <v>0.38032420321101196</v>
      </c>
      <c r="Z73" s="278">
        <f t="shared" si="49" ref="Z73:Z79">L73/L$80</f>
        <v>0.063726385018092926</v>
      </c>
      <c r="AA73" s="278">
        <f t="shared" si="50" ref="AA73:AA79">M73/M$80</f>
        <v>0</v>
      </c>
      <c r="AB73" s="278">
        <f t="shared" si="51" ref="AB73:AB79">N73/N$80</f>
        <v>0</v>
      </c>
    </row>
    <row r="74" spans="2:28" ht="14.4">
      <c r="B74" s="1619"/>
      <c r="C74" s="594" t="s">
        <v>1582</v>
      </c>
      <c r="D74" s="602">
        <f t="shared" si="52" ref="D74:D79">SUM(E74:N74)</f>
        <v>4555.1151421448394</v>
      </c>
      <c r="E74" s="602">
        <v>0</v>
      </c>
      <c r="F74" s="602">
        <f>'Talquin 2015'!$L$23</f>
        <v>111.85171199999999</v>
      </c>
      <c r="G74" s="602">
        <f>'Tri-County 2015'!$L$23</f>
        <v>111.85171199999999</v>
      </c>
      <c r="H74" s="602">
        <f>'Suwannee 2015'!$L$23</f>
        <v>111.85171199999999</v>
      </c>
      <c r="I74" s="602">
        <f>'Clay 2015 without Resizing'!$L$22</f>
        <v>111.85171199999999</v>
      </c>
      <c r="J74" s="602">
        <f>SUM('Central Florida 2015'!$L$23:$L$24)</f>
        <v>384.73498589399992</v>
      </c>
      <c r="K74" s="602">
        <f>'Sumter 2015'!$L$23</f>
        <v>3355.5513599999999</v>
      </c>
      <c r="L74" s="602">
        <v>0</v>
      </c>
      <c r="M74" s="602">
        <f>'Peace River 2015'!$L$24</f>
        <v>255.57023625083997</v>
      </c>
      <c r="N74" s="602">
        <f>'Glades 2015'!$L$23</f>
        <v>111.85171199999999</v>
      </c>
      <c r="P74" s="1619"/>
      <c r="Q74" s="594" t="s">
        <v>1582</v>
      </c>
      <c r="R74" s="278">
        <f t="shared" si="53" ref="R74:R79">D74/D$80</f>
        <v>0.14108785339946725</v>
      </c>
      <c r="S74" s="278">
        <f t="shared" si="42"/>
        <v>0</v>
      </c>
      <c r="T74" s="278">
        <f t="shared" si="43"/>
        <v>0.19574195878148434</v>
      </c>
      <c r="U74" s="278">
        <f t="shared" si="44"/>
        <v>0.20181377808313503</v>
      </c>
      <c r="V74" s="278">
        <f t="shared" si="45"/>
        <v>0.05830341515388543</v>
      </c>
      <c r="W74" s="278">
        <f t="shared" si="46"/>
        <v>0.011805218212814798</v>
      </c>
      <c r="X74" s="278">
        <f t="shared" si="47"/>
        <v>0.40403281088635168</v>
      </c>
      <c r="Y74" s="278">
        <f t="shared" si="48"/>
        <v>0.32868216251920868</v>
      </c>
      <c r="Z74" s="278">
        <f t="shared" si="49"/>
        <v>0</v>
      </c>
      <c r="AA74" s="278">
        <f t="shared" si="50"/>
        <v>0.23795817870908384</v>
      </c>
      <c r="AB74" s="278">
        <f t="shared" si="51"/>
        <v>0.13930067067345636</v>
      </c>
    </row>
    <row r="75" spans="2:28" ht="14.4">
      <c r="B75" s="1619"/>
      <c r="C75" s="594" t="s">
        <v>1583</v>
      </c>
      <c r="D75" s="602">
        <f t="shared" si="52"/>
        <v>158</v>
      </c>
      <c r="E75" s="602">
        <v>0</v>
      </c>
      <c r="F75" s="602">
        <v>0</v>
      </c>
      <c r="G75" s="602">
        <v>0</v>
      </c>
      <c r="H75" s="602">
        <v>0</v>
      </c>
      <c r="I75" s="602">
        <v>0</v>
      </c>
      <c r="J75" s="602">
        <v>0</v>
      </c>
      <c r="K75" s="602">
        <f>'Sumter 2015'!$L$37</f>
        <v>158</v>
      </c>
      <c r="L75" s="602">
        <v>0</v>
      </c>
      <c r="M75" s="602">
        <v>0</v>
      </c>
      <c r="N75" s="602">
        <v>0</v>
      </c>
      <c r="P75" s="1619"/>
      <c r="Q75" s="594" t="s">
        <v>1583</v>
      </c>
      <c r="R75" s="278">
        <f t="shared" si="53"/>
        <v>0.0048938128107601214</v>
      </c>
      <c r="S75" s="278">
        <f t="shared" si="42"/>
        <v>0</v>
      </c>
      <c r="T75" s="278">
        <f t="shared" si="43"/>
        <v>0</v>
      </c>
      <c r="U75" s="278">
        <f t="shared" si="44"/>
        <v>0</v>
      </c>
      <c r="V75" s="278">
        <f t="shared" si="45"/>
        <v>0</v>
      </c>
      <c r="W75" s="278">
        <f t="shared" si="46"/>
        <v>0</v>
      </c>
      <c r="X75" s="278">
        <f t="shared" si="47"/>
        <v>0</v>
      </c>
      <c r="Y75" s="278">
        <f t="shared" si="48"/>
        <v>0.015476378128819633</v>
      </c>
      <c r="Z75" s="278">
        <f t="shared" si="49"/>
        <v>0</v>
      </c>
      <c r="AA75" s="278">
        <f t="shared" si="50"/>
        <v>0</v>
      </c>
      <c r="AB75" s="278">
        <f t="shared" si="51"/>
        <v>0</v>
      </c>
    </row>
    <row r="76" spans="2:28" ht="14.4">
      <c r="B76" s="1619"/>
      <c r="C76" s="594" t="s">
        <v>1776</v>
      </c>
      <c r="D76" s="602">
        <f t="shared" si="52"/>
        <v>8743.5684140364901</v>
      </c>
      <c r="E76" s="602">
        <f>'Seminole 2015'!$L$45</f>
        <v>4973.3018948240633</v>
      </c>
      <c r="F76" s="602">
        <f>'Talquin 2015'!$L$41</f>
        <v>232.19482949771691</v>
      </c>
      <c r="G76" s="602">
        <v>0</v>
      </c>
      <c r="H76" s="602">
        <v>0</v>
      </c>
      <c r="I76" s="602">
        <f>'Clay 2015 without Resizing'!$L$48</f>
        <v>935.12453772858476</v>
      </c>
      <c r="J76" s="602">
        <f>'Central Florida 2015'!$L$44</f>
        <v>63.083875150684932</v>
      </c>
      <c r="K76" s="602">
        <f>'Sumter 2015'!$L$43</f>
        <v>852.48514313424664</v>
      </c>
      <c r="L76" s="602">
        <f>'Withlacoochee 2015'!$L$42</f>
        <v>904.93512259360728</v>
      </c>
      <c r="M76" s="602">
        <f>'Peace River 2015'!$L$44</f>
        <v>782.44301110758681</v>
      </c>
      <c r="N76" s="602">
        <v>0</v>
      </c>
      <c r="P76" s="1619"/>
      <c r="Q76" s="594" t="s">
        <v>1584</v>
      </c>
      <c r="R76" s="278">
        <f t="shared" si="53"/>
        <v>0.27081890579980589</v>
      </c>
      <c r="S76" s="278">
        <f t="shared" si="42"/>
        <v>1</v>
      </c>
      <c r="T76" s="278">
        <f t="shared" si="43"/>
        <v>0.40634398823342011</v>
      </c>
      <c r="U76" s="278">
        <f t="shared" si="44"/>
        <v>0</v>
      </c>
      <c r="V76" s="278">
        <f t="shared" si="45"/>
        <v>0</v>
      </c>
      <c r="W76" s="278">
        <f t="shared" si="46"/>
        <v>0.098696291962375227</v>
      </c>
      <c r="X76" s="278">
        <f t="shared" si="47"/>
        <v>0.066248083312488784</v>
      </c>
      <c r="Y76" s="278">
        <f t="shared" si="48"/>
        <v>0.083502420407256514</v>
      </c>
      <c r="Z76" s="278">
        <f t="shared" si="49"/>
        <v>0.51557766088368262</v>
      </c>
      <c r="AA76" s="278">
        <f t="shared" si="50"/>
        <v>0.72852268166340861</v>
      </c>
      <c r="AB76" s="278">
        <f t="shared" si="51"/>
        <v>0</v>
      </c>
    </row>
    <row r="77" spans="2:28" ht="14.4">
      <c r="B77" s="1619"/>
      <c r="C77" s="594" t="s">
        <v>1585</v>
      </c>
      <c r="D77" s="602">
        <f t="shared" si="52"/>
        <v>8638.6702082638512</v>
      </c>
      <c r="E77" s="602">
        <v>0</v>
      </c>
      <c r="F77" s="602">
        <f>'Talquin 2015'!$L$22</f>
        <v>227.37775963980852</v>
      </c>
      <c r="G77" s="602">
        <v>0</v>
      </c>
      <c r="H77" s="602">
        <v>0</v>
      </c>
      <c r="I77" s="602">
        <f>SUM('Clay 2015 without Resizing'!$L$23:$L$28)</f>
        <v>8411.2924486240427</v>
      </c>
      <c r="J77" s="602">
        <v>0</v>
      </c>
      <c r="K77" s="602">
        <v>0</v>
      </c>
      <c r="L77" s="602">
        <v>0</v>
      </c>
      <c r="M77" s="602">
        <v>0</v>
      </c>
      <c r="N77" s="602">
        <v>0</v>
      </c>
      <c r="P77" s="1619"/>
      <c r="Q77" s="594" t="s">
        <v>1585</v>
      </c>
      <c r="R77" s="278">
        <f t="shared" si="53"/>
        <v>0.26756984134894579</v>
      </c>
      <c r="S77" s="278">
        <f t="shared" si="42"/>
        <v>0</v>
      </c>
      <c r="T77" s="278">
        <f t="shared" si="43"/>
        <v>0.39791405298509563</v>
      </c>
      <c r="U77" s="278">
        <f t="shared" si="44"/>
        <v>0</v>
      </c>
      <c r="V77" s="278">
        <f t="shared" si="45"/>
        <v>0</v>
      </c>
      <c r="W77" s="278">
        <f t="shared" si="46"/>
        <v>0.88775702251037636</v>
      </c>
      <c r="X77" s="278">
        <f t="shared" si="47"/>
        <v>0</v>
      </c>
      <c r="Y77" s="278">
        <f t="shared" si="48"/>
        <v>0</v>
      </c>
      <c r="Z77" s="278">
        <f t="shared" si="49"/>
        <v>0</v>
      </c>
      <c r="AA77" s="278">
        <f t="shared" si="50"/>
        <v>0</v>
      </c>
      <c r="AB77" s="278">
        <f t="shared" si="51"/>
        <v>0</v>
      </c>
    </row>
    <row r="78" spans="2:28" ht="14.4">
      <c r="B78" s="1619"/>
      <c r="C78" s="594" t="s">
        <v>1586</v>
      </c>
      <c r="D78" s="602">
        <f t="shared" si="52"/>
        <v>0</v>
      </c>
      <c r="E78" s="602">
        <v>0</v>
      </c>
      <c r="F78" s="602">
        <v>0</v>
      </c>
      <c r="G78" s="602">
        <v>0</v>
      </c>
      <c r="H78" s="602">
        <v>0</v>
      </c>
      <c r="I78" s="602">
        <v>0</v>
      </c>
      <c r="J78" s="602">
        <f>'Central Florida 2015'!$K$25</f>
        <v>0</v>
      </c>
      <c r="K78" s="602">
        <v>0</v>
      </c>
      <c r="L78" s="602">
        <v>0</v>
      </c>
      <c r="M78" s="602">
        <v>0</v>
      </c>
      <c r="N78" s="602">
        <v>0</v>
      </c>
      <c r="P78" s="1619"/>
      <c r="Q78" s="594" t="s">
        <v>1586</v>
      </c>
      <c r="R78" s="278">
        <f t="shared" si="53"/>
        <v>0</v>
      </c>
      <c r="S78" s="278">
        <f t="shared" si="42"/>
        <v>0</v>
      </c>
      <c r="T78" s="278">
        <f t="shared" si="43"/>
        <v>0</v>
      </c>
      <c r="U78" s="278">
        <f t="shared" si="44"/>
        <v>0</v>
      </c>
      <c r="V78" s="278">
        <f t="shared" si="45"/>
        <v>0</v>
      </c>
      <c r="W78" s="278">
        <f t="shared" si="46"/>
        <v>0</v>
      </c>
      <c r="X78" s="278">
        <f t="shared" si="47"/>
        <v>0</v>
      </c>
      <c r="Y78" s="278">
        <f t="shared" si="48"/>
        <v>0</v>
      </c>
      <c r="Z78" s="278">
        <f t="shared" si="49"/>
        <v>0</v>
      </c>
      <c r="AA78" s="278">
        <f t="shared" si="50"/>
        <v>0</v>
      </c>
      <c r="AB78" s="278">
        <f t="shared" si="51"/>
        <v>0</v>
      </c>
    </row>
    <row r="79" spans="2:28" ht="14.4">
      <c r="B79" s="1619"/>
      <c r="C79" s="594" t="s">
        <v>1587</v>
      </c>
      <c r="D79" s="602">
        <f t="shared" si="52"/>
        <v>3442.2999999999997</v>
      </c>
      <c r="E79" s="602">
        <v>0</v>
      </c>
      <c r="F79" s="602">
        <v>0</v>
      </c>
      <c r="G79" s="602">
        <v>0</v>
      </c>
      <c r="H79" s="602">
        <v>0</v>
      </c>
      <c r="I79" s="602">
        <f>'Clay 2015 without Resizing'!$L$37</f>
        <v>16.499999999999996</v>
      </c>
      <c r="J79" s="602">
        <v>0</v>
      </c>
      <c r="K79" s="602">
        <f>'Sumter 2015'!$L$34</f>
        <v>1960.2999999999997</v>
      </c>
      <c r="L79" s="602">
        <f>'Withlacoochee 2015'!$L$33</f>
        <v>738.40000000000009</v>
      </c>
      <c r="M79" s="602">
        <f>'Peace River 2015'!$L$33</f>
        <v>36</v>
      </c>
      <c r="N79" s="602">
        <f>'Glades 2015'!$L$33</f>
        <v>691.10</v>
      </c>
      <c r="P79" s="1619"/>
      <c r="Q79" s="594" t="s">
        <v>1587</v>
      </c>
      <c r="R79" s="278">
        <f t="shared" si="53"/>
        <v>0.10662007492708585</v>
      </c>
      <c r="S79" s="278">
        <f t="shared" si="42"/>
        <v>0</v>
      </c>
      <c r="T79" s="278">
        <f t="shared" si="43"/>
        <v>0</v>
      </c>
      <c r="U79" s="278">
        <f t="shared" si="44"/>
        <v>0</v>
      </c>
      <c r="V79" s="278">
        <f t="shared" si="45"/>
        <v>0</v>
      </c>
      <c r="W79" s="278">
        <f t="shared" si="46"/>
        <v>0.0017414673144336328</v>
      </c>
      <c r="X79" s="278">
        <f t="shared" si="47"/>
        <v>0</v>
      </c>
      <c r="Y79" s="278">
        <f t="shared" si="48"/>
        <v>0.19201483573370329</v>
      </c>
      <c r="Z79" s="278">
        <f t="shared" si="49"/>
        <v>0.42069595409822447</v>
      </c>
      <c r="AA79" s="278">
        <f t="shared" si="50"/>
        <v>0.033519139627507633</v>
      </c>
      <c r="AB79" s="278">
        <f t="shared" si="51"/>
        <v>0.86069932932654358</v>
      </c>
    </row>
    <row r="80" spans="2:28" ht="14.4">
      <c r="B80" s="1620"/>
      <c r="C80" s="608" t="s">
        <v>131</v>
      </c>
      <c r="D80" s="429">
        <f t="shared" si="54" ref="D80:N80">SUM(D73:D79)</f>
        <v>32285.664799561262</v>
      </c>
      <c r="E80" s="429">
        <f t="shared" si="54"/>
        <v>4973.3018948240633</v>
      </c>
      <c r="F80" s="429">
        <f t="shared" si="54"/>
        <v>571.42430113752539</v>
      </c>
      <c r="G80" s="429">
        <f t="shared" si="54"/>
        <v>554.23228811426281</v>
      </c>
      <c r="H80" s="429">
        <f t="shared" si="54"/>
        <v>1918.4418563608965</v>
      </c>
      <c r="I80" s="429">
        <f t="shared" si="54"/>
        <v>9474.7686983526273</v>
      </c>
      <c r="J80" s="429">
        <f t="shared" si="54"/>
        <v>952.23698553091037</v>
      </c>
      <c r="K80" s="429">
        <f t="shared" si="54"/>
        <v>10209.106981288942</v>
      </c>
      <c r="L80" s="429">
        <f t="shared" si="54"/>
        <v>1755.1868345936073</v>
      </c>
      <c r="M80" s="429">
        <f t="shared" si="54"/>
        <v>1074.0132473584267</v>
      </c>
      <c r="N80" s="429">
        <f t="shared" si="54"/>
        <v>802.95171200000004</v>
      </c>
      <c r="P80" s="1620"/>
      <c r="Q80" s="610" t="s">
        <v>131</v>
      </c>
      <c r="R80" s="535">
        <f>SUM(R73:R79)</f>
        <v>1</v>
      </c>
      <c r="S80" s="535">
        <f t="shared" si="55" ref="S80:AB80">SUM(S73:S79)</f>
        <v>1</v>
      </c>
      <c r="T80" s="535">
        <f t="shared" si="55"/>
        <v>1</v>
      </c>
      <c r="U80" s="535">
        <f t="shared" si="55"/>
        <v>1</v>
      </c>
      <c r="V80" s="535">
        <f t="shared" si="55"/>
        <v>1</v>
      </c>
      <c r="W80" s="535">
        <f t="shared" si="55"/>
        <v>1</v>
      </c>
      <c r="X80" s="535">
        <f t="shared" si="55"/>
        <v>1</v>
      </c>
      <c r="Y80" s="535">
        <f t="shared" si="55"/>
        <v>1</v>
      </c>
      <c r="Z80" s="535">
        <f t="shared" si="55"/>
        <v>1</v>
      </c>
      <c r="AA80" s="535">
        <f t="shared" si="55"/>
        <v>1</v>
      </c>
      <c r="AB80" s="535">
        <f t="shared" si="55"/>
        <v>1</v>
      </c>
    </row>
    <row r="81" spans="3:28" ht="14.4">
      <c r="C81" s="459"/>
      <c r="D81" s="605" t="str">
        <f>IF(D80=D20,"OK","CHECK")</f>
        <v>OK</v>
      </c>
      <c r="E81" s="459" t="str">
        <f t="shared" si="56" ref="E81:N81">IF(E80=E20,"OK","CHECK")</f>
        <v>OK</v>
      </c>
      <c r="F81" s="459" t="str">
        <f>IF(F80=F20,"OK","CHECK")</f>
        <v>OK</v>
      </c>
      <c r="G81" s="459" t="str">
        <f t="shared" si="56"/>
        <v>OK</v>
      </c>
      <c r="H81" s="459" t="str">
        <f t="shared" si="56"/>
        <v>OK</v>
      </c>
      <c r="I81" s="459" t="str">
        <f t="shared" si="56"/>
        <v>OK</v>
      </c>
      <c r="J81" s="459" t="str">
        <f t="shared" si="56"/>
        <v>OK</v>
      </c>
      <c r="K81" s="459" t="str">
        <f t="shared" si="56"/>
        <v>OK</v>
      </c>
      <c r="L81" s="459" t="str">
        <f t="shared" si="56"/>
        <v>OK</v>
      </c>
      <c r="M81" s="459" t="str">
        <f t="shared" si="56"/>
        <v>OK</v>
      </c>
      <c r="N81" s="459" t="str">
        <f t="shared" si="56"/>
        <v>OK</v>
      </c>
      <c r="Q81" s="611"/>
      <c r="R81" s="605" t="str">
        <f t="shared" si="57" ref="R81:AB81">IF(R80=R20,"OK","CHECK")</f>
        <v>OK</v>
      </c>
      <c r="S81" s="459" t="str">
        <f t="shared" si="57"/>
        <v>OK</v>
      </c>
      <c r="T81" s="459" t="str">
        <f t="shared" si="57"/>
        <v>OK</v>
      </c>
      <c r="U81" s="459" t="str">
        <f t="shared" si="57"/>
        <v>OK</v>
      </c>
      <c r="V81" s="459" t="str">
        <f t="shared" si="57"/>
        <v>OK</v>
      </c>
      <c r="W81" s="459" t="str">
        <f t="shared" si="57"/>
        <v>OK</v>
      </c>
      <c r="X81" s="459" t="str">
        <f t="shared" si="57"/>
        <v>OK</v>
      </c>
      <c r="Y81" s="459" t="str">
        <f t="shared" si="57"/>
        <v>OK</v>
      </c>
      <c r="Z81" s="459" t="str">
        <f t="shared" si="57"/>
        <v>OK</v>
      </c>
      <c r="AA81" s="459" t="str">
        <f t="shared" si="57"/>
        <v>OK</v>
      </c>
      <c r="AB81" s="459" t="str">
        <f t="shared" si="57"/>
        <v>OK</v>
      </c>
    </row>
    <row r="82" spans="2:16" ht="14.4">
      <c r="B82" s="514" t="s">
        <v>1454</v>
      </c>
      <c r="P82" s="514" t="s">
        <v>1454</v>
      </c>
    </row>
    <row r="83" spans="2:28" ht="15.6" customHeight="1">
      <c r="B83" s="1618" t="s">
        <v>902</v>
      </c>
      <c r="C83" s="1615" t="s">
        <v>1588</v>
      </c>
      <c r="D83" s="1615" t="s">
        <v>887</v>
      </c>
      <c r="E83" s="1615"/>
      <c r="F83" s="1615"/>
      <c r="G83" s="1615"/>
      <c r="H83" s="1615"/>
      <c r="I83" s="1615"/>
      <c r="J83" s="1615"/>
      <c r="K83" s="1615"/>
      <c r="L83" s="1615"/>
      <c r="M83" s="1615"/>
      <c r="N83" s="1615"/>
      <c r="P83" s="1618" t="str">
        <f>"% "&amp;B83</f>
        <v>% Total Annual kW</v>
      </c>
      <c r="Q83" s="1617" t="s">
        <v>1588</v>
      </c>
      <c r="R83" s="1615" t="s">
        <v>887</v>
      </c>
      <c r="S83" s="1615"/>
      <c r="T83" s="1615"/>
      <c r="U83" s="1615"/>
      <c r="V83" s="1615"/>
      <c r="W83" s="1615"/>
      <c r="X83" s="1615"/>
      <c r="Y83" s="1615"/>
      <c r="Z83" s="1615"/>
      <c r="AA83" s="1615"/>
      <c r="AB83" s="1615"/>
    </row>
    <row r="84" spans="2:28" ht="14.4">
      <c r="B84" s="1619"/>
      <c r="C84" s="1615"/>
      <c r="D84" s="608" t="s">
        <v>889</v>
      </c>
      <c r="E84" s="608" t="s">
        <v>1580</v>
      </c>
      <c r="F84" s="608" t="s">
        <v>892</v>
      </c>
      <c r="G84" s="608" t="s">
        <v>893</v>
      </c>
      <c r="H84" s="608" t="s">
        <v>890</v>
      </c>
      <c r="I84" s="608" t="s">
        <v>891</v>
      </c>
      <c r="J84" s="608" t="s">
        <v>894</v>
      </c>
      <c r="K84" s="608" t="s">
        <v>895</v>
      </c>
      <c r="L84" s="608" t="s">
        <v>896</v>
      </c>
      <c r="M84" s="608" t="s">
        <v>897</v>
      </c>
      <c r="N84" s="608" t="s">
        <v>898</v>
      </c>
      <c r="P84" s="1619"/>
      <c r="Q84" s="1617"/>
      <c r="R84" s="608" t="s">
        <v>889</v>
      </c>
      <c r="S84" s="608" t="s">
        <v>1580</v>
      </c>
      <c r="T84" s="608" t="s">
        <v>892</v>
      </c>
      <c r="U84" s="608" t="s">
        <v>893</v>
      </c>
      <c r="V84" s="608" t="s">
        <v>890</v>
      </c>
      <c r="W84" s="608" t="s">
        <v>891</v>
      </c>
      <c r="X84" s="608" t="s">
        <v>894</v>
      </c>
      <c r="Y84" s="608" t="s">
        <v>895</v>
      </c>
      <c r="Z84" s="608" t="s">
        <v>896</v>
      </c>
      <c r="AA84" s="608" t="s">
        <v>897</v>
      </c>
      <c r="AB84" s="608" t="s">
        <v>898</v>
      </c>
    </row>
    <row r="85" spans="2:28" ht="14.4">
      <c r="B85" s="1619"/>
      <c r="C85" s="594" t="s">
        <v>1581</v>
      </c>
      <c r="D85" s="602">
        <f>SUM(E85:N85)</f>
        <v>185.97738148160636</v>
      </c>
      <c r="E85" s="602">
        <v>0</v>
      </c>
      <c r="F85" s="602">
        <v>0</v>
      </c>
      <c r="G85" s="602">
        <f>'Tri-County 2015'!$M$22</f>
        <v>5.811916475212187</v>
      </c>
      <c r="H85" s="602">
        <f>'Suwannee 2015'!$M$22</f>
        <v>66.869201928950432</v>
      </c>
      <c r="I85" s="602">
        <v>0</v>
      </c>
      <c r="J85" s="602">
        <f>'Central Florida 2015'!$M$22</f>
        <v>18.670553212180998</v>
      </c>
      <c r="K85" s="602">
        <f>'Sumter 2015'!$M$22</f>
        <v>93.976393133745233</v>
      </c>
      <c r="L85" s="602">
        <f>'Withlacoochee 2015'!$M$22</f>
        <v>0.64931673151750968</v>
      </c>
      <c r="M85" s="602">
        <v>0</v>
      </c>
      <c r="N85" s="602">
        <v>0</v>
      </c>
      <c r="P85" s="1619"/>
      <c r="Q85" s="594" t="s">
        <v>1581</v>
      </c>
      <c r="R85" s="278">
        <f>D85/D$92</f>
        <v>0.0023698272882926277</v>
      </c>
      <c r="S85" s="278">
        <f t="shared" si="58" ref="S85:S91">E85/E$92</f>
        <v>0</v>
      </c>
      <c r="T85" s="278">
        <f t="shared" si="59" ref="T85:T91">F85/F$92</f>
        <v>0</v>
      </c>
      <c r="U85" s="278">
        <f t="shared" si="60" ref="U85:U91">G85/G$92</f>
        <v>0.89950575830613666</v>
      </c>
      <c r="V85" s="278">
        <f t="shared" si="61" ref="V85:V91">H85/H$92</f>
        <v>0.99038313125939936</v>
      </c>
      <c r="W85" s="278">
        <f t="shared" si="62" ref="W85:W91">I85/I$92</f>
        <v>0</v>
      </c>
      <c r="X85" s="278">
        <f t="shared" si="63" ref="X85:X91">J85/J$92</f>
        <v>0.014996176269148339</v>
      </c>
      <c r="Y85" s="278">
        <f t="shared" si="64" ref="Y85:Y91">K85/K$92</f>
        <v>0.0029563810764566931</v>
      </c>
      <c r="Z85" s="278">
        <f t="shared" si="65" ref="Z85:Z91">L85/L$92</f>
        <v>3.7801166301269982E-05</v>
      </c>
      <c r="AA85" s="278">
        <f t="shared" si="66" ref="AA85:AA91">M85/M$92</f>
        <v>0</v>
      </c>
      <c r="AB85" s="278">
        <f t="shared" si="67" ref="AB85:AB91">N85/N$92</f>
        <v>0</v>
      </c>
    </row>
    <row r="86" spans="2:28" ht="14.4">
      <c r="B86" s="1619"/>
      <c r="C86" s="594" t="s">
        <v>1582</v>
      </c>
      <c r="D86" s="602">
        <f t="shared" si="68" ref="D86:D91">SUM(E86:N86)</f>
        <v>30.839839260700391</v>
      </c>
      <c r="E86" s="602">
        <v>0</v>
      </c>
      <c r="F86" s="602">
        <f>'Talquin 2015'!$M$23</f>
        <v>0.64931673151750968</v>
      </c>
      <c r="G86" s="602">
        <f>'Tri-County 2015'!$M$23</f>
        <v>0.64931673151750968</v>
      </c>
      <c r="H86" s="602">
        <f>'Suwannee 2015'!$M$23</f>
        <v>0.64931673151750968</v>
      </c>
      <c r="I86" s="602">
        <f>'Clay 2015 without Resizing'!$M$22</f>
        <v>0.64931673151750968</v>
      </c>
      <c r="J86" s="602">
        <f>SUM('Central Florida 2015'!$M$23:$M$24)</f>
        <v>5.1133692607003898</v>
      </c>
      <c r="K86" s="602">
        <f>'Sumter 2015'!$M$23</f>
        <v>19.479501945525293</v>
      </c>
      <c r="L86" s="602">
        <v>0</v>
      </c>
      <c r="M86" s="602">
        <f>'Peace River 2015'!$M$24</f>
        <v>3.00038439688716</v>
      </c>
      <c r="N86" s="602">
        <f>'Glades 2015'!$M$23</f>
        <v>0.64931673151750968</v>
      </c>
      <c r="P86" s="1619"/>
      <c r="Q86" s="594" t="s">
        <v>1582</v>
      </c>
      <c r="R86" s="278">
        <f t="shared" si="69" ref="R86:R91">D86/D$92</f>
        <v>0.00039297839373974859</v>
      </c>
      <c r="S86" s="278">
        <f t="shared" si="58"/>
        <v>0</v>
      </c>
      <c r="T86" s="278">
        <f t="shared" si="59"/>
        <v>0.00014559319696182756</v>
      </c>
      <c r="U86" s="278">
        <f t="shared" si="60"/>
        <v>0.10049424169386333</v>
      </c>
      <c r="V86" s="278">
        <f t="shared" si="61"/>
        <v>0.0096168687406005589</v>
      </c>
      <c r="W86" s="278">
        <f t="shared" si="62"/>
        <v>3.7025839746860988E-05</v>
      </c>
      <c r="X86" s="278">
        <f t="shared" si="63"/>
        <v>0.0041070548843019682</v>
      </c>
      <c r="Y86" s="278">
        <f t="shared" si="64"/>
        <v>0.00061280103449589827</v>
      </c>
      <c r="Z86" s="278">
        <f t="shared" si="65"/>
        <v>0</v>
      </c>
      <c r="AA86" s="278">
        <f t="shared" si="66"/>
        <v>0.00048537389963933844</v>
      </c>
      <c r="AB86" s="278">
        <f t="shared" si="67"/>
        <v>1</v>
      </c>
    </row>
    <row r="87" spans="2:28" ht="14.4">
      <c r="B87" s="1619"/>
      <c r="C87" s="594" t="s">
        <v>1583</v>
      </c>
      <c r="D87" s="602">
        <f t="shared" si="68"/>
        <v>17000</v>
      </c>
      <c r="E87" s="602">
        <v>0</v>
      </c>
      <c r="F87" s="602">
        <v>0</v>
      </c>
      <c r="G87" s="602">
        <v>0</v>
      </c>
      <c r="H87" s="602">
        <v>0</v>
      </c>
      <c r="I87" s="602">
        <v>0</v>
      </c>
      <c r="J87" s="602">
        <v>0</v>
      </c>
      <c r="K87" s="602">
        <f>'Sumter 2015'!$M$37</f>
        <v>17000</v>
      </c>
      <c r="L87" s="602">
        <v>0</v>
      </c>
      <c r="M87" s="602">
        <v>0</v>
      </c>
      <c r="N87" s="602">
        <v>0</v>
      </c>
      <c r="P87" s="1619"/>
      <c r="Q87" s="594" t="s">
        <v>1583</v>
      </c>
      <c r="R87" s="278">
        <f t="shared" si="69"/>
        <v>0.21662346022953963</v>
      </c>
      <c r="S87" s="278">
        <f t="shared" si="58"/>
        <v>0</v>
      </c>
      <c r="T87" s="278">
        <f t="shared" si="59"/>
        <v>0</v>
      </c>
      <c r="U87" s="278">
        <f t="shared" si="60"/>
        <v>0</v>
      </c>
      <c r="V87" s="278">
        <f t="shared" si="61"/>
        <v>0</v>
      </c>
      <c r="W87" s="278">
        <f t="shared" si="62"/>
        <v>0</v>
      </c>
      <c r="X87" s="278">
        <f t="shared" si="63"/>
        <v>0</v>
      </c>
      <c r="Y87" s="278">
        <f t="shared" si="64"/>
        <v>0.5347989705056776</v>
      </c>
      <c r="Z87" s="278">
        <f t="shared" si="65"/>
        <v>0</v>
      </c>
      <c r="AA87" s="278">
        <f t="shared" si="66"/>
        <v>0</v>
      </c>
      <c r="AB87" s="278">
        <f t="shared" si="67"/>
        <v>0</v>
      </c>
    </row>
    <row r="88" spans="2:28" ht="14.4">
      <c r="B88" s="1619"/>
      <c r="C88" s="594" t="s">
        <v>1776</v>
      </c>
      <c r="D88" s="602">
        <f t="shared" si="68"/>
        <v>61041.300989290925</v>
      </c>
      <c r="E88" s="602">
        <f>'Seminole 2015'!$M$45</f>
        <v>14.482342073599998</v>
      </c>
      <c r="F88" s="602">
        <f>'Talquin 2015'!$M$41</f>
        <v>4459.152</v>
      </c>
      <c r="G88" s="602">
        <v>0</v>
      </c>
      <c r="H88" s="602">
        <v>0</v>
      </c>
      <c r="I88" s="602">
        <f>'Clay 2015 without Resizing'!$M$48</f>
        <v>17317.134568703998</v>
      </c>
      <c r="J88" s="602">
        <f>'Central Florida 2015'!$M$44</f>
        <v>1221.2370000000001</v>
      </c>
      <c r="K88" s="602">
        <f>'Sumter 2015'!$M$43</f>
        <v>14674.18944</v>
      </c>
      <c r="L88" s="602">
        <f>'Withlacoochee 2015'!$M$42</f>
        <v>17176.511999999999</v>
      </c>
      <c r="M88" s="602">
        <f>'Peace River 2015'!$M$44</f>
        <v>6178.5936385133336</v>
      </c>
      <c r="N88" s="602">
        <v>0</v>
      </c>
      <c r="P88" s="1619"/>
      <c r="Q88" s="594" t="s">
        <v>1584</v>
      </c>
      <c r="R88" s="278">
        <f t="shared" si="69"/>
        <v>0.77782222571841297</v>
      </c>
      <c r="S88" s="278">
        <f t="shared" si="58"/>
        <v>1</v>
      </c>
      <c r="T88" s="278">
        <f t="shared" si="59"/>
        <v>0.99985440680303816</v>
      </c>
      <c r="U88" s="278">
        <f t="shared" si="60"/>
        <v>0</v>
      </c>
      <c r="V88" s="278">
        <f t="shared" si="61"/>
        <v>0</v>
      </c>
      <c r="W88" s="278">
        <f t="shared" si="62"/>
        <v>0.98747101113067581</v>
      </c>
      <c r="X88" s="278">
        <f t="shared" si="63"/>
        <v>0.98089676884654975</v>
      </c>
      <c r="Y88" s="278">
        <f t="shared" si="64"/>
        <v>0.46163184738336976</v>
      </c>
      <c r="Z88" s="278">
        <f t="shared" si="65"/>
        <v>0.99996219883369875</v>
      </c>
      <c r="AA88" s="278">
        <f t="shared" si="66"/>
        <v>0.99951462610036068</v>
      </c>
      <c r="AB88" s="278">
        <f t="shared" si="67"/>
        <v>0</v>
      </c>
    </row>
    <row r="89" spans="2:28" ht="14.4">
      <c r="B89" s="1619"/>
      <c r="C89" s="594" t="s">
        <v>1585</v>
      </c>
      <c r="D89" s="602">
        <f t="shared" si="68"/>
        <v>219.06972698142434</v>
      </c>
      <c r="E89" s="602">
        <v>0</v>
      </c>
      <c r="F89" s="602">
        <f>'Talquin 2015'!$M$22</f>
        <v>0</v>
      </c>
      <c r="G89" s="602">
        <v>0</v>
      </c>
      <c r="H89" s="602">
        <v>0</v>
      </c>
      <c r="I89" s="602">
        <f>SUM('Clay 2015 without Resizing'!$M$23:$M$28)</f>
        <v>219.06972698142434</v>
      </c>
      <c r="J89" s="602">
        <v>0</v>
      </c>
      <c r="K89" s="602">
        <v>0</v>
      </c>
      <c r="L89" s="602">
        <v>0</v>
      </c>
      <c r="M89" s="602">
        <v>0</v>
      </c>
      <c r="N89" s="602">
        <v>0</v>
      </c>
      <c r="P89" s="1619"/>
      <c r="Q89" s="594" t="s">
        <v>1585</v>
      </c>
      <c r="R89" s="278">
        <f t="shared" si="69"/>
        <v>0.0027915083700150987</v>
      </c>
      <c r="S89" s="278">
        <f t="shared" si="58"/>
        <v>0</v>
      </c>
      <c r="T89" s="278">
        <f t="shared" si="59"/>
        <v>0</v>
      </c>
      <c r="U89" s="278">
        <f t="shared" si="60"/>
        <v>0</v>
      </c>
      <c r="V89" s="278">
        <f t="shared" si="61"/>
        <v>0</v>
      </c>
      <c r="W89" s="278">
        <f t="shared" si="62"/>
        <v>0.012491963029577462</v>
      </c>
      <c r="X89" s="278">
        <f t="shared" si="63"/>
        <v>0</v>
      </c>
      <c r="Y89" s="278">
        <f t="shared" si="64"/>
        <v>0</v>
      </c>
      <c r="Z89" s="278">
        <f t="shared" si="65"/>
        <v>0</v>
      </c>
      <c r="AA89" s="278">
        <f t="shared" si="66"/>
        <v>0</v>
      </c>
      <c r="AB89" s="278">
        <f t="shared" si="67"/>
        <v>0</v>
      </c>
    </row>
    <row r="90" spans="2:28" ht="14.4">
      <c r="B90" s="1619"/>
      <c r="C90" s="594" t="s">
        <v>1586</v>
      </c>
      <c r="D90" s="602">
        <f t="shared" si="68"/>
        <v>0</v>
      </c>
      <c r="E90" s="602">
        <v>0</v>
      </c>
      <c r="F90" s="602">
        <v>0</v>
      </c>
      <c r="G90" s="602">
        <v>0</v>
      </c>
      <c r="H90" s="602">
        <v>0</v>
      </c>
      <c r="I90" s="602">
        <v>0</v>
      </c>
      <c r="J90" s="602">
        <f>'Central Florida 2015'!$K$25</f>
        <v>0</v>
      </c>
      <c r="K90" s="602">
        <v>0</v>
      </c>
      <c r="L90" s="602">
        <v>0</v>
      </c>
      <c r="M90" s="602">
        <v>0</v>
      </c>
      <c r="N90" s="602">
        <v>0</v>
      </c>
      <c r="P90" s="1619"/>
      <c r="Q90" s="594" t="s">
        <v>1586</v>
      </c>
      <c r="R90" s="278">
        <f t="shared" si="69"/>
        <v>0</v>
      </c>
      <c r="S90" s="278">
        <f t="shared" si="58"/>
        <v>0</v>
      </c>
      <c r="T90" s="278">
        <f t="shared" si="59"/>
        <v>0</v>
      </c>
      <c r="U90" s="278">
        <f t="shared" si="60"/>
        <v>0</v>
      </c>
      <c r="V90" s="278">
        <f t="shared" si="61"/>
        <v>0</v>
      </c>
      <c r="W90" s="278">
        <f t="shared" si="62"/>
        <v>0</v>
      </c>
      <c r="X90" s="278">
        <f t="shared" si="63"/>
        <v>0</v>
      </c>
      <c r="Y90" s="278">
        <f t="shared" si="64"/>
        <v>0</v>
      </c>
      <c r="Z90" s="278">
        <f t="shared" si="65"/>
        <v>0</v>
      </c>
      <c r="AA90" s="278">
        <f t="shared" si="66"/>
        <v>0</v>
      </c>
      <c r="AB90" s="278">
        <f t="shared" si="67"/>
        <v>0</v>
      </c>
    </row>
    <row r="91" spans="2:28" ht="14.4">
      <c r="B91" s="1619"/>
      <c r="C91" s="594" t="s">
        <v>1587</v>
      </c>
      <c r="D91" s="602">
        <f t="shared" si="68"/>
        <v>0</v>
      </c>
      <c r="E91" s="602">
        <v>0</v>
      </c>
      <c r="F91" s="602">
        <v>0</v>
      </c>
      <c r="G91" s="602">
        <v>0</v>
      </c>
      <c r="H91" s="602">
        <v>0</v>
      </c>
      <c r="I91" s="602">
        <f>'Clay 2015 without Resizing'!$M$37</f>
        <v>0</v>
      </c>
      <c r="J91" s="602">
        <v>0</v>
      </c>
      <c r="K91" s="602">
        <f>'Sumter 2015'!$M$34</f>
        <v>0</v>
      </c>
      <c r="L91" s="602">
        <f>'Withlacoochee 2015'!$M$33</f>
        <v>0</v>
      </c>
      <c r="M91" s="602">
        <f>'Peace River 2015'!$M$33</f>
        <v>0</v>
      </c>
      <c r="N91" s="602">
        <f>'Glades 2015'!$M$33</f>
        <v>0</v>
      </c>
      <c r="P91" s="1619"/>
      <c r="Q91" s="594" t="s">
        <v>1587</v>
      </c>
      <c r="R91" s="278">
        <f t="shared" si="69"/>
        <v>0</v>
      </c>
      <c r="S91" s="278">
        <f t="shared" si="58"/>
        <v>0</v>
      </c>
      <c r="T91" s="278">
        <f t="shared" si="59"/>
        <v>0</v>
      </c>
      <c r="U91" s="278">
        <f t="shared" si="60"/>
        <v>0</v>
      </c>
      <c r="V91" s="278">
        <f t="shared" si="61"/>
        <v>0</v>
      </c>
      <c r="W91" s="278">
        <f t="shared" si="62"/>
        <v>0</v>
      </c>
      <c r="X91" s="278">
        <f t="shared" si="63"/>
        <v>0</v>
      </c>
      <c r="Y91" s="278">
        <f t="shared" si="64"/>
        <v>0</v>
      </c>
      <c r="Z91" s="278">
        <f t="shared" si="65"/>
        <v>0</v>
      </c>
      <c r="AA91" s="278">
        <f t="shared" si="66"/>
        <v>0</v>
      </c>
      <c r="AB91" s="278">
        <f t="shared" si="67"/>
        <v>0</v>
      </c>
    </row>
    <row r="92" spans="2:28" ht="14.4">
      <c r="B92" s="1620"/>
      <c r="C92" s="608" t="s">
        <v>131</v>
      </c>
      <c r="D92" s="429">
        <f t="shared" si="70" ref="D92:N92">SUM(D85:D91)</f>
        <v>78477.187937014649</v>
      </c>
      <c r="E92" s="429">
        <f t="shared" si="70"/>
        <v>14.482342073599998</v>
      </c>
      <c r="F92" s="429">
        <f t="shared" si="70"/>
        <v>4459.8013167315175</v>
      </c>
      <c r="G92" s="429">
        <f>SUM(G85:G91)</f>
        <v>6.4612332067296965</v>
      </c>
      <c r="H92" s="429">
        <f t="shared" si="70"/>
        <v>67.518518660467947</v>
      </c>
      <c r="I92" s="429">
        <f t="shared" si="70"/>
        <v>17536.853612416937</v>
      </c>
      <c r="J92" s="429">
        <f t="shared" si="70"/>
        <v>1245.0209224728815</v>
      </c>
      <c r="K92" s="429">
        <f t="shared" si="70"/>
        <v>31787.645335079273</v>
      </c>
      <c r="L92" s="429">
        <f t="shared" si="70"/>
        <v>17177.161316731515</v>
      </c>
      <c r="M92" s="429">
        <f t="shared" si="70"/>
        <v>6181.5940229102207</v>
      </c>
      <c r="N92" s="429">
        <f t="shared" si="70"/>
        <v>0.64931673151750968</v>
      </c>
      <c r="P92" s="1620"/>
      <c r="Q92" s="610" t="s">
        <v>131</v>
      </c>
      <c r="R92" s="535">
        <f t="shared" si="71" ref="R92:AB92">SUM(R85:R91)</f>
        <v>1.0000000000000002</v>
      </c>
      <c r="S92" s="535">
        <f t="shared" si="71"/>
        <v>1</v>
      </c>
      <c r="T92" s="535">
        <f t="shared" si="71"/>
        <v>1</v>
      </c>
      <c r="U92" s="535">
        <f t="shared" si="71"/>
        <v>1</v>
      </c>
      <c r="V92" s="535">
        <f t="shared" si="71"/>
        <v>0.99999999999999989</v>
      </c>
      <c r="W92" s="535">
        <f t="shared" si="71"/>
        <v>1.0000000000000002</v>
      </c>
      <c r="X92" s="535">
        <f t="shared" si="71"/>
        <v>1</v>
      </c>
      <c r="Y92" s="535">
        <f t="shared" si="71"/>
        <v>1</v>
      </c>
      <c r="Z92" s="535">
        <f t="shared" si="71"/>
        <v>1</v>
      </c>
      <c r="AA92" s="535">
        <f t="shared" si="71"/>
        <v>1</v>
      </c>
      <c r="AB92" s="535">
        <f t="shared" si="71"/>
        <v>1</v>
      </c>
    </row>
    <row r="93" spans="3:28" ht="14.4">
      <c r="C93" s="459"/>
      <c r="D93" s="605" t="str">
        <f>IF(D92=D29,"OK","CHECK")</f>
        <v>OK</v>
      </c>
      <c r="E93" s="459" t="str">
        <f t="shared" si="72" ref="E93:N93">IF(E92=E29,"OK","CHECK")</f>
        <v>OK</v>
      </c>
      <c r="F93" s="459" t="str">
        <f t="shared" si="72"/>
        <v>OK</v>
      </c>
      <c r="G93" s="459" t="str">
        <f>IF(G92=G29,"OK","CHECK")</f>
        <v>OK</v>
      </c>
      <c r="H93" s="459" t="str">
        <f t="shared" si="72"/>
        <v>OK</v>
      </c>
      <c r="I93" s="459" t="str">
        <f t="shared" si="72"/>
        <v>OK</v>
      </c>
      <c r="J93" s="459" t="str">
        <f t="shared" si="72"/>
        <v>OK</v>
      </c>
      <c r="K93" s="459" t="str">
        <f t="shared" si="72"/>
        <v>OK</v>
      </c>
      <c r="L93" s="459" t="str">
        <f t="shared" si="72"/>
        <v>OK</v>
      </c>
      <c r="M93" s="459" t="str">
        <f t="shared" si="72"/>
        <v>OK</v>
      </c>
      <c r="N93" s="459" t="str">
        <f t="shared" si="72"/>
        <v>OK</v>
      </c>
      <c r="Q93" s="611"/>
      <c r="R93" s="605" t="str">
        <f t="shared" si="73" ref="R93:AB93">IF(R92=R29,"OK","CHECK")</f>
        <v>OK</v>
      </c>
      <c r="S93" s="459" t="str">
        <f t="shared" si="73"/>
        <v>OK</v>
      </c>
      <c r="T93" s="459" t="str">
        <f t="shared" si="73"/>
        <v>OK</v>
      </c>
      <c r="U93" s="459" t="str">
        <f t="shared" si="73"/>
        <v>OK</v>
      </c>
      <c r="V93" s="459" t="str">
        <f t="shared" si="73"/>
        <v>OK</v>
      </c>
      <c r="W93" s="459" t="str">
        <f t="shared" si="73"/>
        <v>OK</v>
      </c>
      <c r="X93" s="459" t="str">
        <f t="shared" si="73"/>
        <v>OK</v>
      </c>
      <c r="Y93" s="459" t="str">
        <f t="shared" si="73"/>
        <v>OK</v>
      </c>
      <c r="Z93" s="459" t="str">
        <f t="shared" si="73"/>
        <v>OK</v>
      </c>
      <c r="AA93" s="459" t="str">
        <f t="shared" si="73"/>
        <v>OK</v>
      </c>
      <c r="AB93" s="459" t="str">
        <f t="shared" si="73"/>
        <v>OK</v>
      </c>
    </row>
    <row r="94" spans="2:16" ht="14.4">
      <c r="B94" s="1283" t="s">
        <v>1455</v>
      </c>
      <c r="P94" s="514" t="s">
        <v>1589</v>
      </c>
    </row>
    <row r="95" spans="2:28" ht="15.6" customHeight="1">
      <c r="B95" s="1618" t="s">
        <v>882</v>
      </c>
      <c r="C95" s="1615" t="s">
        <v>1588</v>
      </c>
      <c r="D95" s="1615" t="s">
        <v>887</v>
      </c>
      <c r="E95" s="1615"/>
      <c r="F95" s="1615"/>
      <c r="G95" s="1615"/>
      <c r="H95" s="1615"/>
      <c r="I95" s="1615"/>
      <c r="J95" s="1615"/>
      <c r="K95" s="1615"/>
      <c r="L95" s="1615"/>
      <c r="M95" s="1615"/>
      <c r="N95" s="1615"/>
      <c r="P95" s="1618" t="str">
        <f>"% "&amp;B95</f>
        <v>% Total Annual MWhs</v>
      </c>
      <c r="Q95" s="1617" t="s">
        <v>1588</v>
      </c>
      <c r="R95" s="1615" t="s">
        <v>887</v>
      </c>
      <c r="S95" s="1615"/>
      <c r="T95" s="1615"/>
      <c r="U95" s="1615"/>
      <c r="V95" s="1615"/>
      <c r="W95" s="1615"/>
      <c r="X95" s="1615"/>
      <c r="Y95" s="1615"/>
      <c r="Z95" s="1615"/>
      <c r="AA95" s="1615"/>
      <c r="AB95" s="1615"/>
    </row>
    <row r="96" spans="2:28" ht="14.4">
      <c r="B96" s="1619"/>
      <c r="C96" s="1615"/>
      <c r="D96" s="608" t="s">
        <v>889</v>
      </c>
      <c r="E96" s="608" t="s">
        <v>1580</v>
      </c>
      <c r="F96" s="608" t="s">
        <v>892</v>
      </c>
      <c r="G96" s="608" t="s">
        <v>893</v>
      </c>
      <c r="H96" s="608" t="s">
        <v>890</v>
      </c>
      <c r="I96" s="608" t="s">
        <v>891</v>
      </c>
      <c r="J96" s="608" t="s">
        <v>894</v>
      </c>
      <c r="K96" s="608" t="s">
        <v>895</v>
      </c>
      <c r="L96" s="608" t="s">
        <v>896</v>
      </c>
      <c r="M96" s="608" t="s">
        <v>897</v>
      </c>
      <c r="N96" s="608" t="s">
        <v>898</v>
      </c>
      <c r="P96" s="1619"/>
      <c r="Q96" s="1617"/>
      <c r="R96" s="608" t="s">
        <v>889</v>
      </c>
      <c r="S96" s="608" t="s">
        <v>1580</v>
      </c>
      <c r="T96" s="608" t="s">
        <v>892</v>
      </c>
      <c r="U96" s="608" t="s">
        <v>893</v>
      </c>
      <c r="V96" s="608" t="s">
        <v>890</v>
      </c>
      <c r="W96" s="608" t="s">
        <v>891</v>
      </c>
      <c r="X96" s="608" t="s">
        <v>894</v>
      </c>
      <c r="Y96" s="608" t="s">
        <v>895</v>
      </c>
      <c r="Z96" s="608" t="s">
        <v>896</v>
      </c>
      <c r="AA96" s="608" t="s">
        <v>897</v>
      </c>
      <c r="AB96" s="608" t="s">
        <v>898</v>
      </c>
    </row>
    <row r="97" spans="2:28" ht="14.4">
      <c r="B97" s="1619"/>
      <c r="C97" s="594" t="s">
        <v>1581</v>
      </c>
      <c r="D97" s="602">
        <f>SUM(E97:N97)</f>
        <v>7172.3274961312045</v>
      </c>
      <c r="E97" s="602">
        <f>E61</f>
        <v>0</v>
      </c>
      <c r="F97" s="602">
        <f>(1+INDEX('T&amp;D Loss Factors'!$B$28:$AD$37,MATCH(F$96,'T&amp;D Loss Factors'!$B$28:$B$37,0),MATCH($C$2,'T&amp;D Loss Factors'!$B$28:$AD$28,0)))*F61</f>
        <v>0</v>
      </c>
      <c r="G97" s="602">
        <f>(1+INDEX('T&amp;D Loss Factors'!$B$28:$AD$37,MATCH(G$96,'T&amp;D Loss Factors'!$B$28:$B$37,0),MATCH($C$2,'T&amp;D Loss Factors'!$B$28:$AD$28,0)))*G61</f>
        <v>482.85839882871778</v>
      </c>
      <c r="H97" s="602">
        <f>(1+INDEX('T&amp;D Loss Factors'!$B$28:$AD$37,MATCH(H$96,'T&amp;D Loss Factors'!$B$28:$B$37,0),MATCH($C$2,'T&amp;D Loss Factors'!$B$28:$AD$28,0)))*H61</f>
        <v>1965.5700770646556</v>
      </c>
      <c r="I97" s="602">
        <f>(1+INDEX('T&amp;D Loss Factors'!$B$28:$AD$37,MATCH(I$96,'T&amp;D Loss Factors'!$B$28:$B$37,0),MATCH($C$2,'T&amp;D Loss Factors'!$B$28:$AD$28,0)))*I61</f>
        <v>0</v>
      </c>
      <c r="J97" s="602">
        <f>(1+INDEX('T&amp;D Loss Factors'!$B$28:$AD$37,MATCH(J$96,'T&amp;D Loss Factors'!$B$28:$B$37,0),MATCH($C$2,'T&amp;D Loss Factors'!$B$28:$AD$28,0)))*J61</f>
        <v>547.59631594224641</v>
      </c>
      <c r="K97" s="602">
        <f>(1+INDEX('T&amp;D Loss Factors'!$B$28:$AD$37,MATCH(K$96,'T&amp;D Loss Factors'!$B$28:$B$37,0),MATCH($C$2,'T&amp;D Loss Factors'!$B$28:$AD$28,0)))*K61</f>
        <v>4170.0954935381442</v>
      </c>
      <c r="L97" s="602">
        <f>(1+INDEX('T&amp;D Loss Factors'!$B$28:$AD$37,MATCH(L$96,'T&amp;D Loss Factors'!$B$28:$B$37,0),MATCH($C$2,'T&amp;D Loss Factors'!$B$28:$AD$28,0)))*L61</f>
        <v>6.2072107574400004</v>
      </c>
      <c r="M97" s="602">
        <f>(1+INDEX('T&amp;D Loss Factors'!$B$28:$AD$37,MATCH(M$96,'T&amp;D Loss Factors'!$B$28:$B$37,0),MATCH($C$2,'T&amp;D Loss Factors'!$B$28:$AD$28,0)))*M61</f>
        <v>0</v>
      </c>
      <c r="N97" s="602">
        <f>(1+INDEX('T&amp;D Loss Factors'!$B$28:$AD$37,MATCH(N$96,'T&amp;D Loss Factors'!$B$28:$B$37,0),MATCH($C$2,'T&amp;D Loss Factors'!$B$28:$AD$28,0)))*N61</f>
        <v>0</v>
      </c>
      <c r="P97" s="1619"/>
      <c r="Q97" s="594" t="s">
        <v>1581</v>
      </c>
      <c r="R97" s="1285">
        <f>D97/D$104</f>
        <v>0.58059733861320473</v>
      </c>
      <c r="S97" s="278">
        <f t="shared" si="74" ref="S97:S103">E97/E$104</f>
        <v>0</v>
      </c>
      <c r="T97" s="278">
        <f t="shared" si="75" ref="T97:T103">F97/F$104</f>
        <v>0</v>
      </c>
      <c r="U97" s="278">
        <f t="shared" si="76" ref="U97:U103">G97/G$104</f>
        <v>0.98751580211055767</v>
      </c>
      <c r="V97" s="278">
        <f t="shared" si="77" ref="V97:V103">H97/H$104</f>
        <v>0.99691389532217833</v>
      </c>
      <c r="W97" s="278">
        <f t="shared" si="78" ref="W97:W103">I97/I$104</f>
        <v>0</v>
      </c>
      <c r="X97" s="278">
        <f t="shared" si="79" ref="X97:X103">J97/J$104</f>
        <v>0.8241077094600503</v>
      </c>
      <c r="Y97" s="278">
        <f t="shared" si="80" ref="Y97:Y103">K97/K$104</f>
        <v>0.74389088143863991</v>
      </c>
      <c r="Z97" s="278">
        <f t="shared" si="81" ref="Z97:Z103">L97/L$104</f>
        <v>0.0057641572852743612</v>
      </c>
      <c r="AA97" s="278">
        <f t="shared" si="82" ref="AA97:AA103">M97/M$104</f>
        <v>0</v>
      </c>
      <c r="AB97" s="278">
        <f t="shared" si="83" ref="AB97:AB103">N97/N$104</f>
        <v>0</v>
      </c>
    </row>
    <row r="98" spans="2:28" ht="14.4">
      <c r="B98" s="1619"/>
      <c r="C98" s="594" t="s">
        <v>1582</v>
      </c>
      <c r="D98" s="1284">
        <f t="shared" si="84" ref="D98:D103">SUM(E98:N98)</f>
        <v>287.39826777419074</v>
      </c>
      <c r="E98" s="602">
        <f t="shared" si="85" ref="E98:E103">E62</f>
        <v>0</v>
      </c>
      <c r="F98" s="602">
        <f>(1+INDEX('T&amp;D Loss Factors'!$B$28:$AD$37,MATCH(F$96,'T&amp;D Loss Factors'!$B$28:$B$37,0),MATCH($C$2,'T&amp;D Loss Factors'!$B$28:$AD$28,0)))*F62</f>
        <v>5.9890999190399992</v>
      </c>
      <c r="G98" s="602">
        <f>(1+INDEX('T&amp;D Loss Factors'!$B$28:$AD$37,MATCH(G$96,'T&amp;D Loss Factors'!$B$28:$B$37,0),MATCH($C$2,'T&amp;D Loss Factors'!$B$28:$AD$28,0)))*G62</f>
        <v>6.1043071823999995</v>
      </c>
      <c r="H98" s="602">
        <f>(1+INDEX('T&amp;D Loss Factors'!$B$28:$AD$37,MATCH(H$96,'T&amp;D Loss Factors'!$B$28:$B$37,0),MATCH($C$2,'T&amp;D Loss Factors'!$B$28:$AD$28,0)))*H62</f>
        <v>6.0847331328000003</v>
      </c>
      <c r="I98" s="602">
        <f>(1+INDEX('T&amp;D Loss Factors'!$B$28:$AD$37,MATCH(I$96,'T&amp;D Loss Factors'!$B$28:$B$37,0),MATCH($C$2,'T&amp;D Loss Factors'!$B$28:$AD$28,0)))*I62</f>
        <v>6.0187406227200002</v>
      </c>
      <c r="J98" s="602">
        <f>(1+INDEX('T&amp;D Loss Factors'!$B$28:$AD$37,MATCH(J$96,'T&amp;D Loss Factors'!$B$28:$B$37,0),MATCH($C$2,'T&amp;D Loss Factors'!$B$28:$AD$28,0)))*J62</f>
        <v>48.39160837583519</v>
      </c>
      <c r="K98" s="602">
        <f>(1+INDEX('T&amp;D Loss Factors'!$B$28:$AD$37,MATCH(K$96,'T&amp;D Loss Factors'!$B$28:$B$37,0),MATCH($C$2,'T&amp;D Loss Factors'!$B$28:$AD$28,0)))*K62</f>
        <v>180.19310803200003</v>
      </c>
      <c r="L98" s="602">
        <f>(1+INDEX('T&amp;D Loss Factors'!$B$28:$AD$37,MATCH(L$96,'T&amp;D Loss Factors'!$B$28:$B$37,0),MATCH($C$2,'T&amp;D Loss Factors'!$B$28:$AD$28,0)))*L62</f>
        <v>0</v>
      </c>
      <c r="M98" s="602">
        <f>(1+INDEX('T&amp;D Loss Factors'!$B$28:$AD$37,MATCH(M$96,'T&amp;D Loss Factors'!$B$28:$B$37,0),MATCH($C$2,'T&amp;D Loss Factors'!$B$28:$AD$28,0)))*M62</f>
        <v>28.420085664595547</v>
      </c>
      <c r="N98" s="602">
        <f>(1+INDEX('T&amp;D Loss Factors'!$B$28:$AD$37,MATCH(N$96,'T&amp;D Loss Factors'!$B$28:$B$37,0),MATCH($C$2,'T&amp;D Loss Factors'!$B$28:$AD$28,0)))*N62</f>
        <v>6.1965848448000003</v>
      </c>
      <c r="P98" s="1619"/>
      <c r="Q98" s="594" t="s">
        <v>1582</v>
      </c>
      <c r="R98" s="1285">
        <f t="shared" si="86" ref="R98:R103">D98/D$104</f>
        <v>0.023264786707208645</v>
      </c>
      <c r="S98" s="278">
        <f t="shared" si="74"/>
        <v>0</v>
      </c>
      <c r="T98" s="278">
        <f t="shared" si="75"/>
        <v>0.012022795135417602</v>
      </c>
      <c r="U98" s="278">
        <f t="shared" si="76"/>
        <v>0.012484197889442314</v>
      </c>
      <c r="V98" s="278">
        <f t="shared" si="77"/>
        <v>0.0030861046778216882</v>
      </c>
      <c r="W98" s="278">
        <f t="shared" si="78"/>
        <v>0.0049986643179601052</v>
      </c>
      <c r="X98" s="278">
        <f t="shared" si="79"/>
        <v>0.072827183775106608</v>
      </c>
      <c r="Y98" s="278">
        <f t="shared" si="80"/>
        <v>0.032144110409654446</v>
      </c>
      <c r="Z98" s="278">
        <f t="shared" si="81"/>
        <v>0</v>
      </c>
      <c r="AA98" s="278">
        <f t="shared" si="82"/>
        <v>0.057905856492428236</v>
      </c>
      <c r="AB98" s="278">
        <f t="shared" si="83"/>
        <v>0.090973433470237494</v>
      </c>
    </row>
    <row r="99" spans="2:28" ht="14.4">
      <c r="B99" s="1619"/>
      <c r="C99" s="594" t="s">
        <v>1583</v>
      </c>
      <c r="D99" s="602">
        <f t="shared" si="84"/>
        <v>169.69200000000001</v>
      </c>
      <c r="E99" s="602">
        <f t="shared" si="85"/>
        <v>0</v>
      </c>
      <c r="F99" s="602">
        <f>(1+INDEX('T&amp;D Loss Factors'!$B$28:$AD$37,MATCH(F$96,'T&amp;D Loss Factors'!$B$28:$B$37,0),MATCH($C$2,'T&amp;D Loss Factors'!$B$28:$AD$28,0)))*F63</f>
        <v>0</v>
      </c>
      <c r="G99" s="602">
        <f>(1+INDEX('T&amp;D Loss Factors'!$B$28:$AD$37,MATCH(G$96,'T&amp;D Loss Factors'!$B$28:$B$37,0),MATCH($C$2,'T&amp;D Loss Factors'!$B$28:$AD$28,0)))*G63</f>
        <v>0</v>
      </c>
      <c r="H99" s="602">
        <f>(1+INDEX('T&amp;D Loss Factors'!$B$28:$AD$37,MATCH(H$96,'T&amp;D Loss Factors'!$B$28:$B$37,0),MATCH($C$2,'T&amp;D Loss Factors'!$B$28:$AD$28,0)))*H63</f>
        <v>0</v>
      </c>
      <c r="I99" s="602">
        <f>(1+INDEX('T&amp;D Loss Factors'!$B$28:$AD$37,MATCH(I$96,'T&amp;D Loss Factors'!$B$28:$B$37,0),MATCH($C$2,'T&amp;D Loss Factors'!$B$28:$AD$28,0)))*I63</f>
        <v>0</v>
      </c>
      <c r="J99" s="602">
        <f>(1+INDEX('T&amp;D Loss Factors'!$B$28:$AD$37,MATCH(J$96,'T&amp;D Loss Factors'!$B$28:$B$37,0),MATCH($C$2,'T&amp;D Loss Factors'!$B$28:$AD$28,0)))*J63</f>
        <v>0</v>
      </c>
      <c r="K99" s="602">
        <f>(1+INDEX('T&amp;D Loss Factors'!$B$28:$AD$37,MATCH(K$96,'T&amp;D Loss Factors'!$B$28:$B$37,0),MATCH($C$2,'T&amp;D Loss Factors'!$B$28:$AD$28,0)))*K63</f>
        <v>169.69200000000001</v>
      </c>
      <c r="L99" s="602">
        <f>(1+INDEX('T&amp;D Loss Factors'!$B$28:$AD$37,MATCH(L$96,'T&amp;D Loss Factors'!$B$28:$B$37,0),MATCH($C$2,'T&amp;D Loss Factors'!$B$28:$AD$28,0)))*L63</f>
        <v>0</v>
      </c>
      <c r="M99" s="602">
        <f>(1+INDEX('T&amp;D Loss Factors'!$B$28:$AD$37,MATCH(M$96,'T&amp;D Loss Factors'!$B$28:$B$37,0),MATCH($C$2,'T&amp;D Loss Factors'!$B$28:$AD$28,0)))*M63</f>
        <v>0</v>
      </c>
      <c r="N99" s="602">
        <f>(1+INDEX('T&amp;D Loss Factors'!$B$28:$AD$37,MATCH(N$96,'T&amp;D Loss Factors'!$B$28:$B$37,0),MATCH($C$2,'T&amp;D Loss Factors'!$B$28:$AD$28,0)))*N63</f>
        <v>0</v>
      </c>
      <c r="P99" s="1619"/>
      <c r="Q99" s="594" t="s">
        <v>1583</v>
      </c>
      <c r="R99" s="1285">
        <f t="shared" si="86"/>
        <v>0.013736506543670193</v>
      </c>
      <c r="S99" s="278">
        <f t="shared" si="74"/>
        <v>0</v>
      </c>
      <c r="T99" s="278">
        <f t="shared" si="75"/>
        <v>0</v>
      </c>
      <c r="U99" s="278">
        <f t="shared" si="76"/>
        <v>0</v>
      </c>
      <c r="V99" s="278">
        <f t="shared" si="77"/>
        <v>0</v>
      </c>
      <c r="W99" s="278">
        <f t="shared" si="78"/>
        <v>0</v>
      </c>
      <c r="X99" s="278">
        <f t="shared" si="79"/>
        <v>0</v>
      </c>
      <c r="Y99" s="278">
        <f t="shared" si="80"/>
        <v>0.030270849108537574</v>
      </c>
      <c r="Z99" s="278">
        <f t="shared" si="81"/>
        <v>0</v>
      </c>
      <c r="AA99" s="278">
        <f t="shared" si="82"/>
        <v>0</v>
      </c>
      <c r="AB99" s="278">
        <f t="shared" si="83"/>
        <v>0</v>
      </c>
    </row>
    <row r="100" spans="2:28" ht="14.4">
      <c r="B100" s="1619"/>
      <c r="C100" s="594" t="s">
        <v>1776</v>
      </c>
      <c r="D100" s="602">
        <f t="shared" si="84"/>
        <v>3474.5921537316458</v>
      </c>
      <c r="E100" s="602">
        <f t="shared" si="85"/>
        <v>284.48967185714287</v>
      </c>
      <c r="F100" s="602">
        <f>(1+INDEX('T&amp;D Loss Factors'!$B$28:$AD$37,MATCH(F$96,'T&amp;D Loss Factors'!$B$28:$B$37,0),MATCH($C$2,'T&amp;D Loss Factors'!$B$28:$AD$28,0)))*F64</f>
        <v>248.65744290910504</v>
      </c>
      <c r="G100" s="602">
        <f>(1+INDEX('T&amp;D Loss Factors'!$B$28:$AD$37,MATCH(G$96,'T&amp;D Loss Factors'!$B$28:$B$37,0),MATCH($C$2,'T&amp;D Loss Factors'!$B$28:$AD$28,0)))*G64</f>
        <v>0</v>
      </c>
      <c r="H100" s="602">
        <f>(1+INDEX('T&amp;D Loss Factors'!$B$28:$AD$37,MATCH(H$96,'T&amp;D Loss Factors'!$B$28:$B$37,0),MATCH($C$2,'T&amp;D Loss Factors'!$B$28:$AD$28,0)))*H64</f>
        <v>0</v>
      </c>
      <c r="I100" s="602">
        <f>(1+INDEX('T&amp;D Loss Factors'!$B$28:$AD$37,MATCH(I$96,'T&amp;D Loss Factors'!$B$28:$B$37,0),MATCH($C$2,'T&amp;D Loss Factors'!$B$28:$AD$28,0)))*I64</f>
        <v>493.79344407510274</v>
      </c>
      <c r="J100" s="602">
        <f>(1+INDEX('T&amp;D Loss Factors'!$B$28:$AD$37,MATCH(J$96,'T&amp;D Loss Factors'!$B$28:$B$37,0),MATCH($C$2,'T&amp;D Loss Factors'!$B$28:$AD$28,0)))*J64</f>
        <v>68.483854863583559</v>
      </c>
      <c r="K100" s="602">
        <f>(1+INDEX('T&amp;D Loss Factors'!$B$28:$AD$37,MATCH(K$96,'T&amp;D Loss Factors'!$B$28:$B$37,0),MATCH($C$2,'T&amp;D Loss Factors'!$B$28:$AD$28,0)))*K64</f>
        <v>915.56904372618089</v>
      </c>
      <c r="L100" s="602">
        <f>(1+INDEX('T&amp;D Loss Factors'!$B$28:$AD$37,MATCH(L$96,'T&amp;D Loss Factors'!$B$28:$B$37,0),MATCH($C$2,'T&amp;D Loss Factors'!$B$28:$AD$28,0)))*L64</f>
        <v>1004.3874925666448</v>
      </c>
      <c r="M100" s="602">
        <f>(1+INDEX('T&amp;D Loss Factors'!$B$28:$AD$37,MATCH(M$96,'T&amp;D Loss Factors'!$B$28:$B$37,0),MATCH($C$2,'T&amp;D Loss Factors'!$B$28:$AD$28,0)))*M64</f>
        <v>459.21120373388595</v>
      </c>
      <c r="N100" s="602">
        <f>(1+INDEX('T&amp;D Loss Factors'!$B$28:$AD$37,MATCH(N$96,'T&amp;D Loss Factors'!$B$28:$B$37,0),MATCH($C$2,'T&amp;D Loss Factors'!$B$28:$AD$28,0)))*N64</f>
        <v>0</v>
      </c>
      <c r="P100" s="1619"/>
      <c r="Q100" s="594" t="s">
        <v>1584</v>
      </c>
      <c r="R100" s="1285">
        <f t="shared" si="86"/>
        <v>0.28126698875798423</v>
      </c>
      <c r="S100" s="278">
        <f t="shared" si="74"/>
        <v>1</v>
      </c>
      <c r="T100" s="278">
        <f t="shared" si="75"/>
        <v>0.49916640820916014</v>
      </c>
      <c r="U100" s="278">
        <f t="shared" si="76"/>
        <v>0</v>
      </c>
      <c r="V100" s="278">
        <f t="shared" si="77"/>
        <v>0</v>
      </c>
      <c r="W100" s="278">
        <f t="shared" si="78"/>
        <v>0.4101036785043185</v>
      </c>
      <c r="X100" s="278">
        <f t="shared" si="79"/>
        <v>0.10306510676484308</v>
      </c>
      <c r="Y100" s="278">
        <f t="shared" si="80"/>
        <v>0.16332562743725845</v>
      </c>
      <c r="Z100" s="278">
        <f t="shared" si="81"/>
        <v>0.93269710160513031</v>
      </c>
      <c r="AA100" s="278">
        <f t="shared" si="82"/>
        <v>0.93564172807035229</v>
      </c>
      <c r="AB100" s="278">
        <f t="shared" si="83"/>
        <v>0</v>
      </c>
    </row>
    <row r="101" spans="2:28" ht="14.4">
      <c r="B101" s="1619"/>
      <c r="C101" s="594" t="s">
        <v>1585</v>
      </c>
      <c r="D101" s="602">
        <f t="shared" si="84"/>
        <v>946.32057824120977</v>
      </c>
      <c r="E101" s="602">
        <f t="shared" si="85"/>
        <v>0</v>
      </c>
      <c r="F101" s="602">
        <f>(1+INDEX('T&amp;D Loss Factors'!$B$28:$AD$37,MATCH(F$96,'T&amp;D Loss Factors'!$B$28:$B$37,0),MATCH($C$2,'T&amp;D Loss Factors'!$B$28:$AD$28,0)))*F65</f>
        <v>243.49884279827094</v>
      </c>
      <c r="G101" s="602">
        <f>(1+INDEX('T&amp;D Loss Factors'!$B$28:$AD$37,MATCH(G$96,'T&amp;D Loss Factors'!$B$28:$B$37,0),MATCH($C$2,'T&amp;D Loss Factors'!$B$28:$AD$28,0)))*G65</f>
        <v>0</v>
      </c>
      <c r="H101" s="602">
        <f>(1+INDEX('T&amp;D Loss Factors'!$B$28:$AD$37,MATCH(H$96,'T&amp;D Loss Factors'!$B$28:$B$37,0),MATCH($C$2,'T&amp;D Loss Factors'!$B$28:$AD$28,0)))*H65</f>
        <v>0</v>
      </c>
      <c r="I101" s="602">
        <f>(1+INDEX('T&amp;D Loss Factors'!$B$28:$AD$37,MATCH(I$96,'T&amp;D Loss Factors'!$B$28:$B$37,0),MATCH($C$2,'T&amp;D Loss Factors'!$B$28:$AD$28,0)))*I65</f>
        <v>702.8217354429388</v>
      </c>
      <c r="J101" s="602">
        <f>(1+INDEX('T&amp;D Loss Factors'!$B$28:$AD$37,MATCH(J$96,'T&amp;D Loss Factors'!$B$28:$B$37,0),MATCH($C$2,'T&amp;D Loss Factors'!$B$28:$AD$28,0)))*J65</f>
        <v>0</v>
      </c>
      <c r="K101" s="602">
        <f>(1+INDEX('T&amp;D Loss Factors'!$B$28:$AD$37,MATCH(K$96,'T&amp;D Loss Factors'!$B$28:$B$37,0),MATCH($C$2,'T&amp;D Loss Factors'!$B$28:$AD$28,0)))*K65</f>
        <v>0</v>
      </c>
      <c r="L101" s="602">
        <f>(1+INDEX('T&amp;D Loss Factors'!$B$28:$AD$37,MATCH(L$96,'T&amp;D Loss Factors'!$B$28:$B$37,0),MATCH($C$2,'T&amp;D Loss Factors'!$B$28:$AD$28,0)))*L65</f>
        <v>0</v>
      </c>
      <c r="M101" s="602">
        <f>(1+INDEX('T&amp;D Loss Factors'!$B$28:$AD$37,MATCH(M$96,'T&amp;D Loss Factors'!$B$28:$B$37,0),MATCH($C$2,'T&amp;D Loss Factors'!$B$28:$AD$28,0)))*M65</f>
        <v>0</v>
      </c>
      <c r="N101" s="602">
        <f>(1+INDEX('T&amp;D Loss Factors'!$B$28:$AD$37,MATCH(N$96,'T&amp;D Loss Factors'!$B$28:$B$37,0),MATCH($C$2,'T&amp;D Loss Factors'!$B$28:$AD$28,0)))*N65</f>
        <v>0</v>
      </c>
      <c r="P101" s="1619"/>
      <c r="Q101" s="594" t="s">
        <v>1585</v>
      </c>
      <c r="R101" s="1285">
        <f t="shared" si="86"/>
        <v>0.076604311431417729</v>
      </c>
      <c r="S101" s="278">
        <f t="shared" si="74"/>
        <v>0</v>
      </c>
      <c r="T101" s="278">
        <f t="shared" si="75"/>
        <v>0.48881079665542226</v>
      </c>
      <c r="U101" s="278">
        <f t="shared" si="76"/>
        <v>0</v>
      </c>
      <c r="V101" s="278">
        <f t="shared" si="77"/>
        <v>0</v>
      </c>
      <c r="W101" s="278">
        <f t="shared" si="78"/>
        <v>0.5837051554578766</v>
      </c>
      <c r="X101" s="278">
        <f t="shared" si="79"/>
        <v>0</v>
      </c>
      <c r="Y101" s="278">
        <f t="shared" si="80"/>
        <v>0</v>
      </c>
      <c r="Z101" s="278">
        <f t="shared" si="81"/>
        <v>0</v>
      </c>
      <c r="AA101" s="278">
        <f t="shared" si="82"/>
        <v>0</v>
      </c>
      <c r="AB101" s="278">
        <f t="shared" si="83"/>
        <v>0</v>
      </c>
    </row>
    <row r="102" spans="2:28" ht="14.4">
      <c r="B102" s="1619"/>
      <c r="C102" s="594" t="s">
        <v>1586</v>
      </c>
      <c r="D102" s="602">
        <f t="shared" si="84"/>
        <v>0</v>
      </c>
      <c r="E102" s="602">
        <f t="shared" si="85"/>
        <v>0</v>
      </c>
      <c r="F102" s="602">
        <f>(1+INDEX('T&amp;D Loss Factors'!$B$28:$AD$37,MATCH(F$96,'T&amp;D Loss Factors'!$B$28:$B$37,0),MATCH($C$2,'T&amp;D Loss Factors'!$B$28:$AD$28,0)))*F66</f>
        <v>0</v>
      </c>
      <c r="G102" s="602">
        <f>(1+INDEX('T&amp;D Loss Factors'!$B$28:$AD$37,MATCH(G$96,'T&amp;D Loss Factors'!$B$28:$B$37,0),MATCH($C$2,'T&amp;D Loss Factors'!$B$28:$AD$28,0)))*G66</f>
        <v>0</v>
      </c>
      <c r="H102" s="602">
        <f>(1+INDEX('T&amp;D Loss Factors'!$B$28:$AD$37,MATCH(H$96,'T&amp;D Loss Factors'!$B$28:$B$37,0),MATCH($C$2,'T&amp;D Loss Factors'!$B$28:$AD$28,0)))*H66</f>
        <v>0</v>
      </c>
      <c r="I102" s="602">
        <f>(1+INDEX('T&amp;D Loss Factors'!$B$28:$AD$37,MATCH(I$96,'T&amp;D Loss Factors'!$B$28:$B$37,0),MATCH($C$2,'T&amp;D Loss Factors'!$B$28:$AD$28,0)))*I66</f>
        <v>0</v>
      </c>
      <c r="J102" s="602">
        <f>(1+INDEX('T&amp;D Loss Factors'!$B$28:$AD$37,MATCH(J$96,'T&amp;D Loss Factors'!$B$28:$B$37,0),MATCH($C$2,'T&amp;D Loss Factors'!$B$28:$AD$28,0)))*J66</f>
        <v>0</v>
      </c>
      <c r="K102" s="602">
        <f>(1+INDEX('T&amp;D Loss Factors'!$B$28:$AD$37,MATCH(K$96,'T&amp;D Loss Factors'!$B$28:$B$37,0),MATCH($C$2,'T&amp;D Loss Factors'!$B$28:$AD$28,0)))*K66</f>
        <v>0</v>
      </c>
      <c r="L102" s="602">
        <f>(1+INDEX('T&amp;D Loss Factors'!$B$28:$AD$37,MATCH(L$96,'T&amp;D Loss Factors'!$B$28:$B$37,0),MATCH($C$2,'T&amp;D Loss Factors'!$B$28:$AD$28,0)))*L66</f>
        <v>0</v>
      </c>
      <c r="M102" s="602">
        <f>(1+INDEX('T&amp;D Loss Factors'!$B$28:$AD$37,MATCH(M$96,'T&amp;D Loss Factors'!$B$28:$B$37,0),MATCH($C$2,'T&amp;D Loss Factors'!$B$28:$AD$28,0)))*M66</f>
        <v>0</v>
      </c>
      <c r="N102" s="602">
        <f>(1+INDEX('T&amp;D Loss Factors'!$B$28:$AD$37,MATCH(N$96,'T&amp;D Loss Factors'!$B$28:$B$37,0),MATCH($C$2,'T&amp;D Loss Factors'!$B$28:$AD$28,0)))*N66</f>
        <v>0</v>
      </c>
      <c r="P102" s="1619"/>
      <c r="Q102" s="594" t="s">
        <v>1586</v>
      </c>
      <c r="R102" s="1285">
        <f t="shared" si="86"/>
        <v>0</v>
      </c>
      <c r="S102" s="278">
        <f t="shared" si="74"/>
        <v>0</v>
      </c>
      <c r="T102" s="278">
        <f t="shared" si="75"/>
        <v>0</v>
      </c>
      <c r="U102" s="278">
        <f t="shared" si="76"/>
        <v>0</v>
      </c>
      <c r="V102" s="278">
        <f t="shared" si="77"/>
        <v>0</v>
      </c>
      <c r="W102" s="278">
        <f t="shared" si="78"/>
        <v>0</v>
      </c>
      <c r="X102" s="278">
        <f t="shared" si="79"/>
        <v>0</v>
      </c>
      <c r="Y102" s="278">
        <f t="shared" si="80"/>
        <v>0</v>
      </c>
      <c r="Z102" s="278">
        <f t="shared" si="81"/>
        <v>0</v>
      </c>
      <c r="AA102" s="278">
        <f t="shared" si="82"/>
        <v>0</v>
      </c>
      <c r="AB102" s="278">
        <f t="shared" si="83"/>
        <v>0</v>
      </c>
    </row>
    <row r="103" spans="2:28" ht="14.4">
      <c r="B103" s="1619"/>
      <c r="C103" s="594" t="s">
        <v>1587</v>
      </c>
      <c r="D103" s="602">
        <f t="shared" si="84"/>
        <v>303.02874145960004</v>
      </c>
      <c r="E103" s="602">
        <f t="shared" si="85"/>
        <v>0</v>
      </c>
      <c r="F103" s="602">
        <f>(1+INDEX('T&amp;D Loss Factors'!$B$28:$AD$37,MATCH(F$96,'T&amp;D Loss Factors'!$B$28:$B$37,0),MATCH($C$2,'T&amp;D Loss Factors'!$B$28:$AD$28,0)))*F67</f>
        <v>0</v>
      </c>
      <c r="G103" s="602">
        <f>(1+INDEX('T&amp;D Loss Factors'!$B$28:$AD$37,MATCH(G$96,'T&amp;D Loss Factors'!$B$28:$B$37,0),MATCH($C$2,'T&amp;D Loss Factors'!$B$28:$AD$28,0)))*G67</f>
        <v>0</v>
      </c>
      <c r="H103" s="602">
        <f>(1+INDEX('T&amp;D Loss Factors'!$B$28:$AD$37,MATCH(H$96,'T&amp;D Loss Factors'!$B$28:$B$37,0),MATCH($C$2,'T&amp;D Loss Factors'!$B$28:$AD$28,0)))*H67</f>
        <v>0</v>
      </c>
      <c r="I103" s="602">
        <f>(1+INDEX('T&amp;D Loss Factors'!$B$28:$AD$37,MATCH(I$96,'T&amp;D Loss Factors'!$B$28:$B$37,0),MATCH($C$2,'T&amp;D Loss Factors'!$B$28:$AD$28,0)))*I67</f>
        <v>1.4358552779999998</v>
      </c>
      <c r="J103" s="602">
        <f>(1+INDEX('T&amp;D Loss Factors'!$B$28:$AD$37,MATCH(J$96,'T&amp;D Loss Factors'!$B$28:$B$37,0),MATCH($C$2,'T&amp;D Loss Factors'!$B$28:$AD$28,0)))*J67</f>
        <v>0</v>
      </c>
      <c r="K103" s="602">
        <f>(1+INDEX('T&amp;D Loss Factors'!$B$28:$AD$37,MATCH(K$96,'T&amp;D Loss Factors'!$B$28:$B$37,0),MATCH($C$2,'T&amp;D Loss Factors'!$B$28:$AD$28,0)))*K67</f>
        <v>170.23958749200003</v>
      </c>
      <c r="L103" s="602">
        <f>(1+INDEX('T&amp;D Loss Factors'!$B$28:$AD$37,MATCH(L$96,'T&amp;D Loss Factors'!$B$28:$B$37,0),MATCH($C$2,'T&amp;D Loss Factors'!$B$28:$AD$28,0)))*L67</f>
        <v>66.268825937600013</v>
      </c>
      <c r="M103" s="602">
        <f>(1+INDEX('T&amp;D Loss Factors'!$B$28:$AD$37,MATCH(M$96,'T&amp;D Loss Factors'!$B$28:$B$37,0),MATCH($C$2,'T&amp;D Loss Factors'!$B$28:$AD$28,0)))*M67</f>
        <v>3.1668333840000007</v>
      </c>
      <c r="N103" s="602">
        <f>(1+INDEX('T&amp;D Loss Factors'!$B$28:$AD$37,MATCH(N$96,'T&amp;D Loss Factors'!$B$28:$B$37,0),MATCH($C$2,'T&amp;D Loss Factors'!$B$28:$AD$28,0)))*N67</f>
        <v>61.917639368000003</v>
      </c>
      <c r="P103" s="1619"/>
      <c r="Q103" s="594" t="s">
        <v>1587</v>
      </c>
      <c r="R103" s="1285">
        <f t="shared" si="86"/>
        <v>0.024530067946514501</v>
      </c>
      <c r="S103" s="278">
        <f t="shared" si="74"/>
        <v>0</v>
      </c>
      <c r="T103" s="278">
        <f t="shared" si="75"/>
        <v>0</v>
      </c>
      <c r="U103" s="278">
        <f t="shared" si="76"/>
        <v>0</v>
      </c>
      <c r="V103" s="278">
        <f t="shared" si="77"/>
        <v>0</v>
      </c>
      <c r="W103" s="278">
        <f t="shared" si="78"/>
        <v>0.0011925017198447872</v>
      </c>
      <c r="X103" s="278">
        <f t="shared" si="79"/>
        <v>0</v>
      </c>
      <c r="Y103" s="278">
        <f t="shared" si="80"/>
        <v>0.030368531605909604</v>
      </c>
      <c r="Z103" s="278">
        <f t="shared" si="81"/>
        <v>0.061538741109595382</v>
      </c>
      <c r="AA103" s="278">
        <f t="shared" si="82"/>
        <v>0.0064524154372194295</v>
      </c>
      <c r="AB103" s="278">
        <f t="shared" si="83"/>
        <v>0.90902656652976266</v>
      </c>
    </row>
    <row r="104" spans="2:28" ht="14.4">
      <c r="B104" s="1620"/>
      <c r="C104" s="608" t="s">
        <v>131</v>
      </c>
      <c r="D104" s="429">
        <f t="shared" si="87" ref="D104:N104">SUM(D97:D103)</f>
        <v>12353.359237337851</v>
      </c>
      <c r="E104" s="429">
        <f t="shared" si="87"/>
        <v>284.48967185714287</v>
      </c>
      <c r="F104" s="429">
        <f t="shared" si="87"/>
        <v>498.14538562641599</v>
      </c>
      <c r="G104" s="429">
        <f t="shared" si="87"/>
        <v>488.9627060111178</v>
      </c>
      <c r="H104" s="429">
        <f t="shared" si="87"/>
        <v>1971.6548101974556</v>
      </c>
      <c r="I104" s="429">
        <f t="shared" si="87"/>
        <v>1204.0697754187615</v>
      </c>
      <c r="J104" s="429">
        <f t="shared" si="87"/>
        <v>664.47177918166517</v>
      </c>
      <c r="K104" s="429">
        <f t="shared" si="87"/>
        <v>5605.7892327883255</v>
      </c>
      <c r="L104" s="429">
        <f t="shared" si="87"/>
        <v>1076.8635292616848</v>
      </c>
      <c r="M104" s="429">
        <f t="shared" si="87"/>
        <v>490.79812278248153</v>
      </c>
      <c r="N104" s="429">
        <f t="shared" si="87"/>
        <v>68.114224212799996</v>
      </c>
      <c r="P104" s="1620"/>
      <c r="Q104" s="610" t="s">
        <v>131</v>
      </c>
      <c r="R104" s="535">
        <f t="shared" si="88" ref="R104:AB104">SUM(R97:R103)</f>
        <v>1</v>
      </c>
      <c r="S104" s="535">
        <f t="shared" si="88"/>
        <v>1</v>
      </c>
      <c r="T104" s="535">
        <f t="shared" si="88"/>
        <v>1</v>
      </c>
      <c r="U104" s="535">
        <f t="shared" si="88"/>
        <v>1</v>
      </c>
      <c r="V104" s="535">
        <f t="shared" si="88"/>
        <v>1</v>
      </c>
      <c r="W104" s="535">
        <f t="shared" si="88"/>
        <v>0.99999999999999989</v>
      </c>
      <c r="X104" s="535">
        <f t="shared" si="88"/>
        <v>0.99999999999999989</v>
      </c>
      <c r="Y104" s="535">
        <f t="shared" si="88"/>
        <v>1</v>
      </c>
      <c r="Z104" s="535">
        <f t="shared" si="88"/>
        <v>1</v>
      </c>
      <c r="AA104" s="535">
        <f t="shared" si="88"/>
        <v>0.99999999999999989</v>
      </c>
      <c r="AB104" s="535">
        <f t="shared" si="88"/>
        <v>1.0000000000000002</v>
      </c>
    </row>
    <row r="105" spans="3:28" ht="14.4">
      <c r="C105" s="604"/>
      <c r="D105" s="459" t="str">
        <f t="shared" si="89" ref="D105:N105">IF(D104=D38,"OK","CHECK")</f>
        <v>OK</v>
      </c>
      <c r="E105" s="459" t="str">
        <f t="shared" si="89"/>
        <v>OK</v>
      </c>
      <c r="F105" s="459" t="str">
        <f t="shared" si="89"/>
        <v>OK</v>
      </c>
      <c r="G105" s="459" t="str">
        <f>IF(G104=G38,"OK","CHECK")</f>
        <v>OK</v>
      </c>
      <c r="H105" s="459" t="str">
        <f t="shared" si="89"/>
        <v>OK</v>
      </c>
      <c r="I105" s="459" t="str">
        <f t="shared" si="89"/>
        <v>OK</v>
      </c>
      <c r="J105" s="459" t="str">
        <f t="shared" si="89"/>
        <v>OK</v>
      </c>
      <c r="K105" s="459" t="str">
        <f t="shared" si="89"/>
        <v>OK</v>
      </c>
      <c r="L105" s="459" t="str">
        <f t="shared" si="89"/>
        <v>OK</v>
      </c>
      <c r="M105" s="459" t="str">
        <f t="shared" si="89"/>
        <v>OK</v>
      </c>
      <c r="N105" s="459" t="str">
        <f t="shared" si="89"/>
        <v>OK</v>
      </c>
      <c r="Q105" s="604"/>
      <c r="R105" s="459" t="str">
        <f t="shared" si="90" ref="R105:AB105">IF(R104=R38,"OK","CHECK")</f>
        <v>OK</v>
      </c>
      <c r="S105" s="459" t="str">
        <f t="shared" si="90"/>
        <v>OK</v>
      </c>
      <c r="T105" s="459" t="str">
        <f t="shared" si="90"/>
        <v>OK</v>
      </c>
      <c r="U105" s="459" t="str">
        <f t="shared" si="90"/>
        <v>OK</v>
      </c>
      <c r="V105" s="459" t="str">
        <f t="shared" si="90"/>
        <v>OK</v>
      </c>
      <c r="W105" s="459" t="str">
        <f t="shared" si="90"/>
        <v>OK</v>
      </c>
      <c r="X105" s="459" t="str">
        <f t="shared" si="90"/>
        <v>OK</v>
      </c>
      <c r="Y105" s="459" t="str">
        <f t="shared" si="90"/>
        <v>OK</v>
      </c>
      <c r="Z105" s="459" t="str">
        <f t="shared" si="90"/>
        <v>OK</v>
      </c>
      <c r="AA105" s="459" t="str">
        <f t="shared" si="90"/>
        <v>OK</v>
      </c>
      <c r="AB105" s="459" t="str">
        <f t="shared" si="90"/>
        <v>OK</v>
      </c>
    </row>
    <row r="106" spans="2:16" ht="14.4">
      <c r="B106" s="1283" t="s">
        <v>1455</v>
      </c>
      <c r="P106" s="514" t="s">
        <v>1589</v>
      </c>
    </row>
    <row r="107" spans="2:28" ht="15.6" customHeight="1">
      <c r="B107" s="1618" t="s">
        <v>883</v>
      </c>
      <c r="C107" s="1615" t="s">
        <v>1588</v>
      </c>
      <c r="D107" s="1615" t="s">
        <v>887</v>
      </c>
      <c r="E107" s="1615"/>
      <c r="F107" s="1615"/>
      <c r="G107" s="1615"/>
      <c r="H107" s="1615"/>
      <c r="I107" s="1615"/>
      <c r="J107" s="1615"/>
      <c r="K107" s="1615"/>
      <c r="L107" s="1615"/>
      <c r="M107" s="1615"/>
      <c r="N107" s="1615"/>
      <c r="P107" s="1618" t="str">
        <f>"% "&amp;B107</f>
        <v>% Total Lifetime MWhs</v>
      </c>
      <c r="Q107" s="1617" t="s">
        <v>1588</v>
      </c>
      <c r="R107" s="1615" t="s">
        <v>887</v>
      </c>
      <c r="S107" s="1615"/>
      <c r="T107" s="1615"/>
      <c r="U107" s="1615"/>
      <c r="V107" s="1615"/>
      <c r="W107" s="1615"/>
      <c r="X107" s="1615"/>
      <c r="Y107" s="1615"/>
      <c r="Z107" s="1615"/>
      <c r="AA107" s="1615"/>
      <c r="AB107" s="1615"/>
    </row>
    <row r="108" spans="2:28" ht="14.4">
      <c r="B108" s="1619"/>
      <c r="C108" s="1615"/>
      <c r="D108" s="608" t="s">
        <v>889</v>
      </c>
      <c r="E108" s="608" t="s">
        <v>1580</v>
      </c>
      <c r="F108" s="608" t="s">
        <v>892</v>
      </c>
      <c r="G108" s="608" t="s">
        <v>893</v>
      </c>
      <c r="H108" s="608" t="s">
        <v>890</v>
      </c>
      <c r="I108" s="608" t="s">
        <v>891</v>
      </c>
      <c r="J108" s="608" t="s">
        <v>894</v>
      </c>
      <c r="K108" s="608" t="s">
        <v>895</v>
      </c>
      <c r="L108" s="608" t="s">
        <v>896</v>
      </c>
      <c r="M108" s="608" t="s">
        <v>897</v>
      </c>
      <c r="N108" s="608" t="s">
        <v>898</v>
      </c>
      <c r="P108" s="1619"/>
      <c r="Q108" s="1617"/>
      <c r="R108" s="608" t="s">
        <v>889</v>
      </c>
      <c r="S108" s="608" t="s">
        <v>1580</v>
      </c>
      <c r="T108" s="608" t="s">
        <v>892</v>
      </c>
      <c r="U108" s="608" t="s">
        <v>893</v>
      </c>
      <c r="V108" s="608" t="s">
        <v>890</v>
      </c>
      <c r="W108" s="608" t="s">
        <v>891</v>
      </c>
      <c r="X108" s="608" t="s">
        <v>894</v>
      </c>
      <c r="Y108" s="608" t="s">
        <v>895</v>
      </c>
      <c r="Z108" s="608" t="s">
        <v>896</v>
      </c>
      <c r="AA108" s="608" t="s">
        <v>897</v>
      </c>
      <c r="AB108" s="608" t="s">
        <v>898</v>
      </c>
    </row>
    <row r="109" spans="2:28" ht="14.4">
      <c r="B109" s="1619"/>
      <c r="C109" s="594" t="s">
        <v>1581</v>
      </c>
      <c r="D109" s="602">
        <f>SUM(E109:N109)</f>
        <v>7290.264500522564</v>
      </c>
      <c r="E109" s="602">
        <f t="shared" si="91" ref="E109:E115">E73</f>
        <v>0</v>
      </c>
      <c r="F109" s="602">
        <f>(1+INDEX('T&amp;D Loss Factors'!$B$28:$AD$37,MATCH(F$108,'T&amp;D Loss Factors'!$B$28:$B$37,0),MATCH($C$2,'T&amp;D Loss Factors'!$B$28:$AD$28,0)))*F73</f>
        <v>0</v>
      </c>
      <c r="G109" s="602">
        <f>(1+INDEX('T&amp;D Loss Factors'!$B$28:$AD$37,MATCH(G$108,'T&amp;D Loss Factors'!$B$28:$B$37,0),MATCH($C$2,'T&amp;D Loss Factors'!$B$28:$AD$28,0)))*G73</f>
        <v>482.85839882871778</v>
      </c>
      <c r="H109" s="602">
        <f>(1+INDEX('T&amp;D Loss Factors'!$B$28:$AD$37,MATCH(H$108,'T&amp;D Loss Factors'!$B$28:$B$37,0),MATCH($C$2,'T&amp;D Loss Factors'!$B$28:$AD$28,0)))*H73</f>
        <v>1965.5700770646556</v>
      </c>
      <c r="I109" s="602">
        <f>(1+INDEX('T&amp;D Loss Factors'!$B$28:$AD$37,MATCH(I$108,'T&amp;D Loss Factors'!$B$28:$B$37,0),MATCH($C$2,'T&amp;D Loss Factors'!$B$28:$AD$28,0)))*I73</f>
        <v>0</v>
      </c>
      <c r="J109" s="602">
        <f>(1+INDEX('T&amp;D Loss Factors'!$B$28:$AD$37,MATCH(J$108,'T&amp;D Loss Factors'!$B$28:$B$37,0),MATCH($C$2,'T&amp;D Loss Factors'!$B$28:$AD$28,0)))*J73</f>
        <v>547.59631594224641</v>
      </c>
      <c r="K109" s="602">
        <f>(1+INDEX('T&amp;D Loss Factors'!$B$28:$AD$37,MATCH(K$108,'T&amp;D Loss Factors'!$B$28:$B$37,0),MATCH($C$2,'T&amp;D Loss Factors'!$B$28:$AD$28,0)))*K73</f>
        <v>4170.0954935381442</v>
      </c>
      <c r="L109" s="602">
        <f>(1+INDEX('T&amp;D Loss Factors'!$B$28:$AD$37,MATCH(L$108,'T&amp;D Loss Factors'!$B$28:$B$37,0),MATCH($C$2,'T&amp;D Loss Factors'!$B$28:$AD$28,0)))*L73</f>
        <v>124.1442151488</v>
      </c>
      <c r="M109" s="602">
        <f>(1+INDEX('T&amp;D Loss Factors'!$B$28:$AD$37,MATCH(M$108,'T&amp;D Loss Factors'!$B$28:$B$37,0),MATCH($C$2,'T&amp;D Loss Factors'!$B$28:$AD$28,0)))*M73</f>
        <v>0</v>
      </c>
      <c r="N109" s="602">
        <f>(1+INDEX('T&amp;D Loss Factors'!$B$28:$AD$37,MATCH(N$108,'T&amp;D Loss Factors'!$B$28:$B$37,0),MATCH($C$2,'T&amp;D Loss Factors'!$B$28:$AD$28,0)))*N73</f>
        <v>0</v>
      </c>
      <c r="P109" s="1619"/>
      <c r="Q109" s="594" t="s">
        <v>1581</v>
      </c>
      <c r="R109" s="1285">
        <f>D109/D$116</f>
        <v>0.21144258011673187</v>
      </c>
      <c r="S109" s="278">
        <f t="shared" si="92" ref="S109:S115">E109/E$116</f>
        <v>0</v>
      </c>
      <c r="T109" s="278">
        <f t="shared" si="93" ref="T109:T115">F109/F$116</f>
        <v>0</v>
      </c>
      <c r="U109" s="278">
        <f t="shared" si="94" ref="U109:U115">G109/G$116</f>
        <v>0.79818622191686495</v>
      </c>
      <c r="V109" s="278">
        <f t="shared" si="95" ref="V109:V115">H109/H$116</f>
        <v>0.94169658484611463</v>
      </c>
      <c r="W109" s="278">
        <f t="shared" si="96" ref="W109:W115">I109/I$116</f>
        <v>0</v>
      </c>
      <c r="X109" s="278">
        <f t="shared" si="97" ref="X109:X115">J109/J$116</f>
        <v>0.52971910580115955</v>
      </c>
      <c r="Y109" s="278">
        <f t="shared" si="98" ref="Y109:Y115">K109/K$116</f>
        <v>0.38032420321101196</v>
      </c>
      <c r="Z109" s="278">
        <f t="shared" si="99" ref="Z109:Z115">L109/L$116</f>
        <v>0.063726385018092913</v>
      </c>
      <c r="AA109" s="278">
        <f t="shared" si="100" ref="AA109:AA115">M109/M$116</f>
        <v>0</v>
      </c>
      <c r="AB109" s="278">
        <f t="shared" si="101" ref="AB109:AB115">N109/N$116</f>
        <v>0</v>
      </c>
    </row>
    <row r="110" spans="2:28" ht="14.4">
      <c r="B110" s="1619"/>
      <c r="C110" s="594" t="s">
        <v>1582</v>
      </c>
      <c r="D110" s="602">
        <f t="shared" si="102" ref="D110:D115">SUM(E110:N110)</f>
        <v>4907.4346353790161</v>
      </c>
      <c r="E110" s="602">
        <f t="shared" si="91"/>
        <v>0</v>
      </c>
      <c r="F110" s="602">
        <f>(1+INDEX('T&amp;D Loss Factors'!$B$28:$AD$37,MATCH(F$108,'T&amp;D Loss Factors'!$B$28:$B$37,0),MATCH($C$2,'T&amp;D Loss Factors'!$B$28:$AD$28,0)))*F74</f>
        <v>119.78199838079999</v>
      </c>
      <c r="G110" s="602">
        <f>(1+INDEX('T&amp;D Loss Factors'!$B$28:$AD$37,MATCH(G$108,'T&amp;D Loss Factors'!$B$28:$B$37,0),MATCH($C$2,'T&amp;D Loss Factors'!$B$28:$AD$28,0)))*G74</f>
        <v>122.08614364799998</v>
      </c>
      <c r="H110" s="602">
        <f>(1+INDEX('T&amp;D Loss Factors'!$B$28:$AD$37,MATCH(H$108,'T&amp;D Loss Factors'!$B$28:$B$37,0),MATCH($C$2,'T&amp;D Loss Factors'!$B$28:$AD$28,0)))*H74</f>
        <v>121.69466265600001</v>
      </c>
      <c r="I110" s="602">
        <f>(1+INDEX('T&amp;D Loss Factors'!$B$28:$AD$37,MATCH(I$108,'T&amp;D Loss Factors'!$B$28:$B$37,0),MATCH($C$2,'T&amp;D Loss Factors'!$B$28:$AD$28,0)))*I74</f>
        <v>120.3748124544</v>
      </c>
      <c r="J110" s="602">
        <f>(1+INDEX('T&amp;D Loss Factors'!$B$28:$AD$37,MATCH(J$108,'T&amp;D Loss Factors'!$B$28:$B$37,0),MATCH($C$2,'T&amp;D Loss Factors'!$B$28:$AD$28,0)))*J74</f>
        <v>417.66830068652627</v>
      </c>
      <c r="K110" s="602">
        <f>(1+INDEX('T&amp;D Loss Factors'!$B$28:$AD$37,MATCH(K$108,'T&amp;D Loss Factors'!$B$28:$B$37,0),MATCH($C$2,'T&amp;D Loss Factors'!$B$28:$AD$28,0)))*K74</f>
        <v>3603.8621606400002</v>
      </c>
      <c r="L110" s="602">
        <f>(1+INDEX('T&amp;D Loss Factors'!$B$28:$AD$37,MATCH(L$108,'T&amp;D Loss Factors'!$B$28:$B$37,0),MATCH($C$2,'T&amp;D Loss Factors'!$B$28:$AD$28,0)))*L74</f>
        <v>0</v>
      </c>
      <c r="M110" s="602">
        <f>(1+INDEX('T&amp;D Loss Factors'!$B$28:$AD$37,MATCH(M$108,'T&amp;D Loss Factors'!$B$28:$B$37,0),MATCH($C$2,'T&amp;D Loss Factors'!$B$28:$AD$28,0)))*M74</f>
        <v>278.03486001728885</v>
      </c>
      <c r="N110" s="602">
        <f>(1+INDEX('T&amp;D Loss Factors'!$B$28:$AD$37,MATCH(N$108,'T&amp;D Loss Factors'!$B$28:$B$37,0),MATCH($C$2,'T&amp;D Loss Factors'!$B$28:$AD$28,0)))*N74</f>
        <v>123.93169689600001</v>
      </c>
      <c r="P110" s="1619"/>
      <c r="Q110" s="594" t="s">
        <v>1582</v>
      </c>
      <c r="R110" s="1285">
        <f t="shared" si="103" ref="R110:R115">D110/D$116</f>
        <v>0.14233237230067231</v>
      </c>
      <c r="S110" s="278">
        <f t="shared" si="92"/>
        <v>0</v>
      </c>
      <c r="T110" s="278">
        <f t="shared" si="93"/>
        <v>0.19574195878148432</v>
      </c>
      <c r="U110" s="278">
        <f t="shared" si="94"/>
        <v>0.20181377808313505</v>
      </c>
      <c r="V110" s="278">
        <f t="shared" si="95"/>
        <v>0.05830341515388543</v>
      </c>
      <c r="W110" s="278">
        <f t="shared" si="96"/>
        <v>0.011805218212814798</v>
      </c>
      <c r="X110" s="278">
        <f t="shared" si="97"/>
        <v>0.40403281088635168</v>
      </c>
      <c r="Y110" s="278">
        <f t="shared" si="98"/>
        <v>0.32868216251920868</v>
      </c>
      <c r="Z110" s="278">
        <f t="shared" si="99"/>
        <v>0</v>
      </c>
      <c r="AA110" s="278">
        <f t="shared" si="100"/>
        <v>0.23795817870908387</v>
      </c>
      <c r="AB110" s="278">
        <f t="shared" si="101"/>
        <v>0.13930067067345639</v>
      </c>
    </row>
    <row r="111" spans="2:28" ht="14.4">
      <c r="B111" s="1619"/>
      <c r="C111" s="594" t="s">
        <v>1583</v>
      </c>
      <c r="D111" s="602">
        <f t="shared" si="102"/>
        <v>169.69200000000001</v>
      </c>
      <c r="E111" s="602">
        <f t="shared" si="91"/>
        <v>0</v>
      </c>
      <c r="F111" s="602">
        <f>(1+INDEX('T&amp;D Loss Factors'!$B$28:$AD$37,MATCH(F$108,'T&amp;D Loss Factors'!$B$28:$B$37,0),MATCH($C$2,'T&amp;D Loss Factors'!$B$28:$AD$28,0)))*F75</f>
        <v>0</v>
      </c>
      <c r="G111" s="602">
        <f>(1+INDEX('T&amp;D Loss Factors'!$B$28:$AD$37,MATCH(G$108,'T&amp;D Loss Factors'!$B$28:$B$37,0),MATCH($C$2,'T&amp;D Loss Factors'!$B$28:$AD$28,0)))*G75</f>
        <v>0</v>
      </c>
      <c r="H111" s="602">
        <f>(1+INDEX('T&amp;D Loss Factors'!$B$28:$AD$37,MATCH(H$108,'T&amp;D Loss Factors'!$B$28:$B$37,0),MATCH($C$2,'T&amp;D Loss Factors'!$B$28:$AD$28,0)))*H75</f>
        <v>0</v>
      </c>
      <c r="I111" s="602">
        <f>(1+INDEX('T&amp;D Loss Factors'!$B$28:$AD$37,MATCH(I$108,'T&amp;D Loss Factors'!$B$28:$B$37,0),MATCH($C$2,'T&amp;D Loss Factors'!$B$28:$AD$28,0)))*I75</f>
        <v>0</v>
      </c>
      <c r="J111" s="602">
        <f>(1+INDEX('T&amp;D Loss Factors'!$B$28:$AD$37,MATCH(J$108,'T&amp;D Loss Factors'!$B$28:$B$37,0),MATCH($C$2,'T&amp;D Loss Factors'!$B$28:$AD$28,0)))*J75</f>
        <v>0</v>
      </c>
      <c r="K111" s="602">
        <f>(1+INDEX('T&amp;D Loss Factors'!$B$28:$AD$37,MATCH(K$108,'T&amp;D Loss Factors'!$B$28:$B$37,0),MATCH($C$2,'T&amp;D Loss Factors'!$B$28:$AD$28,0)))*K75</f>
        <v>169.69200000000001</v>
      </c>
      <c r="L111" s="602">
        <f>(1+INDEX('T&amp;D Loss Factors'!$B$28:$AD$37,MATCH(L$108,'T&amp;D Loss Factors'!$B$28:$B$37,0),MATCH($C$2,'T&amp;D Loss Factors'!$B$28:$AD$28,0)))*L75</f>
        <v>0</v>
      </c>
      <c r="M111" s="602">
        <f>(1+INDEX('T&amp;D Loss Factors'!$B$28:$AD$37,MATCH(M$108,'T&amp;D Loss Factors'!$B$28:$B$37,0),MATCH($C$2,'T&amp;D Loss Factors'!$B$28:$AD$28,0)))*M75</f>
        <v>0</v>
      </c>
      <c r="N111" s="602">
        <f>(1+INDEX('T&amp;D Loss Factors'!$B$28:$AD$37,MATCH(N$108,'T&amp;D Loss Factors'!$B$28:$B$37,0),MATCH($C$2,'T&amp;D Loss Factors'!$B$28:$AD$28,0)))*N75</f>
        <v>0</v>
      </c>
      <c r="P111" s="1619"/>
      <c r="Q111" s="594" t="s">
        <v>1583</v>
      </c>
      <c r="R111" s="1285">
        <f t="shared" si="103"/>
        <v>0.0049216478088821864</v>
      </c>
      <c r="S111" s="278">
        <f t="shared" si="92"/>
        <v>0</v>
      </c>
      <c r="T111" s="278">
        <f t="shared" si="93"/>
        <v>0</v>
      </c>
      <c r="U111" s="278">
        <f t="shared" si="94"/>
        <v>0</v>
      </c>
      <c r="V111" s="278">
        <f t="shared" si="95"/>
        <v>0</v>
      </c>
      <c r="W111" s="278">
        <f t="shared" si="96"/>
        <v>0</v>
      </c>
      <c r="X111" s="278">
        <f t="shared" si="97"/>
        <v>0</v>
      </c>
      <c r="Y111" s="278">
        <f t="shared" si="98"/>
        <v>0.015476378128819631</v>
      </c>
      <c r="Z111" s="278">
        <f t="shared" si="99"/>
        <v>0</v>
      </c>
      <c r="AA111" s="278">
        <f t="shared" si="100"/>
        <v>0</v>
      </c>
      <c r="AB111" s="278">
        <f t="shared" si="101"/>
        <v>0</v>
      </c>
    </row>
    <row r="112" spans="2:28" ht="14.4">
      <c r="B112" s="1619"/>
      <c r="C112" s="594" t="s">
        <v>1776</v>
      </c>
      <c r="D112" s="602">
        <f t="shared" si="102"/>
        <v>9068.0005081770232</v>
      </c>
      <c r="E112" s="602">
        <f t="shared" si="91"/>
        <v>4973.3018948240633</v>
      </c>
      <c r="F112" s="602">
        <f>(1+INDEX('T&amp;D Loss Factors'!$B$28:$AD$37,MATCH(F$108,'T&amp;D Loss Factors'!$B$28:$B$37,0),MATCH($C$2,'T&amp;D Loss Factors'!$B$28:$AD$28,0)))*F76</f>
        <v>248.65744290910504</v>
      </c>
      <c r="G112" s="602">
        <f>(1+INDEX('T&amp;D Loss Factors'!$B$28:$AD$37,MATCH(G$108,'T&amp;D Loss Factors'!$B$28:$B$37,0),MATCH($C$2,'T&amp;D Loss Factors'!$B$28:$AD$28,0)))*G76</f>
        <v>0</v>
      </c>
      <c r="H112" s="602">
        <f>(1+INDEX('T&amp;D Loss Factors'!$B$28:$AD$37,MATCH(H$108,'T&amp;D Loss Factors'!$B$28:$B$37,0),MATCH($C$2,'T&amp;D Loss Factors'!$B$28:$AD$28,0)))*H76</f>
        <v>0</v>
      </c>
      <c r="I112" s="602">
        <f>(1+INDEX('T&amp;D Loss Factors'!$B$28:$AD$37,MATCH(I$108,'T&amp;D Loss Factors'!$B$28:$B$37,0),MATCH($C$2,'T&amp;D Loss Factors'!$B$28:$AD$28,0)))*I76</f>
        <v>1006.381027503503</v>
      </c>
      <c r="J112" s="602">
        <f>(1+INDEX('T&amp;D Loss Factors'!$B$28:$AD$37,MATCH(J$108,'T&amp;D Loss Factors'!$B$28:$B$37,0),MATCH($C$2,'T&amp;D Loss Factors'!$B$28:$AD$28,0)))*J76</f>
        <v>68.483854863583559</v>
      </c>
      <c r="K112" s="602">
        <f>(1+INDEX('T&amp;D Loss Factors'!$B$28:$AD$37,MATCH(K$108,'T&amp;D Loss Factors'!$B$28:$B$37,0),MATCH($C$2,'T&amp;D Loss Factors'!$B$28:$AD$28,0)))*K76</f>
        <v>915.56904372618089</v>
      </c>
      <c r="L112" s="602">
        <f>(1+INDEX('T&amp;D Loss Factors'!$B$28:$AD$37,MATCH(L$108,'T&amp;D Loss Factors'!$B$28:$B$37,0),MATCH($C$2,'T&amp;D Loss Factors'!$B$28:$AD$28,0)))*L76</f>
        <v>1004.3874925666448</v>
      </c>
      <c r="M112" s="602">
        <f>(1+INDEX('T&amp;D Loss Factors'!$B$28:$AD$37,MATCH(M$108,'T&amp;D Loss Factors'!$B$28:$B$37,0),MATCH($C$2,'T&amp;D Loss Factors'!$B$28:$AD$28,0)))*M76</f>
        <v>851.21975178394371</v>
      </c>
      <c r="N112" s="602">
        <f>(1+INDEX('T&amp;D Loss Factors'!$B$28:$AD$37,MATCH(N$108,'T&amp;D Loss Factors'!$B$28:$B$37,0),MATCH($C$2,'T&amp;D Loss Factors'!$B$28:$AD$28,0)))*N76</f>
        <v>0</v>
      </c>
      <c r="P112" s="1619"/>
      <c r="Q112" s="594" t="s">
        <v>1584</v>
      </c>
      <c r="R112" s="1285">
        <f t="shared" si="103"/>
        <v>0.26300299856217146</v>
      </c>
      <c r="S112" s="278">
        <f t="shared" si="92"/>
        <v>1</v>
      </c>
      <c r="T112" s="278">
        <f t="shared" si="93"/>
        <v>0.40634398823342005</v>
      </c>
      <c r="U112" s="278">
        <f t="shared" si="94"/>
        <v>0</v>
      </c>
      <c r="V112" s="278">
        <f t="shared" si="95"/>
        <v>0</v>
      </c>
      <c r="W112" s="278">
        <f t="shared" si="96"/>
        <v>0.098696291962375227</v>
      </c>
      <c r="X112" s="278">
        <f t="shared" si="97"/>
        <v>0.066248083312488798</v>
      </c>
      <c r="Y112" s="278">
        <f t="shared" si="98"/>
        <v>0.0835024204072565</v>
      </c>
      <c r="Z112" s="278">
        <f t="shared" si="99"/>
        <v>0.51557766088368262</v>
      </c>
      <c r="AA112" s="278">
        <f t="shared" si="100"/>
        <v>0.7285226816634085</v>
      </c>
      <c r="AB112" s="278">
        <f t="shared" si="101"/>
        <v>0</v>
      </c>
    </row>
    <row r="113" spans="2:28" ht="14.4">
      <c r="B113" s="1619"/>
      <c r="C113" s="594" t="s">
        <v>1585</v>
      </c>
      <c r="D113" s="602">
        <f t="shared" si="102"/>
        <v>9295.7317760074675</v>
      </c>
      <c r="E113" s="602">
        <f t="shared" si="91"/>
        <v>0</v>
      </c>
      <c r="F113" s="602">
        <f>(1+INDEX('T&amp;D Loss Factors'!$B$28:$AD$37,MATCH(F$108,'T&amp;D Loss Factors'!$B$28:$B$37,0),MATCH($C$2,'T&amp;D Loss Factors'!$B$28:$AD$28,0)))*F77</f>
        <v>243.49884279827094</v>
      </c>
      <c r="G113" s="602">
        <f>(1+INDEX('T&amp;D Loss Factors'!$B$28:$AD$37,MATCH(G$108,'T&amp;D Loss Factors'!$B$28:$B$37,0),MATCH($C$2,'T&amp;D Loss Factors'!$B$28:$AD$28,0)))*G77</f>
        <v>0</v>
      </c>
      <c r="H113" s="602">
        <f>(1+INDEX('T&amp;D Loss Factors'!$B$28:$AD$37,MATCH(H$108,'T&amp;D Loss Factors'!$B$28:$B$37,0),MATCH($C$2,'T&amp;D Loss Factors'!$B$28:$AD$28,0)))*H77</f>
        <v>0</v>
      </c>
      <c r="I113" s="602">
        <f>(1+INDEX('T&amp;D Loss Factors'!$B$28:$AD$37,MATCH(I$108,'T&amp;D Loss Factors'!$B$28:$B$37,0),MATCH($C$2,'T&amp;D Loss Factors'!$B$28:$AD$28,0)))*I77</f>
        <v>9052.2329332091958</v>
      </c>
      <c r="J113" s="602">
        <f>(1+INDEX('T&amp;D Loss Factors'!$B$28:$AD$37,MATCH(J$108,'T&amp;D Loss Factors'!$B$28:$B$37,0),MATCH($C$2,'T&amp;D Loss Factors'!$B$28:$AD$28,0)))*J77</f>
        <v>0</v>
      </c>
      <c r="K113" s="602">
        <f>(1+INDEX('T&amp;D Loss Factors'!$B$28:$AD$37,MATCH(K$108,'T&amp;D Loss Factors'!$B$28:$B$37,0),MATCH($C$2,'T&amp;D Loss Factors'!$B$28:$AD$28,0)))*K77</f>
        <v>0</v>
      </c>
      <c r="L113" s="602">
        <f>(1+INDEX('T&amp;D Loss Factors'!$B$28:$AD$37,MATCH(L$108,'T&amp;D Loss Factors'!$B$28:$B$37,0),MATCH($C$2,'T&amp;D Loss Factors'!$B$28:$AD$28,0)))*L77</f>
        <v>0</v>
      </c>
      <c r="M113" s="602">
        <f>(1+INDEX('T&amp;D Loss Factors'!$B$28:$AD$37,MATCH(M$108,'T&amp;D Loss Factors'!$B$28:$B$37,0),MATCH($C$2,'T&amp;D Loss Factors'!$B$28:$AD$28,0)))*M77</f>
        <v>0</v>
      </c>
      <c r="N113" s="602">
        <f>(1+INDEX('T&amp;D Loss Factors'!$B$28:$AD$37,MATCH(N$108,'T&amp;D Loss Factors'!$B$28:$B$37,0),MATCH($C$2,'T&amp;D Loss Factors'!$B$28:$AD$28,0)))*N77</f>
        <v>0</v>
      </c>
      <c r="P113" s="1619"/>
      <c r="Q113" s="594" t="s">
        <v>1585</v>
      </c>
      <c r="R113" s="1285">
        <f t="shared" si="103"/>
        <v>0.26960798344850473</v>
      </c>
      <c r="S113" s="278">
        <f t="shared" si="92"/>
        <v>0</v>
      </c>
      <c r="T113" s="278">
        <f t="shared" si="93"/>
        <v>0.39791405298509558</v>
      </c>
      <c r="U113" s="278">
        <f t="shared" si="94"/>
        <v>0</v>
      </c>
      <c r="V113" s="278">
        <f t="shared" si="95"/>
        <v>0</v>
      </c>
      <c r="W113" s="278">
        <f t="shared" si="96"/>
        <v>0.88775702251037647</v>
      </c>
      <c r="X113" s="278">
        <f t="shared" si="97"/>
        <v>0</v>
      </c>
      <c r="Y113" s="278">
        <f t="shared" si="98"/>
        <v>0</v>
      </c>
      <c r="Z113" s="278">
        <f t="shared" si="99"/>
        <v>0</v>
      </c>
      <c r="AA113" s="278">
        <f t="shared" si="100"/>
        <v>0</v>
      </c>
      <c r="AB113" s="278">
        <f t="shared" si="101"/>
        <v>0</v>
      </c>
    </row>
    <row r="114" spans="2:28" ht="14.4">
      <c r="B114" s="1619"/>
      <c r="C114" s="594" t="s">
        <v>1586</v>
      </c>
      <c r="D114" s="602">
        <f t="shared" si="102"/>
        <v>0</v>
      </c>
      <c r="E114" s="602">
        <f t="shared" si="91"/>
        <v>0</v>
      </c>
      <c r="F114" s="602">
        <f>(1+INDEX('T&amp;D Loss Factors'!$B$28:$AD$37,MATCH(F$108,'T&amp;D Loss Factors'!$B$28:$B$37,0),MATCH($C$2,'T&amp;D Loss Factors'!$B$28:$AD$28,0)))*F78</f>
        <v>0</v>
      </c>
      <c r="G114" s="602">
        <f>(1+INDEX('T&amp;D Loss Factors'!$B$28:$AD$37,MATCH(G$108,'T&amp;D Loss Factors'!$B$28:$B$37,0),MATCH($C$2,'T&amp;D Loss Factors'!$B$28:$AD$28,0)))*G78</f>
        <v>0</v>
      </c>
      <c r="H114" s="602">
        <f>(1+INDEX('T&amp;D Loss Factors'!$B$28:$AD$37,MATCH(H$108,'T&amp;D Loss Factors'!$B$28:$B$37,0),MATCH($C$2,'T&amp;D Loss Factors'!$B$28:$AD$28,0)))*H78</f>
        <v>0</v>
      </c>
      <c r="I114" s="602">
        <f>(1+INDEX('T&amp;D Loss Factors'!$B$28:$AD$37,MATCH(I$108,'T&amp;D Loss Factors'!$B$28:$B$37,0),MATCH($C$2,'T&amp;D Loss Factors'!$B$28:$AD$28,0)))*I78</f>
        <v>0</v>
      </c>
      <c r="J114" s="602">
        <f>(1+INDEX('T&amp;D Loss Factors'!$B$28:$AD$37,MATCH(J$108,'T&amp;D Loss Factors'!$B$28:$B$37,0),MATCH($C$2,'T&amp;D Loss Factors'!$B$28:$AD$28,0)))*J78</f>
        <v>0</v>
      </c>
      <c r="K114" s="602">
        <f>(1+INDEX('T&amp;D Loss Factors'!$B$28:$AD$37,MATCH(K$108,'T&amp;D Loss Factors'!$B$28:$B$37,0),MATCH($C$2,'T&amp;D Loss Factors'!$B$28:$AD$28,0)))*K78</f>
        <v>0</v>
      </c>
      <c r="L114" s="602">
        <f>(1+INDEX('T&amp;D Loss Factors'!$B$28:$AD$37,MATCH(L$108,'T&amp;D Loss Factors'!$B$28:$B$37,0),MATCH($C$2,'T&amp;D Loss Factors'!$B$28:$AD$28,0)))*L78</f>
        <v>0</v>
      </c>
      <c r="M114" s="602">
        <f>(1+INDEX('T&amp;D Loss Factors'!$B$28:$AD$37,MATCH(M$108,'T&amp;D Loss Factors'!$B$28:$B$37,0),MATCH($C$2,'T&amp;D Loss Factors'!$B$28:$AD$28,0)))*M78</f>
        <v>0</v>
      </c>
      <c r="N114" s="602">
        <f>(1+INDEX('T&amp;D Loss Factors'!$B$28:$AD$37,MATCH(N$108,'T&amp;D Loss Factors'!$B$28:$B$37,0),MATCH($C$2,'T&amp;D Loss Factors'!$B$28:$AD$28,0)))*N78</f>
        <v>0</v>
      </c>
      <c r="P114" s="1619"/>
      <c r="Q114" s="594" t="s">
        <v>1586</v>
      </c>
      <c r="R114" s="1285">
        <f t="shared" si="103"/>
        <v>0</v>
      </c>
      <c r="S114" s="278">
        <f t="shared" si="92"/>
        <v>0</v>
      </c>
      <c r="T114" s="278">
        <f t="shared" si="93"/>
        <v>0</v>
      </c>
      <c r="U114" s="278">
        <f t="shared" si="94"/>
        <v>0</v>
      </c>
      <c r="V114" s="278">
        <f t="shared" si="95"/>
        <v>0</v>
      </c>
      <c r="W114" s="278">
        <f t="shared" si="96"/>
        <v>0</v>
      </c>
      <c r="X114" s="278">
        <f t="shared" si="97"/>
        <v>0</v>
      </c>
      <c r="Y114" s="278">
        <f t="shared" si="98"/>
        <v>0</v>
      </c>
      <c r="Z114" s="278">
        <f t="shared" si="99"/>
        <v>0</v>
      </c>
      <c r="AA114" s="278">
        <f t="shared" si="100"/>
        <v>0</v>
      </c>
      <c r="AB114" s="278">
        <f t="shared" si="101"/>
        <v>0</v>
      </c>
    </row>
    <row r="115" spans="2:28" ht="14.4">
      <c r="B115" s="1619"/>
      <c r="C115" s="594" t="s">
        <v>1587</v>
      </c>
      <c r="D115" s="602">
        <f t="shared" si="102"/>
        <v>3747.5728600000007</v>
      </c>
      <c r="E115" s="602">
        <f t="shared" si="91"/>
        <v>0</v>
      </c>
      <c r="F115" s="602">
        <f>(1+INDEX('T&amp;D Loss Factors'!$B$28:$AD$37,MATCH(F$108,'T&amp;D Loss Factors'!$B$28:$B$37,0),MATCH($C$2,'T&amp;D Loss Factors'!$B$28:$AD$28,0)))*F79</f>
        <v>0</v>
      </c>
      <c r="G115" s="602">
        <f>(1+INDEX('T&amp;D Loss Factors'!$B$28:$AD$37,MATCH(G$108,'T&amp;D Loss Factors'!$B$28:$B$37,0),MATCH($C$2,'T&amp;D Loss Factors'!$B$28:$AD$28,0)))*G79</f>
        <v>0</v>
      </c>
      <c r="H115" s="602">
        <f>(1+INDEX('T&amp;D Loss Factors'!$B$28:$AD$37,MATCH(H$108,'T&amp;D Loss Factors'!$B$28:$B$37,0),MATCH($C$2,'T&amp;D Loss Factors'!$B$28:$AD$28,0)))*H79</f>
        <v>0</v>
      </c>
      <c r="I115" s="602">
        <f>(1+INDEX('T&amp;D Loss Factors'!$B$28:$AD$37,MATCH(I$108,'T&amp;D Loss Factors'!$B$28:$B$37,0),MATCH($C$2,'T&amp;D Loss Factors'!$B$28:$AD$28,0)))*I79</f>
        <v>17.757299999999997</v>
      </c>
      <c r="J115" s="602">
        <f>(1+INDEX('T&amp;D Loss Factors'!$B$28:$AD$37,MATCH(J$108,'T&amp;D Loss Factors'!$B$28:$B$37,0),MATCH($C$2,'T&amp;D Loss Factors'!$B$28:$AD$28,0)))*J79</f>
        <v>0</v>
      </c>
      <c r="K115" s="602">
        <f>(1+INDEX('T&amp;D Loss Factors'!$B$28:$AD$37,MATCH(K$108,'T&amp;D Loss Factors'!$B$28:$B$37,0),MATCH($C$2,'T&amp;D Loss Factors'!$B$28:$AD$28,0)))*K79</f>
        <v>2105.3622</v>
      </c>
      <c r="L115" s="602">
        <f>(1+INDEX('T&amp;D Loss Factors'!$B$28:$AD$37,MATCH(L$108,'T&amp;D Loss Factors'!$B$28:$B$37,0),MATCH($C$2,'T&amp;D Loss Factors'!$B$28:$AD$28,0)))*L79</f>
        <v>819.55016000000023</v>
      </c>
      <c r="M115" s="602">
        <f>(1+INDEX('T&amp;D Loss Factors'!$B$28:$AD$37,MATCH(M$108,'T&amp;D Loss Factors'!$B$28:$B$37,0),MATCH($C$2,'T&amp;D Loss Factors'!$B$28:$AD$28,0)))*M79</f>
        <v>39.164400000000001</v>
      </c>
      <c r="N115" s="602">
        <f>(1+INDEX('T&amp;D Loss Factors'!$B$28:$AD$37,MATCH(N$108,'T&amp;D Loss Factors'!$B$28:$B$37,0),MATCH($C$2,'T&amp;D Loss Factors'!$B$28:$AD$28,0)))*N79</f>
        <v>765.73880000000008</v>
      </c>
      <c r="P115" s="1619"/>
      <c r="Q115" s="594" t="s">
        <v>1587</v>
      </c>
      <c r="R115" s="1285">
        <f t="shared" si="103"/>
        <v>0.10869241776303745</v>
      </c>
      <c r="S115" s="278">
        <f t="shared" si="92"/>
        <v>0</v>
      </c>
      <c r="T115" s="278">
        <f t="shared" si="93"/>
        <v>0</v>
      </c>
      <c r="U115" s="278">
        <f t="shared" si="94"/>
        <v>0</v>
      </c>
      <c r="V115" s="278">
        <f t="shared" si="95"/>
        <v>0</v>
      </c>
      <c r="W115" s="278">
        <f t="shared" si="96"/>
        <v>0.0017414673144336328</v>
      </c>
      <c r="X115" s="278">
        <f t="shared" si="97"/>
        <v>0</v>
      </c>
      <c r="Y115" s="278">
        <f t="shared" si="98"/>
        <v>0.19201483573370332</v>
      </c>
      <c r="Z115" s="278">
        <f t="shared" si="99"/>
        <v>0.42069595409822447</v>
      </c>
      <c r="AA115" s="278">
        <f t="shared" si="100"/>
        <v>0.033519139627507633</v>
      </c>
      <c r="AB115" s="278">
        <f t="shared" si="101"/>
        <v>0.86069932932654369</v>
      </c>
    </row>
    <row r="116" spans="2:28" ht="14.4">
      <c r="B116" s="1620"/>
      <c r="C116" s="608" t="s">
        <v>131</v>
      </c>
      <c r="D116" s="429">
        <f t="shared" si="104" ref="D116:N116">SUM(D109:D115)</f>
        <v>34478.696280086071</v>
      </c>
      <c r="E116" s="429">
        <f t="shared" si="104"/>
        <v>4973.3018948240633</v>
      </c>
      <c r="F116" s="429">
        <f t="shared" si="104"/>
        <v>611.93828408817603</v>
      </c>
      <c r="G116" s="429">
        <f t="shared" si="104"/>
        <v>604.94454247671774</v>
      </c>
      <c r="H116" s="429">
        <f t="shared" si="104"/>
        <v>2087.2647397206556</v>
      </c>
      <c r="I116" s="429">
        <f t="shared" si="104"/>
        <v>10196.746073167098</v>
      </c>
      <c r="J116" s="429">
        <f t="shared" si="104"/>
        <v>1033.7484714923562</v>
      </c>
      <c r="K116" s="429">
        <f t="shared" si="104"/>
        <v>10964.580897904325</v>
      </c>
      <c r="L116" s="429">
        <f t="shared" si="104"/>
        <v>1948.081867715445</v>
      </c>
      <c r="M116" s="429">
        <f t="shared" si="104"/>
        <v>1168.4190118012325</v>
      </c>
      <c r="N116" s="429">
        <f t="shared" si="104"/>
        <v>889.67049689600003</v>
      </c>
      <c r="P116" s="1620"/>
      <c r="Q116" s="610" t="s">
        <v>131</v>
      </c>
      <c r="R116" s="535">
        <f t="shared" si="105" ref="R116:AB116">SUM(R109:R115)</f>
        <v>1.0000000000000002</v>
      </c>
      <c r="S116" s="535">
        <f t="shared" si="105"/>
        <v>1</v>
      </c>
      <c r="T116" s="535">
        <f t="shared" si="105"/>
        <v>1</v>
      </c>
      <c r="U116" s="535">
        <f t="shared" si="105"/>
        <v>1</v>
      </c>
      <c r="V116" s="535">
        <f t="shared" si="105"/>
        <v>1</v>
      </c>
      <c r="W116" s="535">
        <f t="shared" si="105"/>
        <v>1.0000000000000002</v>
      </c>
      <c r="X116" s="535">
        <f t="shared" si="105"/>
        <v>1</v>
      </c>
      <c r="Y116" s="535">
        <f t="shared" si="105"/>
        <v>1</v>
      </c>
      <c r="Z116" s="535">
        <f t="shared" si="105"/>
        <v>1</v>
      </c>
      <c r="AA116" s="535">
        <f t="shared" si="105"/>
        <v>1</v>
      </c>
      <c r="AB116" s="535">
        <f t="shared" si="105"/>
        <v>1</v>
      </c>
    </row>
    <row r="117" spans="4:28" ht="14.4">
      <c r="D117" s="605" t="str">
        <f>IF(D116=D47,"OK","CHECK")</f>
        <v>OK</v>
      </c>
      <c r="E117" s="459" t="str">
        <f t="shared" si="106" ref="E117:N117">IF(E116=E47,"OK","CHECK")</f>
        <v>OK</v>
      </c>
      <c r="F117" s="459" t="str">
        <f t="shared" si="106"/>
        <v>OK</v>
      </c>
      <c r="G117" s="459" t="str">
        <f t="shared" si="106"/>
        <v>OK</v>
      </c>
      <c r="H117" s="459" t="str">
        <f t="shared" si="106"/>
        <v>OK</v>
      </c>
      <c r="I117" s="459" t="str">
        <f t="shared" si="106"/>
        <v>OK</v>
      </c>
      <c r="J117" s="459" t="str">
        <f t="shared" si="106"/>
        <v>OK</v>
      </c>
      <c r="K117" s="459" t="str">
        <f t="shared" si="106"/>
        <v>OK</v>
      </c>
      <c r="L117" s="459" t="str">
        <f t="shared" si="106"/>
        <v>OK</v>
      </c>
      <c r="M117" s="459" t="str">
        <f t="shared" si="106"/>
        <v>OK</v>
      </c>
      <c r="N117" s="459" t="str">
        <f t="shared" si="106"/>
        <v>OK</v>
      </c>
      <c r="R117" s="605" t="str">
        <f t="shared" si="107" ref="R117:AB117">IF(R116=R47,"OK","CHECK")</f>
        <v>OK</v>
      </c>
      <c r="S117" s="459" t="str">
        <f t="shared" si="107"/>
        <v>OK</v>
      </c>
      <c r="T117" s="459" t="str">
        <f t="shared" si="107"/>
        <v>OK</v>
      </c>
      <c r="U117" s="459" t="str">
        <f t="shared" si="107"/>
        <v>OK</v>
      </c>
      <c r="V117" s="459" t="str">
        <f t="shared" si="107"/>
        <v>OK</v>
      </c>
      <c r="W117" s="459" t="str">
        <f t="shared" si="107"/>
        <v>OK</v>
      </c>
      <c r="X117" s="459" t="str">
        <f t="shared" si="107"/>
        <v>OK</v>
      </c>
      <c r="Y117" s="459" t="str">
        <f t="shared" si="107"/>
        <v>OK</v>
      </c>
      <c r="Z117" s="459" t="str">
        <f t="shared" si="107"/>
        <v>OK</v>
      </c>
      <c r="AA117" s="459" t="str">
        <f t="shared" si="107"/>
        <v>OK</v>
      </c>
      <c r="AB117" s="459" t="str">
        <f t="shared" si="107"/>
        <v>OK</v>
      </c>
    </row>
    <row r="118" spans="2:16" ht="14.4">
      <c r="B118" s="1283" t="s">
        <v>1455</v>
      </c>
      <c r="P118" s="514" t="s">
        <v>1589</v>
      </c>
    </row>
    <row r="119" spans="2:28" ht="15.6" customHeight="1">
      <c r="B119" s="1618" t="s">
        <v>902</v>
      </c>
      <c r="C119" s="1621" t="s">
        <v>1588</v>
      </c>
      <c r="D119" s="1615" t="s">
        <v>887</v>
      </c>
      <c r="E119" s="1615"/>
      <c r="F119" s="1615"/>
      <c r="G119" s="1615"/>
      <c r="H119" s="1615"/>
      <c r="I119" s="1615"/>
      <c r="J119" s="1615"/>
      <c r="K119" s="1615"/>
      <c r="L119" s="1615"/>
      <c r="M119" s="1615"/>
      <c r="N119" s="1615"/>
      <c r="P119" s="1618" t="str">
        <f>"% "&amp;B119</f>
        <v>% Total Annual kW</v>
      </c>
      <c r="Q119" s="1617" t="s">
        <v>1588</v>
      </c>
      <c r="R119" s="1615" t="s">
        <v>887</v>
      </c>
      <c r="S119" s="1615"/>
      <c r="T119" s="1615"/>
      <c r="U119" s="1615"/>
      <c r="V119" s="1615"/>
      <c r="W119" s="1615"/>
      <c r="X119" s="1615"/>
      <c r="Y119" s="1615"/>
      <c r="Z119" s="1615"/>
      <c r="AA119" s="1615"/>
      <c r="AB119" s="1615"/>
    </row>
    <row r="120" spans="2:28" ht="14.4">
      <c r="B120" s="1619"/>
      <c r="C120" s="1622"/>
      <c r="D120" s="608" t="s">
        <v>889</v>
      </c>
      <c r="E120" s="608" t="s">
        <v>1580</v>
      </c>
      <c r="F120" s="608" t="s">
        <v>892</v>
      </c>
      <c r="G120" s="608" t="s">
        <v>893</v>
      </c>
      <c r="H120" s="608" t="s">
        <v>890</v>
      </c>
      <c r="I120" s="608" t="s">
        <v>891</v>
      </c>
      <c r="J120" s="608" t="s">
        <v>894</v>
      </c>
      <c r="K120" s="608" t="s">
        <v>895</v>
      </c>
      <c r="L120" s="608" t="s">
        <v>896</v>
      </c>
      <c r="M120" s="608" t="s">
        <v>897</v>
      </c>
      <c r="N120" s="608" t="s">
        <v>898</v>
      </c>
      <c r="P120" s="1619"/>
      <c r="Q120" s="1617"/>
      <c r="R120" s="608" t="s">
        <v>889</v>
      </c>
      <c r="S120" s="608" t="s">
        <v>1580</v>
      </c>
      <c r="T120" s="608" t="s">
        <v>892</v>
      </c>
      <c r="U120" s="608" t="s">
        <v>893</v>
      </c>
      <c r="V120" s="608" t="s">
        <v>890</v>
      </c>
      <c r="W120" s="608" t="s">
        <v>891</v>
      </c>
      <c r="X120" s="608" t="s">
        <v>894</v>
      </c>
      <c r="Y120" s="608" t="s">
        <v>895</v>
      </c>
      <c r="Z120" s="608" t="s">
        <v>896</v>
      </c>
      <c r="AA120" s="608" t="s">
        <v>897</v>
      </c>
      <c r="AB120" s="608" t="s">
        <v>898</v>
      </c>
    </row>
    <row r="121" spans="2:28" ht="14.4">
      <c r="B121" s="1619"/>
      <c r="C121" s="594" t="s">
        <v>1581</v>
      </c>
      <c r="D121" s="602">
        <f>SUM(E121:N121)</f>
        <v>201.01747396448957</v>
      </c>
      <c r="E121" s="602">
        <f>E85</f>
        <v>0</v>
      </c>
      <c r="F121" s="602">
        <f>(1+INDEX('T&amp;D Loss Factors'!$B$28:$AD$37,MATCH(F$120,'T&amp;D Loss Factors'!$B$28:$B$37,0),MATCH($C$2,'T&amp;D Loss Factors'!$B$28:$AD$28,0)))*F85</f>
        <v>0</v>
      </c>
      <c r="G121" s="602">
        <f>(1+INDEX('T&amp;D Loss Factors'!$B$28:$AD$37,MATCH(G$120,'T&amp;D Loss Factors'!$B$28:$B$37,0),MATCH($C$2,'T&amp;D Loss Factors'!$B$28:$AD$28,0)))*G85</f>
        <v>6.3437068326941013</v>
      </c>
      <c r="H121" s="602">
        <f>(1+INDEX('T&amp;D Loss Factors'!$B$28:$AD$37,MATCH(H$120,'T&amp;D Loss Factors'!$B$28:$B$37,0),MATCH($C$2,'T&amp;D Loss Factors'!$B$28:$AD$28,0)))*H85</f>
        <v>72.753691698698077</v>
      </c>
      <c r="I121" s="602">
        <f>(1+INDEX('T&amp;D Loss Factors'!$B$28:$AD$37,MATCH(I$120,'T&amp;D Loss Factors'!$B$28:$B$37,0),MATCH($C$2,'T&amp;D Loss Factors'!$B$28:$AD$28,0)))*I85</f>
        <v>0</v>
      </c>
      <c r="J121" s="602">
        <f>(1+INDEX('T&amp;D Loss Factors'!$B$28:$AD$37,MATCH(J$120,'T&amp;D Loss Factors'!$B$28:$B$37,0),MATCH($C$2,'T&amp;D Loss Factors'!$B$28:$AD$28,0)))*J85</f>
        <v>20.268752567143689</v>
      </c>
      <c r="K121" s="602">
        <f>(1+INDEX('T&amp;D Loss Factors'!$B$28:$AD$37,MATCH(K$120,'T&amp;D Loss Factors'!$B$28:$B$37,0),MATCH($C$2,'T&amp;D Loss Factors'!$B$28:$AD$28,0)))*K85</f>
        <v>100.93064622564239</v>
      </c>
      <c r="L121" s="602">
        <f>(1+INDEX('T&amp;D Loss Factors'!$B$28:$AD$37,MATCH(L$120,'T&amp;D Loss Factors'!$B$28:$B$37,0),MATCH($C$2,'T&amp;D Loss Factors'!$B$28:$AD$28,0)))*L85</f>
        <v>0.72067664031128409</v>
      </c>
      <c r="M121" s="602">
        <f>(1+INDEX('T&amp;D Loss Factors'!$B$28:$AD$37,MATCH(M$120,'T&amp;D Loss Factors'!$B$28:$B$37,0),MATCH($C$2,'T&amp;D Loss Factors'!$B$28:$AD$28,0)))*M85</f>
        <v>0</v>
      </c>
      <c r="N121" s="602">
        <f>(1+INDEX('T&amp;D Loss Factors'!$B$28:$AD$37,MATCH(N$120,'T&amp;D Loss Factors'!$B$28:$B$37,0),MATCH($C$2,'T&amp;D Loss Factors'!$B$28:$AD$28,0)))*N85</f>
        <v>0</v>
      </c>
      <c r="P121" s="1619"/>
      <c r="Q121" s="594" t="s">
        <v>1581</v>
      </c>
      <c r="R121" s="1285">
        <f>D121/D$128</f>
        <v>0.0023641802106965028</v>
      </c>
      <c r="S121" s="278">
        <f t="shared" si="108" ref="S121:S127">E121/E$128</f>
        <v>0</v>
      </c>
      <c r="T121" s="278">
        <f t="shared" si="109" ref="T121:T127">F121/F$128</f>
        <v>0</v>
      </c>
      <c r="U121" s="278">
        <f t="shared" si="110" ref="U121:U127">G121/G$128</f>
        <v>0.89950575830613677</v>
      </c>
      <c r="V121" s="278">
        <f t="shared" si="111" ref="V121:V127">H121/H$128</f>
        <v>0.99038313125939936</v>
      </c>
      <c r="W121" s="278">
        <f t="shared" si="112" ref="W121:W127">I121/I$128</f>
        <v>0</v>
      </c>
      <c r="X121" s="278">
        <f t="shared" si="113" ref="X121:X127">J121/J$128</f>
        <v>0.014996176269148339</v>
      </c>
      <c r="Y121" s="278">
        <f t="shared" si="114" ref="Y121:Y127">K121/K$128</f>
        <v>0.0029563810764566931</v>
      </c>
      <c r="Z121" s="278">
        <f t="shared" si="115" ref="Z121:Z127">L121/L$128</f>
        <v>3.7801166301269982E-05</v>
      </c>
      <c r="AA121" s="278">
        <f t="shared" si="116" ref="AA121:AA127">M121/M$128</f>
        <v>0</v>
      </c>
      <c r="AB121" s="278">
        <f t="shared" si="117" ref="AB121:AB127">N121/N$128</f>
        <v>0</v>
      </c>
    </row>
    <row r="122" spans="2:28" ht="14.4">
      <c r="B122" s="1619"/>
      <c r="C122" s="594" t="s">
        <v>1582</v>
      </c>
      <c r="D122" s="602">
        <f t="shared" si="118" ref="D122:D127">SUM(E122:N122)</f>
        <v>33.264953653389114</v>
      </c>
      <c r="E122" s="602">
        <f t="shared" si="119" ref="E122:E127">E86</f>
        <v>0</v>
      </c>
      <c r="F122" s="602">
        <f>(1+INDEX('T&amp;D Loss Factors'!$B$28:$AD$37,MATCH(F$120,'T&amp;D Loss Factors'!$B$28:$B$37,0),MATCH($C$2,'T&amp;D Loss Factors'!$B$28:$AD$28,0)))*F86</f>
        <v>0.69535328778210115</v>
      </c>
      <c r="G122" s="602">
        <f>(1+INDEX('T&amp;D Loss Factors'!$B$28:$AD$37,MATCH(G$120,'T&amp;D Loss Factors'!$B$28:$B$37,0),MATCH($C$2,'T&amp;D Loss Factors'!$B$28:$AD$28,0)))*G86</f>
        <v>0.70872921245136178</v>
      </c>
      <c r="H122" s="602">
        <f>(1+INDEX('T&amp;D Loss Factors'!$B$28:$AD$37,MATCH(H$120,'T&amp;D Loss Factors'!$B$28:$B$37,0),MATCH($C$2,'T&amp;D Loss Factors'!$B$28:$AD$28,0)))*H86</f>
        <v>0.70645660389105058</v>
      </c>
      <c r="I122" s="602">
        <f>(1+INDEX('T&amp;D Loss Factors'!$B$28:$AD$37,MATCH(I$120,'T&amp;D Loss Factors'!$B$28:$B$37,0),MATCH($C$2,'T&amp;D Loss Factors'!$B$28:$AD$28,0)))*I86</f>
        <v>0.6987946664591439</v>
      </c>
      <c r="J122" s="602">
        <f>(1+INDEX('T&amp;D Loss Factors'!$B$28:$AD$37,MATCH(J$120,'T&amp;D Loss Factors'!$B$28:$B$37,0),MATCH($C$2,'T&amp;D Loss Factors'!$B$28:$AD$28,0)))*J86</f>
        <v>5.5510736694163425</v>
      </c>
      <c r="K122" s="602">
        <f>(1+INDEX('T&amp;D Loss Factors'!$B$28:$AD$37,MATCH(K$120,'T&amp;D Loss Factors'!$B$28:$B$37,0),MATCH($C$2,'T&amp;D Loss Factors'!$B$28:$AD$28,0)))*K86</f>
        <v>20.920985089494167</v>
      </c>
      <c r="L122" s="602">
        <f>(1+INDEX('T&amp;D Loss Factors'!$B$28:$AD$37,MATCH(L$120,'T&amp;D Loss Factors'!$B$28:$B$37,0),MATCH($C$2,'T&amp;D Loss Factors'!$B$28:$AD$28,0)))*L86</f>
        <v>0</v>
      </c>
      <c r="M122" s="602">
        <f>(1+INDEX('T&amp;D Loss Factors'!$B$28:$AD$37,MATCH(M$120,'T&amp;D Loss Factors'!$B$28:$B$37,0),MATCH($C$2,'T&amp;D Loss Factors'!$B$28:$AD$28,0)))*M86</f>
        <v>3.2641181853735417</v>
      </c>
      <c r="N122" s="602">
        <f>(1+INDEX('T&amp;D Loss Factors'!$B$28:$AD$37,MATCH(N$120,'T&amp;D Loss Factors'!$B$28:$B$37,0),MATCH($C$2,'T&amp;D Loss Factors'!$B$28:$AD$28,0)))*N86</f>
        <v>0.71944293852140084</v>
      </c>
      <c r="P122" s="1619"/>
      <c r="Q122" s="594" t="s">
        <v>1582</v>
      </c>
      <c r="R122" s="1285">
        <f t="shared" si="120" ref="R122:R127">D122/D$128</f>
        <v>0.0003912313869339124</v>
      </c>
      <c r="S122" s="278">
        <f t="shared" si="108"/>
        <v>0</v>
      </c>
      <c r="T122" s="278">
        <f t="shared" si="109"/>
        <v>0.00014559319696182756</v>
      </c>
      <c r="U122" s="278">
        <f t="shared" si="110"/>
        <v>0.10049424169386333</v>
      </c>
      <c r="V122" s="278">
        <f t="shared" si="111"/>
        <v>0.0096168687406005589</v>
      </c>
      <c r="W122" s="278">
        <f t="shared" si="112"/>
        <v>3.7025839746860981E-05</v>
      </c>
      <c r="X122" s="278">
        <f t="shared" si="113"/>
        <v>0.0041070548843019682</v>
      </c>
      <c r="Y122" s="278">
        <f t="shared" si="114"/>
        <v>0.00061280103449589827</v>
      </c>
      <c r="Z122" s="278">
        <f t="shared" si="115"/>
        <v>0</v>
      </c>
      <c r="AA122" s="278">
        <f t="shared" si="116"/>
        <v>0.00048537389963933849</v>
      </c>
      <c r="AB122" s="278">
        <f t="shared" si="117"/>
        <v>1</v>
      </c>
    </row>
    <row r="123" spans="2:28" ht="14.4">
      <c r="B123" s="1619"/>
      <c r="C123" s="594" t="s">
        <v>1583</v>
      </c>
      <c r="D123" s="602">
        <f t="shared" si="118"/>
        <v>18258</v>
      </c>
      <c r="E123" s="602">
        <f t="shared" si="119"/>
        <v>0</v>
      </c>
      <c r="F123" s="602">
        <f>(1+INDEX('T&amp;D Loss Factors'!$B$28:$AD$37,MATCH(F$120,'T&amp;D Loss Factors'!$B$28:$B$37,0),MATCH($C$2,'T&amp;D Loss Factors'!$B$28:$AD$28,0)))*F87</f>
        <v>0</v>
      </c>
      <c r="G123" s="602">
        <v>0</v>
      </c>
      <c r="H123" s="602">
        <f>(1+INDEX('T&amp;D Loss Factors'!$B$28:$AD$37,MATCH(H$120,'T&amp;D Loss Factors'!$B$28:$B$37,0),MATCH($C$2,'T&amp;D Loss Factors'!$B$28:$AD$28,0)))*H87</f>
        <v>0</v>
      </c>
      <c r="I123" s="602">
        <f>(1+INDEX('T&amp;D Loss Factors'!$B$28:$AD$37,MATCH(I$120,'T&amp;D Loss Factors'!$B$28:$B$37,0),MATCH($C$2,'T&amp;D Loss Factors'!$B$28:$AD$28,0)))*I87</f>
        <v>0</v>
      </c>
      <c r="J123" s="602">
        <f>(1+INDEX('T&amp;D Loss Factors'!$B$28:$AD$37,MATCH(J$120,'T&amp;D Loss Factors'!$B$28:$B$37,0),MATCH($C$2,'T&amp;D Loss Factors'!$B$28:$AD$28,0)))*J87</f>
        <v>0</v>
      </c>
      <c r="K123" s="602">
        <f>(1+INDEX('T&amp;D Loss Factors'!$B$28:$AD$37,MATCH(K$120,'T&amp;D Loss Factors'!$B$28:$B$37,0),MATCH($C$2,'T&amp;D Loss Factors'!$B$28:$AD$28,0)))*K87</f>
        <v>18258</v>
      </c>
      <c r="L123" s="602">
        <f>(1+INDEX('T&amp;D Loss Factors'!$B$28:$AD$37,MATCH(L$120,'T&amp;D Loss Factors'!$B$28:$B$37,0),MATCH($C$2,'T&amp;D Loss Factors'!$B$28:$AD$28,0)))*L87</f>
        <v>0</v>
      </c>
      <c r="M123" s="602">
        <f>(1+INDEX('T&amp;D Loss Factors'!$B$28:$AD$37,MATCH(M$120,'T&amp;D Loss Factors'!$B$28:$B$37,0),MATCH($C$2,'T&amp;D Loss Factors'!$B$28:$AD$28,0)))*M87</f>
        <v>0</v>
      </c>
      <c r="N123" s="602">
        <f>(1+INDEX('T&amp;D Loss Factors'!$B$28:$AD$37,MATCH(N$120,'T&amp;D Loss Factors'!$B$28:$B$37,0),MATCH($C$2,'T&amp;D Loss Factors'!$B$28:$AD$28,0)))*N87</f>
        <v>0</v>
      </c>
      <c r="P123" s="1619"/>
      <c r="Q123" s="594" t="s">
        <v>1583</v>
      </c>
      <c r="R123" s="1285">
        <f t="shared" si="120"/>
        <v>0.21473358228808523</v>
      </c>
      <c r="S123" s="278">
        <f t="shared" si="108"/>
        <v>0</v>
      </c>
      <c r="T123" s="278">
        <f t="shared" si="109"/>
        <v>0</v>
      </c>
      <c r="U123" s="278">
        <f t="shared" si="110"/>
        <v>0</v>
      </c>
      <c r="V123" s="278">
        <f t="shared" si="111"/>
        <v>0</v>
      </c>
      <c r="W123" s="278">
        <f t="shared" si="112"/>
        <v>0</v>
      </c>
      <c r="X123" s="278">
        <f t="shared" si="113"/>
        <v>0</v>
      </c>
      <c r="Y123" s="278">
        <f t="shared" si="114"/>
        <v>0.53479897050567748</v>
      </c>
      <c r="Z123" s="278">
        <f t="shared" si="115"/>
        <v>0</v>
      </c>
      <c r="AA123" s="278">
        <f t="shared" si="116"/>
        <v>0</v>
      </c>
      <c r="AB123" s="278">
        <f t="shared" si="117"/>
        <v>0</v>
      </c>
    </row>
    <row r="124" spans="2:28" ht="14.4">
      <c r="B124" s="1619"/>
      <c r="C124" s="594" t="s">
        <v>1776</v>
      </c>
      <c r="D124" s="602">
        <f t="shared" si="118"/>
        <v>66298.245475611504</v>
      </c>
      <c r="E124" s="602">
        <f t="shared" si="119"/>
        <v>14.482342073599998</v>
      </c>
      <c r="F124" s="602">
        <f>(1+INDEX('T&amp;D Loss Factors'!$B$28:$AD$37,MATCH(F$120,'T&amp;D Loss Factors'!$B$28:$B$37,0),MATCH($C$2,'T&amp;D Loss Factors'!$B$28:$AD$28,0)))*F88</f>
        <v>4775.3058768000001</v>
      </c>
      <c r="G124" s="602">
        <f>(1+INDEX('T&amp;D Loss Factors'!$B$28:$AD$37,MATCH(G$120,'T&amp;D Loss Factors'!$B$28:$B$37,0),MATCH($C$2,'T&amp;D Loss Factors'!$B$28:$AD$28,0)))*G88</f>
        <v>0</v>
      </c>
      <c r="H124" s="602">
        <f>(1+INDEX('T&amp;D Loss Factors'!$B$28:$AD$37,MATCH(H$120,'T&amp;D Loss Factors'!$B$28:$B$37,0),MATCH($C$2,'T&amp;D Loss Factors'!$B$28:$AD$28,0)))*H88</f>
        <v>0</v>
      </c>
      <c r="I124" s="602">
        <f>(1+INDEX('T&amp;D Loss Factors'!$B$28:$AD$37,MATCH(I$120,'T&amp;D Loss Factors'!$B$28:$B$37,0),MATCH($C$2,'T&amp;D Loss Factors'!$B$28:$AD$28,0)))*I88</f>
        <v>18636.700222839241</v>
      </c>
      <c r="J124" s="602">
        <f>(1+INDEX('T&amp;D Loss Factors'!$B$28:$AD$37,MATCH(J$120,'T&amp;D Loss Factors'!$B$28:$B$37,0),MATCH($C$2,'T&amp;D Loss Factors'!$B$28:$AD$28,0)))*J88</f>
        <v>1325.7748872</v>
      </c>
      <c r="K124" s="602">
        <f>(1+INDEX('T&amp;D Loss Factors'!$B$28:$AD$37,MATCH(K$120,'T&amp;D Loss Factors'!$B$28:$B$37,0),MATCH($C$2,'T&amp;D Loss Factors'!$B$28:$AD$28,0)))*K88</f>
        <v>15760.079458560002</v>
      </c>
      <c r="L124" s="602">
        <f>(1+INDEX('T&amp;D Loss Factors'!$B$28:$AD$37,MATCH(L$120,'T&amp;D Loss Factors'!$B$28:$B$37,0),MATCH($C$2,'T&amp;D Loss Factors'!$B$28:$AD$28,0)))*L88</f>
        <v>19064.210668800002</v>
      </c>
      <c r="M124" s="602">
        <f>(1+INDEX('T&amp;D Loss Factors'!$B$28:$AD$37,MATCH(M$120,'T&amp;D Loss Factors'!$B$28:$B$37,0),MATCH($C$2,'T&amp;D Loss Factors'!$B$28:$AD$28,0)))*M88</f>
        <v>6721.6920193386559</v>
      </c>
      <c r="N124" s="602">
        <f>(1+INDEX('T&amp;D Loss Factors'!$B$28:$AD$37,MATCH(N$120,'T&amp;D Loss Factors'!$B$28:$B$37,0),MATCH($C$2,'T&amp;D Loss Factors'!$B$28:$AD$28,0)))*N88</f>
        <v>0</v>
      </c>
      <c r="P124" s="1619"/>
      <c r="Q124" s="594" t="s">
        <v>1584</v>
      </c>
      <c r="R124" s="1285">
        <f t="shared" si="120"/>
        <v>0.77973818328365074</v>
      </c>
      <c r="S124" s="278">
        <f t="shared" si="108"/>
        <v>1</v>
      </c>
      <c r="T124" s="278">
        <f t="shared" si="109"/>
        <v>0.99985440680303816</v>
      </c>
      <c r="U124" s="278">
        <f t="shared" si="110"/>
        <v>0</v>
      </c>
      <c r="V124" s="278">
        <f t="shared" si="111"/>
        <v>0</v>
      </c>
      <c r="W124" s="278">
        <f t="shared" si="112"/>
        <v>0.9874710111306757</v>
      </c>
      <c r="X124" s="278">
        <f t="shared" si="113"/>
        <v>0.98089676884654975</v>
      </c>
      <c r="Y124" s="278">
        <f t="shared" si="114"/>
        <v>0.46163184738336971</v>
      </c>
      <c r="Z124" s="278">
        <f t="shared" si="115"/>
        <v>0.99996219883369875</v>
      </c>
      <c r="AA124" s="278">
        <f t="shared" si="116"/>
        <v>0.99951462610036068</v>
      </c>
      <c r="AB124" s="278">
        <f t="shared" si="117"/>
        <v>0</v>
      </c>
    </row>
    <row r="125" spans="2:28" ht="14.4">
      <c r="B125" s="1619"/>
      <c r="C125" s="594" t="s">
        <v>1585</v>
      </c>
      <c r="D125" s="602">
        <f t="shared" si="118"/>
        <v>235.76284017740889</v>
      </c>
      <c r="E125" s="602">
        <f t="shared" si="119"/>
        <v>0</v>
      </c>
      <c r="F125" s="602">
        <f>(1+INDEX('T&amp;D Loss Factors'!$B$28:$AD$37,MATCH(F$120,'T&amp;D Loss Factors'!$B$28:$B$37,0),MATCH($C$2,'T&amp;D Loss Factors'!$B$28:$AD$28,0)))*F89</f>
        <v>0</v>
      </c>
      <c r="G125" s="602">
        <f>(1+INDEX('T&amp;D Loss Factors'!$B$28:$AD$37,MATCH(G$120,'T&amp;D Loss Factors'!$B$28:$B$37,0),MATCH($C$2,'T&amp;D Loss Factors'!$B$28:$AD$28,0)))*G89</f>
        <v>0</v>
      </c>
      <c r="H125" s="602">
        <f>(1+INDEX('T&amp;D Loss Factors'!$B$28:$AD$37,MATCH(H$120,'T&amp;D Loss Factors'!$B$28:$B$37,0),MATCH($C$2,'T&amp;D Loss Factors'!$B$28:$AD$28,0)))*H89</f>
        <v>0</v>
      </c>
      <c r="I125" s="602">
        <f>(1+INDEX('T&amp;D Loss Factors'!$B$28:$AD$37,MATCH(I$120,'T&amp;D Loss Factors'!$B$28:$B$37,0),MATCH($C$2,'T&amp;D Loss Factors'!$B$28:$AD$28,0)))*I89</f>
        <v>235.76284017740889</v>
      </c>
      <c r="J125" s="602">
        <f>(1+INDEX('T&amp;D Loss Factors'!$B$28:$AD$37,MATCH(J$120,'T&amp;D Loss Factors'!$B$28:$B$37,0),MATCH($C$2,'T&amp;D Loss Factors'!$B$28:$AD$28,0)))*J89</f>
        <v>0</v>
      </c>
      <c r="K125" s="602">
        <f>(1+INDEX('T&amp;D Loss Factors'!$B$28:$AD$37,MATCH(K$120,'T&amp;D Loss Factors'!$B$28:$B$37,0),MATCH($C$2,'T&amp;D Loss Factors'!$B$28:$AD$28,0)))*K89</f>
        <v>0</v>
      </c>
      <c r="L125" s="602">
        <f>(1+INDEX('T&amp;D Loss Factors'!$B$28:$AD$37,MATCH(L$120,'T&amp;D Loss Factors'!$B$28:$B$37,0),MATCH($C$2,'T&amp;D Loss Factors'!$B$28:$AD$28,0)))*L89</f>
        <v>0</v>
      </c>
      <c r="M125" s="602">
        <f>(1+INDEX('T&amp;D Loss Factors'!$B$28:$AD$37,MATCH(M$120,'T&amp;D Loss Factors'!$B$28:$B$37,0),MATCH($C$2,'T&amp;D Loss Factors'!$B$28:$AD$28,0)))*M89</f>
        <v>0</v>
      </c>
      <c r="N125" s="602">
        <f>(1+INDEX('T&amp;D Loss Factors'!$B$28:$AD$37,MATCH(N$120,'T&amp;D Loss Factors'!$B$28:$B$37,0),MATCH($C$2,'T&amp;D Loss Factors'!$B$28:$AD$28,0)))*N89</f>
        <v>0</v>
      </c>
      <c r="P125" s="1619"/>
      <c r="Q125" s="594" t="s">
        <v>1585</v>
      </c>
      <c r="R125" s="1285">
        <f t="shared" si="120"/>
        <v>0.0027728228306336026</v>
      </c>
      <c r="S125" s="278">
        <f t="shared" si="108"/>
        <v>0</v>
      </c>
      <c r="T125" s="278">
        <f t="shared" si="109"/>
        <v>0</v>
      </c>
      <c r="U125" s="278">
        <f t="shared" si="110"/>
        <v>0</v>
      </c>
      <c r="V125" s="278">
        <f t="shared" si="111"/>
        <v>0</v>
      </c>
      <c r="W125" s="278">
        <f t="shared" si="112"/>
        <v>0.012491963029577462</v>
      </c>
      <c r="X125" s="278">
        <f t="shared" si="113"/>
        <v>0</v>
      </c>
      <c r="Y125" s="278">
        <f t="shared" si="114"/>
        <v>0</v>
      </c>
      <c r="Z125" s="278">
        <f t="shared" si="115"/>
        <v>0</v>
      </c>
      <c r="AA125" s="278">
        <f t="shared" si="116"/>
        <v>0</v>
      </c>
      <c r="AB125" s="278">
        <f t="shared" si="117"/>
        <v>0</v>
      </c>
    </row>
    <row r="126" spans="2:28" ht="14.4">
      <c r="B126" s="1619"/>
      <c r="C126" s="594" t="s">
        <v>1586</v>
      </c>
      <c r="D126" s="602">
        <f t="shared" si="118"/>
        <v>0</v>
      </c>
      <c r="E126" s="602">
        <f t="shared" si="119"/>
        <v>0</v>
      </c>
      <c r="F126" s="602">
        <f>(1+INDEX('T&amp;D Loss Factors'!$B$28:$AD$37,MATCH(F$120,'T&amp;D Loss Factors'!$B$28:$B$37,0),MATCH($C$2,'T&amp;D Loss Factors'!$B$28:$AD$28,0)))*F90</f>
        <v>0</v>
      </c>
      <c r="G126" s="602">
        <f>(1+INDEX('T&amp;D Loss Factors'!$B$28:$AD$37,MATCH(G$120,'T&amp;D Loss Factors'!$B$28:$B$37,0),MATCH($C$2,'T&amp;D Loss Factors'!$B$28:$AD$28,0)))*G90</f>
        <v>0</v>
      </c>
      <c r="H126" s="602">
        <f>(1+INDEX('T&amp;D Loss Factors'!$B$28:$AD$37,MATCH(H$120,'T&amp;D Loss Factors'!$B$28:$B$37,0),MATCH($C$2,'T&amp;D Loss Factors'!$B$28:$AD$28,0)))*H90</f>
        <v>0</v>
      </c>
      <c r="I126" s="602">
        <f>(1+INDEX('T&amp;D Loss Factors'!$B$28:$AD$37,MATCH(I$120,'T&amp;D Loss Factors'!$B$28:$B$37,0),MATCH($C$2,'T&amp;D Loss Factors'!$B$28:$AD$28,0)))*I90</f>
        <v>0</v>
      </c>
      <c r="J126" s="602">
        <f>(1+INDEX('T&amp;D Loss Factors'!$B$28:$AD$37,MATCH(J$120,'T&amp;D Loss Factors'!$B$28:$B$37,0),MATCH($C$2,'T&amp;D Loss Factors'!$B$28:$AD$28,0)))*J90</f>
        <v>0</v>
      </c>
      <c r="K126" s="602">
        <f>(1+INDEX('T&amp;D Loss Factors'!$B$28:$AD$37,MATCH(K$120,'T&amp;D Loss Factors'!$B$28:$B$37,0),MATCH($C$2,'T&amp;D Loss Factors'!$B$28:$AD$28,0)))*K90</f>
        <v>0</v>
      </c>
      <c r="L126" s="602">
        <f>(1+INDEX('T&amp;D Loss Factors'!$B$28:$AD$37,MATCH(L$120,'T&amp;D Loss Factors'!$B$28:$B$37,0),MATCH($C$2,'T&amp;D Loss Factors'!$B$28:$AD$28,0)))*L90</f>
        <v>0</v>
      </c>
      <c r="M126" s="602">
        <f>(1+INDEX('T&amp;D Loss Factors'!$B$28:$AD$37,MATCH(M$120,'T&amp;D Loss Factors'!$B$28:$B$37,0),MATCH($C$2,'T&amp;D Loss Factors'!$B$28:$AD$28,0)))*M90</f>
        <v>0</v>
      </c>
      <c r="N126" s="602">
        <f>(1+INDEX('T&amp;D Loss Factors'!$B$28:$AD$37,MATCH(N$120,'T&amp;D Loss Factors'!$B$28:$B$37,0),MATCH($C$2,'T&amp;D Loss Factors'!$B$28:$AD$28,0)))*N90</f>
        <v>0</v>
      </c>
      <c r="P126" s="1619"/>
      <c r="Q126" s="594" t="s">
        <v>1586</v>
      </c>
      <c r="R126" s="1285">
        <f t="shared" si="120"/>
        <v>0</v>
      </c>
      <c r="S126" s="278">
        <f t="shared" si="108"/>
        <v>0</v>
      </c>
      <c r="T126" s="278">
        <f t="shared" si="109"/>
        <v>0</v>
      </c>
      <c r="U126" s="278">
        <f t="shared" si="110"/>
        <v>0</v>
      </c>
      <c r="V126" s="278">
        <f t="shared" si="111"/>
        <v>0</v>
      </c>
      <c r="W126" s="278">
        <f t="shared" si="112"/>
        <v>0</v>
      </c>
      <c r="X126" s="278">
        <f t="shared" si="113"/>
        <v>0</v>
      </c>
      <c r="Y126" s="278">
        <f t="shared" si="114"/>
        <v>0</v>
      </c>
      <c r="Z126" s="278">
        <f t="shared" si="115"/>
        <v>0</v>
      </c>
      <c r="AA126" s="278">
        <f t="shared" si="116"/>
        <v>0</v>
      </c>
      <c r="AB126" s="278">
        <f t="shared" si="117"/>
        <v>0</v>
      </c>
    </row>
    <row r="127" spans="2:28" ht="14.4">
      <c r="B127" s="1619"/>
      <c r="C127" s="594" t="s">
        <v>1587</v>
      </c>
      <c r="D127" s="602">
        <f t="shared" si="118"/>
        <v>0</v>
      </c>
      <c r="E127" s="602">
        <f t="shared" si="119"/>
        <v>0</v>
      </c>
      <c r="F127" s="602">
        <f>(1+INDEX('T&amp;D Loss Factors'!$B$28:$AD$37,MATCH(F$120,'T&amp;D Loss Factors'!$B$28:$B$37,0),MATCH($C$2,'T&amp;D Loss Factors'!$B$28:$AD$28,0)))*F91</f>
        <v>0</v>
      </c>
      <c r="G127" s="602">
        <f>(1+INDEX('T&amp;D Loss Factors'!$B$28:$AD$37,MATCH(G$120,'T&amp;D Loss Factors'!$B$28:$B$37,0),MATCH($C$2,'T&amp;D Loss Factors'!$B$28:$AD$28,0)))*G91</f>
        <v>0</v>
      </c>
      <c r="H127" s="602">
        <f>(1+INDEX('T&amp;D Loss Factors'!$B$28:$AD$37,MATCH(H$120,'T&amp;D Loss Factors'!$B$28:$B$37,0),MATCH($C$2,'T&amp;D Loss Factors'!$B$28:$AD$28,0)))*H91</f>
        <v>0</v>
      </c>
      <c r="I127" s="602">
        <f>(1+INDEX('T&amp;D Loss Factors'!$B$28:$AD$37,MATCH(I$120,'T&amp;D Loss Factors'!$B$28:$B$37,0),MATCH($C$2,'T&amp;D Loss Factors'!$B$28:$AD$28,0)))*I91</f>
        <v>0</v>
      </c>
      <c r="J127" s="602">
        <f>(1+INDEX('T&amp;D Loss Factors'!$B$28:$AD$37,MATCH(J$120,'T&amp;D Loss Factors'!$B$28:$B$37,0),MATCH($C$2,'T&amp;D Loss Factors'!$B$28:$AD$28,0)))*J91</f>
        <v>0</v>
      </c>
      <c r="K127" s="602">
        <f>(1+INDEX('T&amp;D Loss Factors'!$B$28:$AD$37,MATCH(K$120,'T&amp;D Loss Factors'!$B$28:$B$37,0),MATCH($C$2,'T&amp;D Loss Factors'!$B$28:$AD$28,0)))*K91</f>
        <v>0</v>
      </c>
      <c r="L127" s="602">
        <f>(1+INDEX('T&amp;D Loss Factors'!$B$28:$AD$37,MATCH(L$120,'T&amp;D Loss Factors'!$B$28:$B$37,0),MATCH($C$2,'T&amp;D Loss Factors'!$B$28:$AD$28,0)))*L91</f>
        <v>0</v>
      </c>
      <c r="M127" s="602">
        <f>(1+INDEX('T&amp;D Loss Factors'!$B$28:$AD$37,MATCH(M$120,'T&amp;D Loss Factors'!$B$28:$B$37,0),MATCH($C$2,'T&amp;D Loss Factors'!$B$28:$AD$28,0)))*M91</f>
        <v>0</v>
      </c>
      <c r="N127" s="602">
        <f>(1+INDEX('T&amp;D Loss Factors'!$B$28:$AD$37,MATCH(N$120,'T&amp;D Loss Factors'!$B$28:$B$37,0),MATCH($C$2,'T&amp;D Loss Factors'!$B$28:$AD$28,0)))*N91</f>
        <v>0</v>
      </c>
      <c r="P127" s="1619"/>
      <c r="Q127" s="594" t="s">
        <v>1587</v>
      </c>
      <c r="R127" s="1285">
        <f t="shared" si="120"/>
        <v>0</v>
      </c>
      <c r="S127" s="278">
        <f t="shared" si="108"/>
        <v>0</v>
      </c>
      <c r="T127" s="278">
        <f t="shared" si="109"/>
        <v>0</v>
      </c>
      <c r="U127" s="278">
        <f t="shared" si="110"/>
        <v>0</v>
      </c>
      <c r="V127" s="278">
        <f t="shared" si="111"/>
        <v>0</v>
      </c>
      <c r="W127" s="278">
        <f t="shared" si="112"/>
        <v>0</v>
      </c>
      <c r="X127" s="278">
        <f t="shared" si="113"/>
        <v>0</v>
      </c>
      <c r="Y127" s="278">
        <f t="shared" si="114"/>
        <v>0</v>
      </c>
      <c r="Z127" s="278">
        <f t="shared" si="115"/>
        <v>0</v>
      </c>
      <c r="AA127" s="278">
        <f t="shared" si="116"/>
        <v>0</v>
      </c>
      <c r="AB127" s="278">
        <f t="shared" si="117"/>
        <v>0</v>
      </c>
    </row>
    <row r="128" spans="2:28" ht="14.4">
      <c r="B128" s="1620"/>
      <c r="C128" s="608" t="s">
        <v>131</v>
      </c>
      <c r="D128" s="429">
        <f t="shared" si="121" ref="D128:N128">SUM(D121:D127)</f>
        <v>85026.290743406789</v>
      </c>
      <c r="E128" s="429">
        <f t="shared" si="121"/>
        <v>14.482342073599998</v>
      </c>
      <c r="F128" s="429">
        <f t="shared" si="121"/>
        <v>4776.0012300877825</v>
      </c>
      <c r="G128" s="1256">
        <f t="shared" si="121"/>
        <v>7.0524360451454626</v>
      </c>
      <c r="H128" s="429">
        <f t="shared" si="121"/>
        <v>73.460148302589133</v>
      </c>
      <c r="I128" s="429">
        <f t="shared" si="121"/>
        <v>18873.16185768311</v>
      </c>
      <c r="J128" s="429">
        <f t="shared" si="121"/>
        <v>1351.5947134365599</v>
      </c>
      <c r="K128" s="429">
        <f t="shared" si="121"/>
        <v>34139.931089875143</v>
      </c>
      <c r="L128" s="429">
        <f t="shared" si="121"/>
        <v>19064.931345440313</v>
      </c>
      <c r="M128" s="429">
        <f t="shared" si="121"/>
        <v>6724.9561375240291</v>
      </c>
      <c r="N128" s="429">
        <f t="shared" si="121"/>
        <v>0.71944293852140084</v>
      </c>
      <c r="P128" s="1620"/>
      <c r="Q128" s="610" t="s">
        <v>131</v>
      </c>
      <c r="R128" s="535">
        <f t="shared" si="122" ref="R128:AB128">SUM(R121:R127)</f>
        <v>1</v>
      </c>
      <c r="S128" s="535">
        <f t="shared" si="122"/>
        <v>1</v>
      </c>
      <c r="T128" s="535">
        <f t="shared" si="122"/>
        <v>1</v>
      </c>
      <c r="U128" s="535">
        <f t="shared" si="122"/>
        <v>1</v>
      </c>
      <c r="V128" s="535">
        <f t="shared" si="122"/>
        <v>0.99999999999999989</v>
      </c>
      <c r="W128" s="535">
        <f t="shared" si="122"/>
        <v>1</v>
      </c>
      <c r="X128" s="535">
        <f t="shared" si="122"/>
        <v>1</v>
      </c>
      <c r="Y128" s="535">
        <f t="shared" si="122"/>
        <v>0.99999999999999978</v>
      </c>
      <c r="Z128" s="535">
        <f t="shared" si="122"/>
        <v>1</v>
      </c>
      <c r="AA128" s="535">
        <f t="shared" si="122"/>
        <v>1</v>
      </c>
      <c r="AB128" s="535">
        <f t="shared" si="122"/>
        <v>1</v>
      </c>
    </row>
    <row r="129" spans="4:28" ht="14.4">
      <c r="D129" s="605" t="str">
        <f>IF(D128=D56,"OK","CHECK")</f>
        <v>OK</v>
      </c>
      <c r="E129" s="606" t="str">
        <f t="shared" si="123" ref="E129:N129">IF(E128=E56,"OK","CHECK")</f>
        <v>OK</v>
      </c>
      <c r="F129" s="606" t="str">
        <f t="shared" si="123"/>
        <v>OK</v>
      </c>
      <c r="G129" s="606" t="str">
        <f>IF(G128=G56,"OK","CHECK")</f>
        <v>OK</v>
      </c>
      <c r="H129" s="606" t="str">
        <f t="shared" si="123"/>
        <v>OK</v>
      </c>
      <c r="I129" s="606" t="str">
        <f t="shared" si="123"/>
        <v>OK</v>
      </c>
      <c r="J129" s="606" t="str">
        <f t="shared" si="123"/>
        <v>OK</v>
      </c>
      <c r="K129" s="606" t="str">
        <f t="shared" si="123"/>
        <v>OK</v>
      </c>
      <c r="L129" s="606" t="str">
        <f t="shared" si="123"/>
        <v>OK</v>
      </c>
      <c r="M129" s="606" t="str">
        <f t="shared" si="123"/>
        <v>OK</v>
      </c>
      <c r="N129" s="606" t="str">
        <f t="shared" si="123"/>
        <v>OK</v>
      </c>
      <c r="R129" s="605" t="str">
        <f t="shared" si="124" ref="R129:AB129">IF(R128=R56,"OK","CHECK")</f>
        <v>OK</v>
      </c>
      <c r="S129" s="459" t="str">
        <f t="shared" si="124"/>
        <v>OK</v>
      </c>
      <c r="T129" s="459" t="str">
        <f t="shared" si="124"/>
        <v>OK</v>
      </c>
      <c r="U129" s="459" t="str">
        <f t="shared" si="124"/>
        <v>OK</v>
      </c>
      <c r="V129" s="459" t="str">
        <f t="shared" si="124"/>
        <v>OK</v>
      </c>
      <c r="W129" s="459" t="str">
        <f t="shared" si="124"/>
        <v>OK</v>
      </c>
      <c r="X129" s="459" t="str">
        <f t="shared" si="124"/>
        <v>OK</v>
      </c>
      <c r="Y129" s="459" t="str">
        <f t="shared" si="124"/>
        <v>OK</v>
      </c>
      <c r="Z129" s="459" t="str">
        <f t="shared" si="124"/>
        <v>OK</v>
      </c>
      <c r="AA129" s="459" t="str">
        <f t="shared" si="124"/>
        <v>OK</v>
      </c>
      <c r="AB129" s="459" t="str">
        <f t="shared" si="124"/>
        <v>OK</v>
      </c>
    </row>
    <row r="130" spans="1:2" ht="21">
      <c r="A130" s="1279"/>
      <c r="B130" s="1280" t="s">
        <v>1777</v>
      </c>
    </row>
    <row r="131" ht="14.4"/>
    <row r="132" ht="14.4"/>
    <row r="133" ht="14.4"/>
    <row r="134" ht="14.4"/>
    <row r="135" ht="14.4"/>
    <row r="136" ht="14.4"/>
    <row r="137" ht="14.4"/>
    <row r="138" ht="14.4"/>
    <row r="139" ht="14.4"/>
    <row r="140" ht="14.4"/>
    <row r="141" ht="14.4"/>
    <row r="142" ht="14.4"/>
    <row r="143" ht="14.4"/>
    <row r="144" ht="14.4"/>
    <row r="145" ht="14.4"/>
    <row r="146" ht="14.4"/>
    <row r="147" ht="14.4"/>
    <row r="148" ht="14.4"/>
    <row r="149" ht="14.4"/>
    <row r="150" ht="14.4"/>
    <row r="151" ht="14.4"/>
    <row r="152" ht="14.4"/>
    <row r="153" ht="14.4"/>
    <row r="154" ht="14.4"/>
    <row r="155" ht="14.4"/>
    <row r="156" ht="14.4"/>
    <row r="157" ht="14.4"/>
    <row r="158" ht="14.4"/>
    <row r="159" ht="14.4"/>
    <row r="160" ht="14.4"/>
    <row r="161" ht="14.4"/>
    <row r="162" ht="14.4"/>
    <row r="163" ht="14.4"/>
    <row r="164" ht="14.4"/>
    <row r="165" ht="14.4"/>
    <row r="166" ht="14.4"/>
    <row r="167" ht="14.4"/>
    <row r="168" ht="14.4"/>
    <row r="169" ht="14.4"/>
    <row r="170" ht="14.4"/>
    <row r="171" ht="14.4"/>
    <row r="172" ht="14.4"/>
    <row r="173" ht="14.4"/>
    <row r="174" ht="14.4"/>
    <row r="175" ht="14.4"/>
    <row r="176" ht="14.4"/>
    <row r="177" ht="14.4"/>
    <row r="178" ht="14.4"/>
    <row r="179" ht="14.4"/>
    <row r="180" ht="14.4"/>
    <row r="181" ht="14.4"/>
    <row r="182" ht="14.4"/>
    <row r="183" ht="14.4"/>
    <row r="184" ht="14.4"/>
    <row r="185" ht="14.4"/>
    <row r="186" ht="14.4"/>
    <row r="187" ht="14.4"/>
    <row r="188" spans="1:20" s="1293" customFormat="1" ht="21" thickBot="1">
      <c r="A188" s="1290"/>
      <c r="B188" s="1291" t="s">
        <v>1778</v>
      </c>
      <c r="C188" s="1290"/>
      <c r="D188" s="1290"/>
      <c r="E188" s="1290"/>
      <c r="F188" s="1290"/>
      <c r="G188" s="1290"/>
      <c r="H188" s="1290"/>
      <c r="I188" s="1290"/>
      <c r="J188" s="1290"/>
      <c r="K188" s="1290"/>
      <c r="L188" s="1290"/>
      <c r="M188" s="1290"/>
      <c r="N188" s="1290"/>
      <c r="O188" s="1290"/>
      <c r="P188" s="1290"/>
      <c r="Q188" s="1292"/>
      <c r="R188" s="1290"/>
      <c r="S188" s="1290"/>
      <c r="T188" s="1290"/>
    </row>
  </sheetData>
  <mergeCells count="73">
    <mergeCell ref="B1:D1"/>
    <mergeCell ref="P107:P116"/>
    <mergeCell ref="Q107:Q108"/>
    <mergeCell ref="R107:AB107"/>
    <mergeCell ref="P119:P128"/>
    <mergeCell ref="Q119:Q120"/>
    <mergeCell ref="R119:AB119"/>
    <mergeCell ref="P83:P92"/>
    <mergeCell ref="Q83:Q84"/>
    <mergeCell ref="R83:AB83"/>
    <mergeCell ref="P95:P104"/>
    <mergeCell ref="Q95:Q96"/>
    <mergeCell ref="R95:AB95"/>
    <mergeCell ref="P59:P68"/>
    <mergeCell ref="Q59:Q60"/>
    <mergeCell ref="R59:AB59"/>
    <mergeCell ref="B119:B128"/>
    <mergeCell ref="D119:N119"/>
    <mergeCell ref="B83:B92"/>
    <mergeCell ref="B107:B116"/>
    <mergeCell ref="C95:C96"/>
    <mergeCell ref="D95:N95"/>
    <mergeCell ref="C107:C108"/>
    <mergeCell ref="D107:N107"/>
    <mergeCell ref="B95:B104"/>
    <mergeCell ref="C83:C84"/>
    <mergeCell ref="D83:N83"/>
    <mergeCell ref="C119:C120"/>
    <mergeCell ref="B59:B68"/>
    <mergeCell ref="B71:B80"/>
    <mergeCell ref="D59:N59"/>
    <mergeCell ref="C59:C60"/>
    <mergeCell ref="R50:AB50"/>
    <mergeCell ref="B50:B56"/>
    <mergeCell ref="C50:C51"/>
    <mergeCell ref="D50:N50"/>
    <mergeCell ref="P50:P56"/>
    <mergeCell ref="Q50:Q51"/>
    <mergeCell ref="P71:P80"/>
    <mergeCell ref="Q71:Q72"/>
    <mergeCell ref="R71:AB71"/>
    <mergeCell ref="C71:C72"/>
    <mergeCell ref="D71:N71"/>
    <mergeCell ref="R32:AB32"/>
    <mergeCell ref="B41:B47"/>
    <mergeCell ref="C41:C42"/>
    <mergeCell ref="D41:N41"/>
    <mergeCell ref="P41:P47"/>
    <mergeCell ref="Q41:Q42"/>
    <mergeCell ref="R41:AB41"/>
    <mergeCell ref="B32:B38"/>
    <mergeCell ref="C32:C33"/>
    <mergeCell ref="D32:N32"/>
    <mergeCell ref="P32:P38"/>
    <mergeCell ref="Q32:Q33"/>
    <mergeCell ref="D23:N23"/>
    <mergeCell ref="P23:P29"/>
    <mergeCell ref="Q23:Q24"/>
    <mergeCell ref="R23:AB23"/>
    <mergeCell ref="B23:B29"/>
    <mergeCell ref="C23:C24"/>
    <mergeCell ref="R5:AB5"/>
    <mergeCell ref="B14:B20"/>
    <mergeCell ref="C14:C15"/>
    <mergeCell ref="D14:N14"/>
    <mergeCell ref="P14:P20"/>
    <mergeCell ref="Q14:Q15"/>
    <mergeCell ref="R14:AB14"/>
    <mergeCell ref="C5:C6"/>
    <mergeCell ref="D5:N5"/>
    <mergeCell ref="B5:B11"/>
    <mergeCell ref="P5:P11"/>
    <mergeCell ref="Q5:Q6"/>
  </mergeCells>
  <conditionalFormatting sqref="R7:AB10">
    <cfRule type="colorScale" priority="257">
      <colorScale>
        <cfvo type="min" val="0"/>
        <cfvo type="percentile" val="50"/>
        <cfvo type="max" val="0"/>
        <color rgb="FFF8696B"/>
        <color rgb="FFFFEB84"/>
        <color rgb="FF63BE7B"/>
      </colorScale>
    </cfRule>
  </conditionalFormatting>
  <conditionalFormatting sqref="E7:N10">
    <cfRule type="colorScale" priority="256">
      <colorScale>
        <cfvo type="min" val="0"/>
        <cfvo type="percentile" val="50"/>
        <cfvo type="max" val="0"/>
        <color rgb="FFF8696B"/>
        <color rgb="FFFFEB84"/>
        <color rgb="FF63BE7B"/>
      </colorScale>
    </cfRule>
  </conditionalFormatting>
  <conditionalFormatting sqref="E16:N19">
    <cfRule type="colorScale" priority="253">
      <colorScale>
        <cfvo type="min" val="0"/>
        <cfvo type="percentile" val="50"/>
        <cfvo type="max" val="0"/>
        <color rgb="FFF8696B"/>
        <color rgb="FFFFEB84"/>
        <color rgb="FF63BE7B"/>
      </colorScale>
    </cfRule>
  </conditionalFormatting>
  <conditionalFormatting sqref="E25:N28">
    <cfRule type="colorScale" priority="252">
      <colorScale>
        <cfvo type="min" val="0"/>
        <cfvo type="percentile" val="50"/>
        <cfvo type="max" val="0"/>
        <color rgb="FFF8696B"/>
        <color rgb="FFFFEB84"/>
        <color rgb="FF63BE7B"/>
      </colorScale>
    </cfRule>
  </conditionalFormatting>
  <conditionalFormatting sqref="R16:R19 T16:AB19">
    <cfRule type="colorScale" priority="251">
      <colorScale>
        <cfvo type="min" val="0"/>
        <cfvo type="percentile" val="50"/>
        <cfvo type="max" val="0"/>
        <color rgb="FFF8696B"/>
        <color rgb="FFFFEB84"/>
        <color rgb="FF63BE7B"/>
      </colorScale>
    </cfRule>
  </conditionalFormatting>
  <conditionalFormatting sqref="R25:R28 T25:AB28">
    <cfRule type="colorScale" priority="250">
      <colorScale>
        <cfvo type="min" val="0"/>
        <cfvo type="percentile" val="50"/>
        <cfvo type="max" val="0"/>
        <color rgb="FFF8696B"/>
        <color rgb="FFFFEB84"/>
        <color rgb="FF63BE7B"/>
      </colorScale>
    </cfRule>
  </conditionalFormatting>
  <conditionalFormatting sqref="R34:R37">
    <cfRule type="colorScale" priority="249">
      <colorScale>
        <cfvo type="min" val="0"/>
        <cfvo type="percentile" val="50"/>
        <cfvo type="max" val="0"/>
        <color rgb="FFF8696B"/>
        <color rgb="FFFFEB84"/>
        <color rgb="FF63BE7B"/>
      </colorScale>
    </cfRule>
  </conditionalFormatting>
  <conditionalFormatting sqref="E34:N37">
    <cfRule type="colorScale" priority="248">
      <colorScale>
        <cfvo type="min" val="0"/>
        <cfvo type="percentile" val="50"/>
        <cfvo type="max" val="0"/>
        <color rgb="FFF8696B"/>
        <color rgb="FFFFEB84"/>
        <color rgb="FF63BE7B"/>
      </colorScale>
    </cfRule>
  </conditionalFormatting>
  <conditionalFormatting sqref="R52:R55">
    <cfRule type="colorScale" priority="244">
      <colorScale>
        <cfvo type="min" val="0"/>
        <cfvo type="percentile" val="50"/>
        <cfvo type="max" val="0"/>
        <color rgb="FFF8696B"/>
        <color rgb="FFFFEB84"/>
        <color rgb="FF63BE7B"/>
      </colorScale>
    </cfRule>
  </conditionalFormatting>
  <conditionalFormatting sqref="T34:AB37">
    <cfRule type="colorScale" priority="238">
      <colorScale>
        <cfvo type="min" val="0"/>
        <cfvo type="percentile" val="50"/>
        <cfvo type="max" val="0"/>
        <color rgb="FFF8696B"/>
        <color rgb="FFFFEB84"/>
        <color rgb="FF63BE7B"/>
      </colorScale>
    </cfRule>
  </conditionalFormatting>
  <conditionalFormatting sqref="T43:AB46">
    <cfRule type="colorScale" priority="237">
      <colorScale>
        <cfvo type="min" val="0"/>
        <cfvo type="percentile" val="50"/>
        <cfvo type="max" val="0"/>
        <color rgb="FFF8696B"/>
        <color rgb="FFFFEB84"/>
        <color rgb="FF63BE7B"/>
      </colorScale>
    </cfRule>
  </conditionalFormatting>
  <conditionalFormatting sqref="U52:AB55">
    <cfRule type="colorScale" priority="236">
      <colorScale>
        <cfvo type="min" val="0"/>
        <cfvo type="percentile" val="50"/>
        <cfvo type="max" val="0"/>
        <color rgb="FFF8696B"/>
        <color rgb="FFFFEB84"/>
        <color rgb="FF63BE7B"/>
      </colorScale>
    </cfRule>
  </conditionalFormatting>
  <conditionalFormatting sqref="R43:R46">
    <cfRule type="colorScale" priority="235">
      <colorScale>
        <cfvo type="min" val="0"/>
        <cfvo type="percentile" val="50"/>
        <cfvo type="max" val="0"/>
        <color rgb="FFF8696B"/>
        <color rgb="FFFFEB84"/>
        <color rgb="FF63BE7B"/>
      </colorScale>
    </cfRule>
  </conditionalFormatting>
  <conditionalFormatting sqref="F43:N46">
    <cfRule type="colorScale" priority="234">
      <colorScale>
        <cfvo type="min" val="0"/>
        <cfvo type="percentile" val="50"/>
        <cfvo type="max" val="0"/>
        <color rgb="FFF8696B"/>
        <color rgb="FFFFEB84"/>
        <color rgb="FF63BE7B"/>
      </colorScale>
    </cfRule>
  </conditionalFormatting>
  <conditionalFormatting sqref="F52:N55">
    <cfRule type="colorScale" priority="233">
      <colorScale>
        <cfvo type="min" val="0"/>
        <cfvo type="percentile" val="50"/>
        <cfvo type="max" val="0"/>
        <color rgb="FFF8696B"/>
        <color rgb="FFFFEB84"/>
        <color rgb="FF63BE7B"/>
      </colorScale>
    </cfRule>
  </conditionalFormatting>
  <conditionalFormatting sqref="E43:E46">
    <cfRule type="colorScale" priority="232">
      <colorScale>
        <cfvo type="min" val="0"/>
        <cfvo type="percentile" val="50"/>
        <cfvo type="max" val="0"/>
        <color rgb="FFF8696B"/>
        <color rgb="FFFFEB84"/>
        <color rgb="FF63BE7B"/>
      </colorScale>
    </cfRule>
  </conditionalFormatting>
  <conditionalFormatting sqref="E52:E55">
    <cfRule type="colorScale" priority="231">
      <colorScale>
        <cfvo type="min" val="0"/>
        <cfvo type="percentile" val="50"/>
        <cfvo type="max" val="0"/>
        <color rgb="FFF8696B"/>
        <color rgb="FFFFEB84"/>
        <color rgb="FF63BE7B"/>
      </colorScale>
    </cfRule>
  </conditionalFormatting>
  <conditionalFormatting sqref="D52:D55">
    <cfRule type="colorScale" priority="226">
      <colorScale>
        <cfvo type="min" val="0"/>
        <cfvo type="percentile" val="50"/>
        <cfvo type="max" val="0"/>
        <color rgb="FFF8696B"/>
        <color rgb="FFFFEB84"/>
        <color rgb="FF63BE7B"/>
      </colorScale>
    </cfRule>
  </conditionalFormatting>
  <conditionalFormatting sqref="D43:D46">
    <cfRule type="colorScale" priority="225">
      <colorScale>
        <cfvo type="min" val="0"/>
        <cfvo type="percentile" val="50"/>
        <cfvo type="max" val="0"/>
        <color rgb="FFF8696B"/>
        <color rgb="FFFFEB84"/>
        <color rgb="FF63BE7B"/>
      </colorScale>
    </cfRule>
  </conditionalFormatting>
  <conditionalFormatting sqref="D34:D37">
    <cfRule type="colorScale" priority="224">
      <colorScale>
        <cfvo type="min" val="0"/>
        <cfvo type="percentile" val="50"/>
        <cfvo type="max" val="0"/>
        <color rgb="FFF8696B"/>
        <color rgb="FFFFEB84"/>
        <color rgb="FF63BE7B"/>
      </colorScale>
    </cfRule>
  </conditionalFormatting>
  <conditionalFormatting sqref="D25:D28">
    <cfRule type="colorScale" priority="223">
      <colorScale>
        <cfvo type="min" val="0"/>
        <cfvo type="percentile" val="50"/>
        <cfvo type="max" val="0"/>
        <color rgb="FFF8696B"/>
        <color rgb="FFFFEB84"/>
        <color rgb="FF63BE7B"/>
      </colorScale>
    </cfRule>
  </conditionalFormatting>
  <conditionalFormatting sqref="D16:D19">
    <cfRule type="colorScale" priority="222">
      <colorScale>
        <cfvo type="min" val="0"/>
        <cfvo type="percentile" val="50"/>
        <cfvo type="max" val="0"/>
        <color rgb="FFF8696B"/>
        <color rgb="FFFFEB84"/>
        <color rgb="FF63BE7B"/>
      </colorScale>
    </cfRule>
  </conditionalFormatting>
  <conditionalFormatting sqref="D7:D10">
    <cfRule type="colorScale" priority="221">
      <colorScale>
        <cfvo type="min" val="0"/>
        <cfvo type="percentile" val="50"/>
        <cfvo type="max" val="0"/>
        <color rgb="FFF8696B"/>
        <color rgb="FFFFEB84"/>
        <color rgb="FF63BE7B"/>
      </colorScale>
    </cfRule>
  </conditionalFormatting>
  <conditionalFormatting sqref="S16:S19">
    <cfRule type="colorScale" priority="219">
      <colorScale>
        <cfvo type="min" val="0"/>
        <cfvo type="percentile" val="50"/>
        <cfvo type="max" val="0"/>
        <color rgb="FFF8696B"/>
        <color rgb="FFFFEB84"/>
        <color rgb="FF63BE7B"/>
      </colorScale>
    </cfRule>
  </conditionalFormatting>
  <conditionalFormatting sqref="S25:S28">
    <cfRule type="colorScale" priority="218">
      <colorScale>
        <cfvo type="min" val="0"/>
        <cfvo type="percentile" val="50"/>
        <cfvo type="max" val="0"/>
        <color rgb="FFF8696B"/>
        <color rgb="FFFFEB84"/>
        <color rgb="FF63BE7B"/>
      </colorScale>
    </cfRule>
  </conditionalFormatting>
  <conditionalFormatting sqref="S34:S37">
    <cfRule type="colorScale" priority="217">
      <colorScale>
        <cfvo type="min" val="0"/>
        <cfvo type="percentile" val="50"/>
        <cfvo type="max" val="0"/>
        <color rgb="FFF8696B"/>
        <color rgb="FFFFEB84"/>
        <color rgb="FF63BE7B"/>
      </colorScale>
    </cfRule>
  </conditionalFormatting>
  <conditionalFormatting sqref="S43:S46">
    <cfRule type="colorScale" priority="216">
      <colorScale>
        <cfvo type="min" val="0"/>
        <cfvo type="percentile" val="50"/>
        <cfvo type="max" val="0"/>
        <color rgb="FFF8696B"/>
        <color rgb="FFFFEB84"/>
        <color rgb="FF63BE7B"/>
      </colorScale>
    </cfRule>
  </conditionalFormatting>
  <conditionalFormatting sqref="T52:T55">
    <cfRule type="colorScale" priority="215">
      <colorScale>
        <cfvo type="min" val="0"/>
        <cfvo type="percentile" val="50"/>
        <cfvo type="max" val="0"/>
        <color rgb="FFF8696B"/>
        <color rgb="FFFFEB84"/>
        <color rgb="FF63BE7B"/>
      </colorScale>
    </cfRule>
  </conditionalFormatting>
  <conditionalFormatting sqref="S52:S55">
    <cfRule type="colorScale" priority="214">
      <colorScale>
        <cfvo type="min" val="0"/>
        <cfvo type="percentile" val="50"/>
        <cfvo type="max" val="0"/>
        <color rgb="FFF8696B"/>
        <color rgb="FFFFEB84"/>
        <color rgb="FF63BE7B"/>
      </colorScale>
    </cfRule>
  </conditionalFormatting>
  <conditionalFormatting sqref="F61:G62 I61:N62 F63:N67">
    <cfRule type="colorScale" priority="213">
      <colorScale>
        <cfvo type="min" val="0"/>
        <cfvo type="percentile" val="50"/>
        <cfvo type="max" val="0"/>
        <color rgb="FFF8696B"/>
        <color rgb="FFFFEB84"/>
        <color rgb="FF63BE7B"/>
      </colorScale>
    </cfRule>
  </conditionalFormatting>
  <conditionalFormatting sqref="E61:E67">
    <cfRule type="colorScale" priority="212">
      <colorScale>
        <cfvo type="min" val="0"/>
        <cfvo type="percentile" val="50"/>
        <cfvo type="max" val="0"/>
        <color rgb="FFF8696B"/>
        <color rgb="FFFFEB84"/>
        <color rgb="FF63BE7B"/>
      </colorScale>
    </cfRule>
  </conditionalFormatting>
  <conditionalFormatting sqref="D61:D67">
    <cfRule type="colorScale" priority="211">
      <colorScale>
        <cfvo type="min" val="0"/>
        <cfvo type="percentile" val="50"/>
        <cfvo type="max" val="0"/>
        <color rgb="FFF8696B"/>
        <color rgb="FFFFEB84"/>
        <color rgb="FF63BE7B"/>
      </colorScale>
    </cfRule>
  </conditionalFormatting>
  <conditionalFormatting sqref="D81">
    <cfRule type="colorScale" priority="202">
      <colorScale>
        <cfvo type="min" val="0"/>
        <cfvo type="percentile" val="50"/>
        <cfvo type="max" val="0"/>
        <color rgb="FFF8696B"/>
        <color rgb="FFFFEB84"/>
        <color rgb="FF63BE7B"/>
      </colorScale>
    </cfRule>
  </conditionalFormatting>
  <conditionalFormatting sqref="D93">
    <cfRule type="colorScale" priority="199">
      <colorScale>
        <cfvo type="min" val="0"/>
        <cfvo type="percentile" val="50"/>
        <cfvo type="max" val="0"/>
        <color rgb="FFF8696B"/>
        <color rgb="FFFFEB84"/>
        <color rgb="FF63BE7B"/>
      </colorScale>
    </cfRule>
  </conditionalFormatting>
  <conditionalFormatting sqref="D117">
    <cfRule type="colorScale" priority="193">
      <colorScale>
        <cfvo type="min" val="0"/>
        <cfvo type="percentile" val="50"/>
        <cfvo type="max" val="0"/>
        <color rgb="FFF8696B"/>
        <color rgb="FFFFEB84"/>
        <color rgb="FF63BE7B"/>
      </colorScale>
    </cfRule>
  </conditionalFormatting>
  <conditionalFormatting sqref="D129">
    <cfRule type="colorScale" priority="190">
      <colorScale>
        <cfvo type="min" val="0"/>
        <cfvo type="percentile" val="50"/>
        <cfvo type="max" val="0"/>
        <color rgb="FFF8696B"/>
        <color rgb="FFFFEB84"/>
        <color rgb="FF63BE7B"/>
      </colorScale>
    </cfRule>
  </conditionalFormatting>
  <conditionalFormatting sqref="H61:H62">
    <cfRule type="colorScale" priority="174">
      <colorScale>
        <cfvo type="min" val="0"/>
        <cfvo type="percentile" val="50"/>
        <cfvo type="max" val="0"/>
        <color rgb="FFF8696B"/>
        <color rgb="FFFFEB84"/>
        <color rgb="FF63BE7B"/>
      </colorScale>
    </cfRule>
  </conditionalFormatting>
  <conditionalFormatting sqref="D61:N67">
    <cfRule type="colorScale" priority="135">
      <colorScale>
        <cfvo type="min" val="0"/>
        <cfvo type="percentile" val="50"/>
        <cfvo type="max" val="0"/>
        <color rgb="FFF8696B"/>
        <color rgb="FFFFEB84"/>
        <color rgb="FF63BE7B"/>
      </colorScale>
    </cfRule>
  </conditionalFormatting>
  <conditionalFormatting sqref="F73:G74 I73:N74 F75:N79">
    <cfRule type="colorScale" priority="134">
      <colorScale>
        <cfvo type="min" val="0"/>
        <cfvo type="percentile" val="50"/>
        <cfvo type="max" val="0"/>
        <color rgb="FFF8696B"/>
        <color rgb="FFFFEB84"/>
        <color rgb="FF63BE7B"/>
      </colorScale>
    </cfRule>
  </conditionalFormatting>
  <conditionalFormatting sqref="E73:E79">
    <cfRule type="colorScale" priority="133">
      <colorScale>
        <cfvo type="min" val="0"/>
        <cfvo type="percentile" val="50"/>
        <cfvo type="max" val="0"/>
        <color rgb="FFF8696B"/>
        <color rgb="FFFFEB84"/>
        <color rgb="FF63BE7B"/>
      </colorScale>
    </cfRule>
  </conditionalFormatting>
  <conditionalFormatting sqref="D73:D79">
    <cfRule type="colorScale" priority="132">
      <colorScale>
        <cfvo type="min" val="0"/>
        <cfvo type="percentile" val="50"/>
        <cfvo type="max" val="0"/>
        <color rgb="FFF8696B"/>
        <color rgb="FFFFEB84"/>
        <color rgb="FF63BE7B"/>
      </colorScale>
    </cfRule>
  </conditionalFormatting>
  <conditionalFormatting sqref="H73:H74">
    <cfRule type="colorScale" priority="131">
      <colorScale>
        <cfvo type="min" val="0"/>
        <cfvo type="percentile" val="50"/>
        <cfvo type="max" val="0"/>
        <color rgb="FFF8696B"/>
        <color rgb="FFFFEB84"/>
        <color rgb="FF63BE7B"/>
      </colorScale>
    </cfRule>
  </conditionalFormatting>
  <conditionalFormatting sqref="D73:N79">
    <cfRule type="colorScale" priority="130">
      <colorScale>
        <cfvo type="min" val="0"/>
        <cfvo type="percentile" val="50"/>
        <cfvo type="max" val="0"/>
        <color rgb="FFF8696B"/>
        <color rgb="FFFFEB84"/>
        <color rgb="FF63BE7B"/>
      </colorScale>
    </cfRule>
  </conditionalFormatting>
  <conditionalFormatting sqref="F85:G86 I85:N86 F87:N91">
    <cfRule type="colorScale" priority="129">
      <colorScale>
        <cfvo type="min" val="0"/>
        <cfvo type="percentile" val="50"/>
        <cfvo type="max" val="0"/>
        <color rgb="FFF8696B"/>
        <color rgb="FFFFEB84"/>
        <color rgb="FF63BE7B"/>
      </colorScale>
    </cfRule>
  </conditionalFormatting>
  <conditionalFormatting sqref="E85:E91">
    <cfRule type="colorScale" priority="128">
      <colorScale>
        <cfvo type="min" val="0"/>
        <cfvo type="percentile" val="50"/>
        <cfvo type="max" val="0"/>
        <color rgb="FFF8696B"/>
        <color rgb="FFFFEB84"/>
        <color rgb="FF63BE7B"/>
      </colorScale>
    </cfRule>
  </conditionalFormatting>
  <conditionalFormatting sqref="D85:D91">
    <cfRule type="colorScale" priority="127">
      <colorScale>
        <cfvo type="min" val="0"/>
        <cfvo type="percentile" val="50"/>
        <cfvo type="max" val="0"/>
        <color rgb="FFF8696B"/>
        <color rgb="FFFFEB84"/>
        <color rgb="FF63BE7B"/>
      </colorScale>
    </cfRule>
  </conditionalFormatting>
  <conditionalFormatting sqref="H85:H86">
    <cfRule type="colorScale" priority="126">
      <colorScale>
        <cfvo type="min" val="0"/>
        <cfvo type="percentile" val="50"/>
        <cfvo type="max" val="0"/>
        <color rgb="FFF8696B"/>
        <color rgb="FFFFEB84"/>
        <color rgb="FF63BE7B"/>
      </colorScale>
    </cfRule>
  </conditionalFormatting>
  <conditionalFormatting sqref="D85:N91">
    <cfRule type="colorScale" priority="125">
      <colorScale>
        <cfvo type="min" val="0"/>
        <cfvo type="percentile" val="50"/>
        <cfvo type="max" val="0"/>
        <color rgb="FFF8696B"/>
        <color rgb="FFFFEB84"/>
        <color rgb="FF63BE7B"/>
      </colorScale>
    </cfRule>
  </conditionalFormatting>
  <conditionalFormatting sqref="F97:G98 I97:N98 F99:N103">
    <cfRule type="colorScale" priority="124">
      <colorScale>
        <cfvo type="min" val="0"/>
        <cfvo type="percentile" val="50"/>
        <cfvo type="max" val="0"/>
        <color rgb="FFF8696B"/>
        <color rgb="FFFFEB84"/>
        <color rgb="FF63BE7B"/>
      </colorScale>
    </cfRule>
  </conditionalFormatting>
  <conditionalFormatting sqref="E97:E103">
    <cfRule type="colorScale" priority="123">
      <colorScale>
        <cfvo type="min" val="0"/>
        <cfvo type="percentile" val="50"/>
        <cfvo type="max" val="0"/>
        <color rgb="FFF8696B"/>
        <color rgb="FFFFEB84"/>
        <color rgb="FF63BE7B"/>
      </colorScale>
    </cfRule>
  </conditionalFormatting>
  <conditionalFormatting sqref="D97:D103">
    <cfRule type="colorScale" priority="122">
      <colorScale>
        <cfvo type="min" val="0"/>
        <cfvo type="percentile" val="50"/>
        <cfvo type="max" val="0"/>
        <color rgb="FFF8696B"/>
        <color rgb="FFFFEB84"/>
        <color rgb="FF63BE7B"/>
      </colorScale>
    </cfRule>
  </conditionalFormatting>
  <conditionalFormatting sqref="H97:H98">
    <cfRule type="colorScale" priority="121">
      <colorScale>
        <cfvo type="min" val="0"/>
        <cfvo type="percentile" val="50"/>
        <cfvo type="max" val="0"/>
        <color rgb="FFF8696B"/>
        <color rgb="FFFFEB84"/>
        <color rgb="FF63BE7B"/>
      </colorScale>
    </cfRule>
  </conditionalFormatting>
  <conditionalFormatting sqref="D97:N103">
    <cfRule type="colorScale" priority="120">
      <colorScale>
        <cfvo type="min" val="0"/>
        <cfvo type="percentile" val="50"/>
        <cfvo type="max" val="0"/>
        <color rgb="FFF8696B"/>
        <color rgb="FFFFEB84"/>
        <color rgb="FF63BE7B"/>
      </colorScale>
    </cfRule>
  </conditionalFormatting>
  <conditionalFormatting sqref="F109:G110 I109:N110 F111:N115">
    <cfRule type="colorScale" priority="119">
      <colorScale>
        <cfvo type="min" val="0"/>
        <cfvo type="percentile" val="50"/>
        <cfvo type="max" val="0"/>
        <color rgb="FFF8696B"/>
        <color rgb="FFFFEB84"/>
        <color rgb="FF63BE7B"/>
      </colorScale>
    </cfRule>
  </conditionalFormatting>
  <conditionalFormatting sqref="E109:E115">
    <cfRule type="colorScale" priority="118">
      <colorScale>
        <cfvo type="min" val="0"/>
        <cfvo type="percentile" val="50"/>
        <cfvo type="max" val="0"/>
        <color rgb="FFF8696B"/>
        <color rgb="FFFFEB84"/>
        <color rgb="FF63BE7B"/>
      </colorScale>
    </cfRule>
  </conditionalFormatting>
  <conditionalFormatting sqref="D109:D115">
    <cfRule type="colorScale" priority="117">
      <colorScale>
        <cfvo type="min" val="0"/>
        <cfvo type="percentile" val="50"/>
        <cfvo type="max" val="0"/>
        <color rgb="FFF8696B"/>
        <color rgb="FFFFEB84"/>
        <color rgb="FF63BE7B"/>
      </colorScale>
    </cfRule>
  </conditionalFormatting>
  <conditionalFormatting sqref="H109:H110">
    <cfRule type="colorScale" priority="116">
      <colorScale>
        <cfvo type="min" val="0"/>
        <cfvo type="percentile" val="50"/>
        <cfvo type="max" val="0"/>
        <color rgb="FFF8696B"/>
        <color rgb="FFFFEB84"/>
        <color rgb="FF63BE7B"/>
      </colorScale>
    </cfRule>
  </conditionalFormatting>
  <conditionalFormatting sqref="D109:N115">
    <cfRule type="colorScale" priority="115">
      <colorScale>
        <cfvo type="min" val="0"/>
        <cfvo type="percentile" val="50"/>
        <cfvo type="max" val="0"/>
        <color rgb="FFF8696B"/>
        <color rgb="FFFFEB84"/>
        <color rgb="FF63BE7B"/>
      </colorScale>
    </cfRule>
  </conditionalFormatting>
  <conditionalFormatting sqref="I121:N122 F123:N127 F121:G122">
    <cfRule type="colorScale" priority="114">
      <colorScale>
        <cfvo type="min" val="0"/>
        <cfvo type="percentile" val="50"/>
        <cfvo type="max" val="0"/>
        <color rgb="FFF8696B"/>
        <color rgb="FFFFEB84"/>
        <color rgb="FF63BE7B"/>
      </colorScale>
    </cfRule>
  </conditionalFormatting>
  <conditionalFormatting sqref="E121:E127">
    <cfRule type="colorScale" priority="113">
      <colorScale>
        <cfvo type="min" val="0"/>
        <cfvo type="percentile" val="50"/>
        <cfvo type="max" val="0"/>
        <color rgb="FFF8696B"/>
        <color rgb="FFFFEB84"/>
        <color rgb="FF63BE7B"/>
      </colorScale>
    </cfRule>
  </conditionalFormatting>
  <conditionalFormatting sqref="D121:D127">
    <cfRule type="colorScale" priority="112">
      <colorScale>
        <cfvo type="min" val="0"/>
        <cfvo type="percentile" val="50"/>
        <cfvo type="max" val="0"/>
        <color rgb="FFF8696B"/>
        <color rgb="FFFFEB84"/>
        <color rgb="FF63BE7B"/>
      </colorScale>
    </cfRule>
  </conditionalFormatting>
  <conditionalFormatting sqref="H121:H122">
    <cfRule type="colorScale" priority="111">
      <colorScale>
        <cfvo type="min" val="0"/>
        <cfvo type="percentile" val="50"/>
        <cfvo type="max" val="0"/>
        <color rgb="FFF8696B"/>
        <color rgb="FFFFEB84"/>
        <color rgb="FF63BE7B"/>
      </colorScale>
    </cfRule>
  </conditionalFormatting>
  <conditionalFormatting sqref="D121:N127">
    <cfRule type="colorScale" priority="110">
      <colorScale>
        <cfvo type="min" val="0"/>
        <cfvo type="percentile" val="50"/>
        <cfvo type="max" val="0"/>
        <color rgb="FFF8696B"/>
        <color rgb="FFFFEB84"/>
        <color rgb="FF63BE7B"/>
      </colorScale>
    </cfRule>
  </conditionalFormatting>
  <conditionalFormatting sqref="R81">
    <cfRule type="colorScale" priority="106">
      <colorScale>
        <cfvo type="min" val="0"/>
        <cfvo type="percentile" val="50"/>
        <cfvo type="max" val="0"/>
        <color rgb="FFF8696B"/>
        <color rgb="FFFFEB84"/>
        <color rgb="FF63BE7B"/>
      </colorScale>
    </cfRule>
  </conditionalFormatting>
  <conditionalFormatting sqref="R93">
    <cfRule type="colorScale" priority="105">
      <colorScale>
        <cfvo type="min" val="0"/>
        <cfvo type="percentile" val="50"/>
        <cfvo type="max" val="0"/>
        <color rgb="FFF8696B"/>
        <color rgb="FFFFEB84"/>
        <color rgb="FF63BE7B"/>
      </colorScale>
    </cfRule>
  </conditionalFormatting>
  <conditionalFormatting sqref="R117">
    <cfRule type="colorScale" priority="104">
      <colorScale>
        <cfvo type="min" val="0"/>
        <cfvo type="percentile" val="50"/>
        <cfvo type="max" val="0"/>
        <color rgb="FFF8696B"/>
        <color rgb="FFFFEB84"/>
        <color rgb="FF63BE7B"/>
      </colorScale>
    </cfRule>
  </conditionalFormatting>
  <conditionalFormatting sqref="R129">
    <cfRule type="colorScale" priority="103">
      <colorScale>
        <cfvo type="min" val="0"/>
        <cfvo type="percentile" val="50"/>
        <cfvo type="max" val="0"/>
        <color rgb="FFF8696B"/>
        <color rgb="FFFFEB84"/>
        <color rgb="FF63BE7B"/>
      </colorScale>
    </cfRule>
  </conditionalFormatting>
  <conditionalFormatting sqref="T73:U74 W73:AB74 T75:AB79">
    <cfRule type="colorScale" priority="100">
      <colorScale>
        <cfvo type="min" val="0"/>
        <cfvo type="percentile" val="50"/>
        <cfvo type="max" val="0"/>
        <color rgb="FFF8696B"/>
        <color rgb="FFFFEB84"/>
        <color rgb="FF63BE7B"/>
      </colorScale>
    </cfRule>
  </conditionalFormatting>
  <conditionalFormatting sqref="S73:S79">
    <cfRule type="colorScale" priority="99">
      <colorScale>
        <cfvo type="min" val="0"/>
        <cfvo type="percentile" val="50"/>
        <cfvo type="max" val="0"/>
        <color rgb="FFF8696B"/>
        <color rgb="FFFFEB84"/>
        <color rgb="FF63BE7B"/>
      </colorScale>
    </cfRule>
  </conditionalFormatting>
  <conditionalFormatting sqref="R74:R79">
    <cfRule type="colorScale" priority="98">
      <colorScale>
        <cfvo type="min" val="0"/>
        <cfvo type="percentile" val="50"/>
        <cfvo type="max" val="0"/>
        <color rgb="FFF8696B"/>
        <color rgb="FFFFEB84"/>
        <color rgb="FF63BE7B"/>
      </colorScale>
    </cfRule>
  </conditionalFormatting>
  <conditionalFormatting sqref="V73:V74">
    <cfRule type="colorScale" priority="97">
      <colorScale>
        <cfvo type="min" val="0"/>
        <cfvo type="percentile" val="50"/>
        <cfvo type="max" val="0"/>
        <color rgb="FFF8696B"/>
        <color rgb="FFFFEB84"/>
        <color rgb="FF63BE7B"/>
      </colorScale>
    </cfRule>
  </conditionalFormatting>
  <conditionalFormatting sqref="R74:AB79 S73:AB73">
    <cfRule type="colorScale" priority="96">
      <colorScale>
        <cfvo type="min" val="0"/>
        <cfvo type="percentile" val="50"/>
        <cfvo type="max" val="0"/>
        <color rgb="FFF8696B"/>
        <color rgb="FFFFEB84"/>
        <color rgb="FF63BE7B"/>
      </colorScale>
    </cfRule>
  </conditionalFormatting>
  <conditionalFormatting sqref="R73">
    <cfRule type="colorScale" priority="75">
      <colorScale>
        <cfvo type="min" val="0"/>
        <cfvo type="percentile" val="50"/>
        <cfvo type="max" val="0"/>
        <color rgb="FFF8696B"/>
        <color rgb="FFFFEB84"/>
        <color rgb="FF63BE7B"/>
      </colorScale>
    </cfRule>
  </conditionalFormatting>
  <conditionalFormatting sqref="R73:AB79">
    <cfRule type="colorScale" priority="68">
      <colorScale>
        <cfvo type="min" val="0"/>
        <cfvo type="percentile" val="50"/>
        <cfvo type="max" val="0"/>
        <color rgb="FFF8696B"/>
        <color rgb="FFFFEB84"/>
        <color rgb="FF63BE7B"/>
      </colorScale>
    </cfRule>
  </conditionalFormatting>
  <conditionalFormatting sqref="T97:U98 W97:AB98 T99:AB103">
    <cfRule type="colorScale" priority="39">
      <colorScale>
        <cfvo type="min" val="0"/>
        <cfvo type="percentile" val="50"/>
        <cfvo type="max" val="0"/>
        <color rgb="FFF8696B"/>
        <color rgb="FFFFEB84"/>
        <color rgb="FF63BE7B"/>
      </colorScale>
    </cfRule>
  </conditionalFormatting>
  <conditionalFormatting sqref="S97:S103">
    <cfRule type="colorScale" priority="38">
      <colorScale>
        <cfvo type="min" val="0"/>
        <cfvo type="percentile" val="50"/>
        <cfvo type="max" val="0"/>
        <color rgb="FFF8696B"/>
        <color rgb="FFFFEB84"/>
        <color rgb="FF63BE7B"/>
      </colorScale>
    </cfRule>
  </conditionalFormatting>
  <conditionalFormatting sqref="R98:R103">
    <cfRule type="colorScale" priority="37">
      <colorScale>
        <cfvo type="min" val="0"/>
        <cfvo type="percentile" val="50"/>
        <cfvo type="max" val="0"/>
        <color rgb="FFF8696B"/>
        <color rgb="FFFFEB84"/>
        <color rgb="FF63BE7B"/>
      </colorScale>
    </cfRule>
  </conditionalFormatting>
  <conditionalFormatting sqref="V97:V98">
    <cfRule type="colorScale" priority="36">
      <colorScale>
        <cfvo type="min" val="0"/>
        <cfvo type="percentile" val="50"/>
        <cfvo type="max" val="0"/>
        <color rgb="FFF8696B"/>
        <color rgb="FFFFEB84"/>
        <color rgb="FF63BE7B"/>
      </colorScale>
    </cfRule>
  </conditionalFormatting>
  <conditionalFormatting sqref="R98:AB103 S97:AB97">
    <cfRule type="colorScale" priority="35">
      <colorScale>
        <cfvo type="min" val="0"/>
        <cfvo type="percentile" val="50"/>
        <cfvo type="max" val="0"/>
        <color rgb="FFF8696B"/>
        <color rgb="FFFFEB84"/>
        <color rgb="FF63BE7B"/>
      </colorScale>
    </cfRule>
  </conditionalFormatting>
  <conditionalFormatting sqref="R97">
    <cfRule type="colorScale" priority="34">
      <colorScale>
        <cfvo type="min" val="0"/>
        <cfvo type="percentile" val="50"/>
        <cfvo type="max" val="0"/>
        <color rgb="FFF8696B"/>
        <color rgb="FFFFEB84"/>
        <color rgb="FF63BE7B"/>
      </colorScale>
    </cfRule>
  </conditionalFormatting>
  <conditionalFormatting sqref="R97:AB103">
    <cfRule type="colorScale" priority="33">
      <colorScale>
        <cfvo type="min" val="0"/>
        <cfvo type="percentile" val="50"/>
        <cfvo type="max" val="0"/>
        <color rgb="FFF8696B"/>
        <color rgb="FFFFEB84"/>
        <color rgb="FF63BE7B"/>
      </colorScale>
    </cfRule>
  </conditionalFormatting>
  <conditionalFormatting sqref="T85:U86 W85:AB86 T87:AB91">
    <cfRule type="colorScale" priority="32">
      <colorScale>
        <cfvo type="min" val="0"/>
        <cfvo type="percentile" val="50"/>
        <cfvo type="max" val="0"/>
        <color rgb="FFF8696B"/>
        <color rgb="FFFFEB84"/>
        <color rgb="FF63BE7B"/>
      </colorScale>
    </cfRule>
  </conditionalFormatting>
  <conditionalFormatting sqref="S85:S91">
    <cfRule type="colorScale" priority="31">
      <colorScale>
        <cfvo type="min" val="0"/>
        <cfvo type="percentile" val="50"/>
        <cfvo type="max" val="0"/>
        <color rgb="FFF8696B"/>
        <color rgb="FFFFEB84"/>
        <color rgb="FF63BE7B"/>
      </colorScale>
    </cfRule>
  </conditionalFormatting>
  <conditionalFormatting sqref="R86:R91">
    <cfRule type="colorScale" priority="30">
      <colorScale>
        <cfvo type="min" val="0"/>
        <cfvo type="percentile" val="50"/>
        <cfvo type="max" val="0"/>
        <color rgb="FFF8696B"/>
        <color rgb="FFFFEB84"/>
        <color rgb="FF63BE7B"/>
      </colorScale>
    </cfRule>
  </conditionalFormatting>
  <conditionalFormatting sqref="V85:V86">
    <cfRule type="colorScale" priority="29">
      <colorScale>
        <cfvo type="min" val="0"/>
        <cfvo type="percentile" val="50"/>
        <cfvo type="max" val="0"/>
        <color rgb="FFF8696B"/>
        <color rgb="FFFFEB84"/>
        <color rgb="FF63BE7B"/>
      </colorScale>
    </cfRule>
  </conditionalFormatting>
  <conditionalFormatting sqref="R86:AB91 S85:AB85">
    <cfRule type="colorScale" priority="28">
      <colorScale>
        <cfvo type="min" val="0"/>
        <cfvo type="percentile" val="50"/>
        <cfvo type="max" val="0"/>
        <color rgb="FFF8696B"/>
        <color rgb="FFFFEB84"/>
        <color rgb="FF63BE7B"/>
      </colorScale>
    </cfRule>
  </conditionalFormatting>
  <conditionalFormatting sqref="R85">
    <cfRule type="colorScale" priority="27">
      <colorScale>
        <cfvo type="min" val="0"/>
        <cfvo type="percentile" val="50"/>
        <cfvo type="max" val="0"/>
        <color rgb="FFF8696B"/>
        <color rgb="FFFFEB84"/>
        <color rgb="FF63BE7B"/>
      </colorScale>
    </cfRule>
  </conditionalFormatting>
  <conditionalFormatting sqref="R85:AB91">
    <cfRule type="colorScale" priority="26">
      <colorScale>
        <cfvo type="min" val="0"/>
        <cfvo type="percentile" val="50"/>
        <cfvo type="max" val="0"/>
        <color rgb="FFF8696B"/>
        <color rgb="FFFFEB84"/>
        <color rgb="FF63BE7B"/>
      </colorScale>
    </cfRule>
  </conditionalFormatting>
  <conditionalFormatting sqref="T109:U110 W109:AB110 T111:AB115">
    <cfRule type="colorScale" priority="23">
      <colorScale>
        <cfvo type="min" val="0"/>
        <cfvo type="percentile" val="50"/>
        <cfvo type="max" val="0"/>
        <color rgb="FFF8696B"/>
        <color rgb="FFFFEB84"/>
        <color rgb="FF63BE7B"/>
      </colorScale>
    </cfRule>
  </conditionalFormatting>
  <conditionalFormatting sqref="S109:S115">
    <cfRule type="colorScale" priority="22">
      <colorScale>
        <cfvo type="min" val="0"/>
        <cfvo type="percentile" val="50"/>
        <cfvo type="max" val="0"/>
        <color rgb="FFF8696B"/>
        <color rgb="FFFFEB84"/>
        <color rgb="FF63BE7B"/>
      </colorScale>
    </cfRule>
  </conditionalFormatting>
  <conditionalFormatting sqref="R110:R115">
    <cfRule type="colorScale" priority="21">
      <colorScale>
        <cfvo type="min" val="0"/>
        <cfvo type="percentile" val="50"/>
        <cfvo type="max" val="0"/>
        <color rgb="FFF8696B"/>
        <color rgb="FFFFEB84"/>
        <color rgb="FF63BE7B"/>
      </colorScale>
    </cfRule>
  </conditionalFormatting>
  <conditionalFormatting sqref="V109:V110">
    <cfRule type="colorScale" priority="20">
      <colorScale>
        <cfvo type="min" val="0"/>
        <cfvo type="percentile" val="50"/>
        <cfvo type="max" val="0"/>
        <color rgb="FFF8696B"/>
        <color rgb="FFFFEB84"/>
        <color rgb="FF63BE7B"/>
      </colorScale>
    </cfRule>
  </conditionalFormatting>
  <conditionalFormatting sqref="R110:AB115 S109:AB109">
    <cfRule type="colorScale" priority="19">
      <colorScale>
        <cfvo type="min" val="0"/>
        <cfvo type="percentile" val="50"/>
        <cfvo type="max" val="0"/>
        <color rgb="FFF8696B"/>
        <color rgb="FFFFEB84"/>
        <color rgb="FF63BE7B"/>
      </colorScale>
    </cfRule>
  </conditionalFormatting>
  <conditionalFormatting sqref="R109">
    <cfRule type="colorScale" priority="18">
      <colorScale>
        <cfvo type="min" val="0"/>
        <cfvo type="percentile" val="50"/>
        <cfvo type="max" val="0"/>
        <color rgb="FFF8696B"/>
        <color rgb="FFFFEB84"/>
        <color rgb="FF63BE7B"/>
      </colorScale>
    </cfRule>
  </conditionalFormatting>
  <conditionalFormatting sqref="R109:AB115">
    <cfRule type="colorScale" priority="17">
      <colorScale>
        <cfvo type="min" val="0"/>
        <cfvo type="percentile" val="50"/>
        <cfvo type="max" val="0"/>
        <color rgb="FFF8696B"/>
        <color rgb="FFFFEB84"/>
        <color rgb="FF63BE7B"/>
      </colorScale>
    </cfRule>
  </conditionalFormatting>
  <conditionalFormatting sqref="T121:U122 W121:AB122 T123:AB127">
    <cfRule type="colorScale" priority="16">
      <colorScale>
        <cfvo type="min" val="0"/>
        <cfvo type="percentile" val="50"/>
        <cfvo type="max" val="0"/>
        <color rgb="FFF8696B"/>
        <color rgb="FFFFEB84"/>
        <color rgb="FF63BE7B"/>
      </colorScale>
    </cfRule>
  </conditionalFormatting>
  <conditionalFormatting sqref="S121:S127">
    <cfRule type="colorScale" priority="15">
      <colorScale>
        <cfvo type="min" val="0"/>
        <cfvo type="percentile" val="50"/>
        <cfvo type="max" val="0"/>
        <color rgb="FFF8696B"/>
        <color rgb="FFFFEB84"/>
        <color rgb="FF63BE7B"/>
      </colorScale>
    </cfRule>
  </conditionalFormatting>
  <conditionalFormatting sqref="R122:R127">
    <cfRule type="colorScale" priority="14">
      <colorScale>
        <cfvo type="min" val="0"/>
        <cfvo type="percentile" val="50"/>
        <cfvo type="max" val="0"/>
        <color rgb="FFF8696B"/>
        <color rgb="FFFFEB84"/>
        <color rgb="FF63BE7B"/>
      </colorScale>
    </cfRule>
  </conditionalFormatting>
  <conditionalFormatting sqref="V121:V122">
    <cfRule type="colorScale" priority="13">
      <colorScale>
        <cfvo type="min" val="0"/>
        <cfvo type="percentile" val="50"/>
        <cfvo type="max" val="0"/>
        <color rgb="FFF8696B"/>
        <color rgb="FFFFEB84"/>
        <color rgb="FF63BE7B"/>
      </colorScale>
    </cfRule>
  </conditionalFormatting>
  <conditionalFormatting sqref="R122:AB127 S121:AB121">
    <cfRule type="colorScale" priority="12">
      <colorScale>
        <cfvo type="min" val="0"/>
        <cfvo type="percentile" val="50"/>
        <cfvo type="max" val="0"/>
        <color rgb="FFF8696B"/>
        <color rgb="FFFFEB84"/>
        <color rgb="FF63BE7B"/>
      </colorScale>
    </cfRule>
  </conditionalFormatting>
  <conditionalFormatting sqref="R121">
    <cfRule type="colorScale" priority="11">
      <colorScale>
        <cfvo type="min" val="0"/>
        <cfvo type="percentile" val="50"/>
        <cfvo type="max" val="0"/>
        <color rgb="FFF8696B"/>
        <color rgb="FFFFEB84"/>
        <color rgb="FF63BE7B"/>
      </colorScale>
    </cfRule>
  </conditionalFormatting>
  <conditionalFormatting sqref="R121:AB127">
    <cfRule type="colorScale" priority="10">
      <colorScale>
        <cfvo type="min" val="0"/>
        <cfvo type="percentile" val="50"/>
        <cfvo type="max" val="0"/>
        <color rgb="FFF8696B"/>
        <color rgb="FFFFEB84"/>
        <color rgb="FF63BE7B"/>
      </colorScale>
    </cfRule>
  </conditionalFormatting>
  <conditionalFormatting sqref="T61:U62 W61:AB62 T63:AB67">
    <cfRule type="colorScale" priority="9">
      <colorScale>
        <cfvo type="min" val="0"/>
        <cfvo type="percentile" val="50"/>
        <cfvo type="max" val="0"/>
        <color rgb="FFF8696B"/>
        <color rgb="FFFFEB84"/>
        <color rgb="FF63BE7B"/>
      </colorScale>
    </cfRule>
  </conditionalFormatting>
  <conditionalFormatting sqref="S61:S67">
    <cfRule type="colorScale" priority="8">
      <colorScale>
        <cfvo type="min" val="0"/>
        <cfvo type="percentile" val="50"/>
        <cfvo type="max" val="0"/>
        <color rgb="FFF8696B"/>
        <color rgb="FFFFEB84"/>
        <color rgb="FF63BE7B"/>
      </colorScale>
    </cfRule>
  </conditionalFormatting>
  <conditionalFormatting sqref="R62:R67">
    <cfRule type="colorScale" priority="7">
      <colorScale>
        <cfvo type="min" val="0"/>
        <cfvo type="percentile" val="50"/>
        <cfvo type="max" val="0"/>
        <color rgb="FFF8696B"/>
        <color rgb="FFFFEB84"/>
        <color rgb="FF63BE7B"/>
      </colorScale>
    </cfRule>
  </conditionalFormatting>
  <conditionalFormatting sqref="V61:V62">
    <cfRule type="colorScale" priority="6">
      <colorScale>
        <cfvo type="min" val="0"/>
        <cfvo type="percentile" val="50"/>
        <cfvo type="max" val="0"/>
        <color rgb="FFF8696B"/>
        <color rgb="FFFFEB84"/>
        <color rgb="FF63BE7B"/>
      </colorScale>
    </cfRule>
  </conditionalFormatting>
  <conditionalFormatting sqref="R62:AB67 S61:AB61">
    <cfRule type="colorScale" priority="5">
      <colorScale>
        <cfvo type="min" val="0"/>
        <cfvo type="percentile" val="50"/>
        <cfvo type="max" val="0"/>
        <color rgb="FFF8696B"/>
        <color rgb="FFFFEB84"/>
        <color rgb="FF63BE7B"/>
      </colorScale>
    </cfRule>
  </conditionalFormatting>
  <conditionalFormatting sqref="R61">
    <cfRule type="colorScale" priority="4">
      <colorScale>
        <cfvo type="min" val="0"/>
        <cfvo type="percentile" val="50"/>
        <cfvo type="max" val="0"/>
        <color rgb="FFF8696B"/>
        <color rgb="FFFFEB84"/>
        <color rgb="FF63BE7B"/>
      </colorScale>
    </cfRule>
  </conditionalFormatting>
  <conditionalFormatting sqref="R61:AB67">
    <cfRule type="colorScale" priority="3">
      <colorScale>
        <cfvo type="min" val="0"/>
        <cfvo type="percentile" val="50"/>
        <cfvo type="max" val="0"/>
        <color rgb="FFF8696B"/>
        <color rgb="FFFFEB84"/>
        <color rgb="FF63BE7B"/>
      </colorScale>
    </cfRule>
  </conditionalFormatting>
  <conditionalFormatting sqref="E2">
    <cfRule type="colorScale" priority="1">
      <colorScale>
        <cfvo type="min" val="0"/>
        <cfvo type="percentile" val="50"/>
        <cfvo type="max" val="0"/>
        <color rgb="FFF8696B"/>
        <color rgb="FFFFEB84"/>
        <color rgb="FF63BE7B"/>
      </colorScale>
    </cfRule>
  </conditionalFormatting>
  <pageMargins left="0.7" right="0.7" top="0.75" bottom="0.75" header="0.3" footer="0.3"/>
  <pageSetup orientation="portrait" r:id="rId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6" tint="0.39998"/>
  </sheetPr>
  <dimension ref="B1:AG37"/>
  <sheetViews>
    <sheetView zoomScale="70" zoomScaleNormal="70" workbookViewId="0" topLeftCell="A1"/>
  </sheetViews>
  <sheetFormatPr defaultColWidth="8.88888888888889" defaultRowHeight="14.4"/>
  <cols>
    <col min="2" max="2" width="15.7777777777778" customWidth="1"/>
    <col min="3" max="3" width="20.2222222222222" bestFit="1" customWidth="1"/>
    <col min="4" max="4" width="29.2222222222222" bestFit="1" customWidth="1"/>
    <col min="5" max="5" width="54.7777777777778" bestFit="1" customWidth="1"/>
    <col min="6" max="6" width="24.2222222222222" bestFit="1" customWidth="1"/>
    <col min="7" max="7" width="55.2222222222222" bestFit="1" customWidth="1"/>
    <col min="8" max="8" width="8.77777777777778" customWidth="1"/>
    <col min="9" max="9" width="99.2222222222222" bestFit="1" customWidth="1"/>
    <col min="10" max="10" width="24.2222222222222" bestFit="1" customWidth="1"/>
    <col min="11" max="11" width="23.4444444444444" bestFit="1" customWidth="1"/>
    <col min="12" max="12" width="25" bestFit="1" customWidth="1"/>
    <col min="13" max="13" width="25.2222222222222" bestFit="1" customWidth="1"/>
    <col min="14" max="14" width="16.7777777777778" bestFit="1" customWidth="1"/>
    <col min="15" max="15" width="17.4444444444444" bestFit="1" customWidth="1"/>
    <col min="16" max="16" width="30.7777777777778" bestFit="1" customWidth="1"/>
    <col min="17" max="17" width="28.7777777777778" bestFit="1" customWidth="1"/>
    <col min="18" max="18" width="12.7777777777778" bestFit="1" customWidth="1"/>
    <col min="19" max="19" width="14.2222222222222" bestFit="1" customWidth="1"/>
    <col min="20" max="20" width="26.2222222222222" bestFit="1" customWidth="1"/>
    <col min="21" max="21" width="23.2222222222222" bestFit="1" customWidth="1"/>
    <col min="22" max="22" width="23.5555555555556" bestFit="1" customWidth="1"/>
    <col min="23" max="23" width="20.7777777777778" bestFit="1" customWidth="1"/>
    <col min="24" max="24" width="28.7777777777778" bestFit="1" customWidth="1"/>
    <col min="25" max="25" width="26.2222222222222" style="500" bestFit="1" customWidth="1"/>
    <col min="26" max="26" width="24.4444444444444" bestFit="1" customWidth="1"/>
    <col min="27" max="28" width="22" bestFit="1" customWidth="1"/>
    <col min="29" max="29" width="19.2222222222222" bestFit="1" customWidth="1"/>
    <col min="30" max="30" width="27.4444444444444" bestFit="1" customWidth="1"/>
    <col min="31" max="31" width="25" style="500" bestFit="1" customWidth="1"/>
    <col min="32" max="32" width="35.7777777777778" bestFit="1" customWidth="1"/>
    <col min="33" max="33" width="95.2222222222222" bestFit="1" customWidth="1"/>
  </cols>
  <sheetData>
    <row r="1" ht="14.4">
      <c r="B1" s="338" t="s">
        <v>1632</v>
      </c>
    </row>
    <row r="2" ht="14.4"/>
    <row r="3" spans="2:33" ht="14.4">
      <c r="B3" s="338" t="s">
        <v>1180</v>
      </c>
      <c r="C3" s="338" t="s">
        <v>1181</v>
      </c>
      <c r="D3" s="338" t="s">
        <v>1182</v>
      </c>
      <c r="E3" s="338" t="s">
        <v>1183</v>
      </c>
      <c r="F3" s="338" t="s">
        <v>847</v>
      </c>
      <c r="G3" s="338" t="s">
        <v>1184</v>
      </c>
      <c r="H3" s="338" t="s">
        <v>784</v>
      </c>
      <c r="I3" s="338" t="s">
        <v>78</v>
      </c>
      <c r="J3" s="338" t="s">
        <v>847</v>
      </c>
      <c r="K3" s="338" t="s">
        <v>1332</v>
      </c>
      <c r="L3" s="338" t="s">
        <v>1333</v>
      </c>
      <c r="M3" s="338" t="s">
        <v>1334</v>
      </c>
      <c r="N3" s="338" t="s">
        <v>1335</v>
      </c>
      <c r="O3" s="338" t="s">
        <v>1427</v>
      </c>
      <c r="P3" s="338" t="s">
        <v>1343</v>
      </c>
      <c r="Q3" s="338" t="s">
        <v>1344</v>
      </c>
      <c r="R3" s="338" t="s">
        <v>1330</v>
      </c>
      <c r="S3" s="338" t="s">
        <v>1331</v>
      </c>
      <c r="T3" s="338" t="s">
        <v>1670</v>
      </c>
      <c r="U3" s="338" t="s">
        <v>1672</v>
      </c>
      <c r="V3" s="338" t="s">
        <v>1671</v>
      </c>
      <c r="W3" s="338" t="s">
        <v>1673</v>
      </c>
      <c r="X3" s="338" t="s">
        <v>1668</v>
      </c>
      <c r="Y3" s="574" t="s">
        <v>1669</v>
      </c>
      <c r="Z3" s="338" t="s">
        <v>1676</v>
      </c>
      <c r="AA3" s="338" t="s">
        <v>1678</v>
      </c>
      <c r="AB3" s="338" t="s">
        <v>1677</v>
      </c>
      <c r="AC3" s="338" t="s">
        <v>1679</v>
      </c>
      <c r="AD3" s="338" t="s">
        <v>1674</v>
      </c>
      <c r="AE3" s="574" t="s">
        <v>1675</v>
      </c>
      <c r="AF3" s="338" t="s">
        <v>1340</v>
      </c>
      <c r="AG3" s="338" t="s">
        <v>78</v>
      </c>
    </row>
    <row r="4" spans="2:32" ht="14.4">
      <c r="B4" t="s">
        <v>349</v>
      </c>
      <c r="C4" t="s">
        <v>1200</v>
      </c>
      <c r="D4" t="s">
        <v>1201</v>
      </c>
      <c r="E4" t="s">
        <v>1202</v>
      </c>
      <c r="G4" s="533" t="s">
        <v>1203</v>
      </c>
      <c r="I4" t="s">
        <v>1204</v>
      </c>
      <c r="J4" t="s">
        <v>1420</v>
      </c>
      <c r="K4">
        <f>26*2</f>
        <v>52</v>
      </c>
      <c r="L4" s="337">
        <v>32</v>
      </c>
      <c r="M4" s="337">
        <f>K4-L4</f>
        <v>20</v>
      </c>
      <c r="N4" s="337" t="s">
        <v>1336</v>
      </c>
      <c r="O4" s="337">
        <f>AVERAGEIFS('General Lighting Factors'!$E:$E,'General Lighting Factors'!$D:$D,'General Lighting Calculations'!$N4)</f>
        <v>1980.50</v>
      </c>
      <c r="P4" s="337">
        <f>AVERAGEIFS('General Lighting Factors'!$J:$J,'General Lighting Factors'!$I:$I,'General Lighting Calculations'!$J4)</f>
        <v>40000</v>
      </c>
      <c r="Q4" s="337">
        <f>P4/O4</f>
        <v>20.19691996970462</v>
      </c>
      <c r="R4">
        <v>130</v>
      </c>
      <c r="S4">
        <v>30</v>
      </c>
      <c r="T4">
        <f>IF($AF4=1,(K4*10^-3)*$O4,"")</f>
        <v>102.986</v>
      </c>
      <c r="U4">
        <f>IF($AF4=1,$T4*$R4,"")</f>
        <v>13388.18</v>
      </c>
      <c r="V4">
        <f>IF($AF4=1,(L4*10^-3)*$O4,"")</f>
        <v>63.376000000000005</v>
      </c>
      <c r="W4">
        <f>IF($AF4=1,$V4*$S4,"")</f>
        <v>1901.2800000000002</v>
      </c>
      <c r="X4">
        <f>IF($AF4=1,T4-V4,"")</f>
        <v>39.61</v>
      </c>
      <c r="Y4" s="500">
        <f>IF($AF4=1,U4-W4,"")</f>
        <v>11486.90</v>
      </c>
      <c r="Z4">
        <f>IF($AF4=1,($K4*10^-3)*AVERAGEIFS('General Lighting Factors'!$R:$R,'General Lighting Factors'!$O:$O,$N4)*AVERAGEIFS('General Lighting Factors'!$U:$U,'General Lighting Factors'!$O:$O,$N4),"")</f>
        <v>0.037014917333333341</v>
      </c>
      <c r="AA4">
        <f>IF($AF4=1,$Z4*$R4,"")</f>
        <v>4.8119392533333345</v>
      </c>
      <c r="AB4">
        <f>IF($AF4=1,($L4*10^-3)*AVERAGEIFS('General Lighting Factors'!$R:$R,'General Lighting Factors'!$O:$O,$N4)*AVERAGEIFS('General Lighting Factors'!$U:$U,'General Lighting Factors'!$O:$O,$N4),"")</f>
        <v>0.022778410666666669</v>
      </c>
      <c r="AC4">
        <f>IF($AF4=1,$AB4*$R4,"")</f>
        <v>2.9611933866666669</v>
      </c>
      <c r="AD4">
        <f>IF($AF4=1,Z4-AB4,"")</f>
        <v>0.014236506666666673</v>
      </c>
      <c r="AE4" s="500">
        <f>IF($AF4=1,AA4-AC4,"")</f>
        <v>1.8507458666666676</v>
      </c>
      <c r="AF4">
        <v>1</v>
      </c>
    </row>
    <row r="5" spans="2:32" ht="14.4">
      <c r="B5" t="s">
        <v>349</v>
      </c>
      <c r="C5" t="s">
        <v>1205</v>
      </c>
      <c r="D5" t="s">
        <v>1206</v>
      </c>
      <c r="E5" t="s">
        <v>1207</v>
      </c>
      <c r="F5" t="s">
        <v>1187</v>
      </c>
      <c r="G5" s="533">
        <v>6</v>
      </c>
      <c r="I5" s="509" t="s">
        <v>1208</v>
      </c>
      <c r="J5" s="509" t="s">
        <v>1420</v>
      </c>
      <c r="K5">
        <v>400</v>
      </c>
      <c r="L5">
        <v>32</v>
      </c>
      <c r="M5" s="337">
        <f t="shared" si="0" ref="M5:M11">K5-L5</f>
        <v>368</v>
      </c>
      <c r="N5" t="s">
        <v>1337</v>
      </c>
      <c r="O5" s="337">
        <f>AVERAGEIFS('General Lighting Factors'!$E:$E,'General Lighting Factors'!$D:$D,'General Lighting Calculations'!$N5)</f>
        <v>1969.50</v>
      </c>
      <c r="P5" s="337">
        <f>AVERAGEIFS('General Lighting Factors'!$J:$J,'General Lighting Factors'!$I:$I,'General Lighting Calculations'!$J5)</f>
        <v>40000</v>
      </c>
      <c r="Q5" s="337">
        <f t="shared" si="1" ref="Q5:Q37">P5/O5</f>
        <v>20.309723280020311</v>
      </c>
      <c r="R5">
        <v>6</v>
      </c>
      <c r="S5">
        <v>6</v>
      </c>
      <c r="T5">
        <f t="shared" si="2" ref="T5:T27">IF($AF5=1,(K5*10^-3)*$O5,"")</f>
        <v>787.80</v>
      </c>
      <c r="U5">
        <f t="shared" si="3" ref="U5:U37">IF($AF5=1,$T5*$R5,"")</f>
        <v>4726.80</v>
      </c>
      <c r="V5">
        <f t="shared" si="4" ref="V5:V27">IF($AF5=1,(L5*10^-3)*$O5,"")</f>
        <v>63.024000000000001</v>
      </c>
      <c r="W5">
        <f t="shared" si="5" ref="W5:W37">IF($AF5=1,$V5*$S5,"")</f>
        <v>378.14400000000001</v>
      </c>
      <c r="X5">
        <f t="shared" si="6" ref="X5:X27">IF($AF5=1,T5-V5,"")</f>
        <v>724.77600000000007</v>
      </c>
      <c r="Y5" s="500">
        <f t="shared" si="7" ref="Y5:Y37">IF($AF5=1,U5-W5,"")</f>
        <v>4348.6559999999999</v>
      </c>
      <c r="Z5">
        <f>IF($AF5=1,($K5*10^-3)*AVERAGEIFS('General Lighting Factors'!$R:$R,'General Lighting Factors'!$O:$O,$N5)*AVERAGEIFS('General Lighting Factors'!$U:$U,'General Lighting Factors'!$O:$O,$N5),"")</f>
        <v>0.25724160000000007</v>
      </c>
      <c r="AA5">
        <f t="shared" si="8" ref="AA5:AA37">IF($AF5=1,$Z5*$R5,"")</f>
        <v>1.5434496000000004</v>
      </c>
      <c r="AB5">
        <f>IF($AF5=1,($L5*10^-3)*AVERAGEIFS('General Lighting Factors'!$R:$R,'General Lighting Factors'!$O:$O,$N5)*AVERAGEIFS('General Lighting Factors'!$U:$U,'General Lighting Factors'!$O:$O,$N5),"")</f>
        <v>0.020579328000000004</v>
      </c>
      <c r="AC5">
        <f t="shared" si="9" ref="AC5:AC37">IF($AF5=1,$AB5*$R5,"")</f>
        <v>0.12347596800000002</v>
      </c>
      <c r="AD5">
        <f t="shared" si="10" ref="AD5:AD27">IF($AF5=1,Z5-AB5,"")</f>
        <v>0.23666227200000006</v>
      </c>
      <c r="AE5" s="500">
        <f t="shared" si="11" ref="AE5:AE37">IF($AF5=1,AA5-AC5,"")</f>
        <v>1.4199736320000005</v>
      </c>
      <c r="AF5">
        <v>1</v>
      </c>
    </row>
    <row r="6" spans="2:33" ht="14.4">
      <c r="B6" t="s">
        <v>349</v>
      </c>
      <c r="C6" t="s">
        <v>1205</v>
      </c>
      <c r="D6" t="s">
        <v>1206</v>
      </c>
      <c r="E6" t="s">
        <v>1209</v>
      </c>
      <c r="F6" t="s">
        <v>1187</v>
      </c>
      <c r="G6" s="533">
        <v>2</v>
      </c>
      <c r="I6" s="509" t="s">
        <v>1210</v>
      </c>
      <c r="J6" s="509" t="s">
        <v>1420</v>
      </c>
      <c r="K6">
        <v>400</v>
      </c>
      <c r="L6">
        <v>400</v>
      </c>
      <c r="M6" s="337">
        <f t="shared" si="0"/>
        <v>0</v>
      </c>
      <c r="N6" t="s">
        <v>1337</v>
      </c>
      <c r="O6" s="337">
        <f>AVERAGEIFS('General Lighting Factors'!$E:$E,'General Lighting Factors'!$D:$D,'General Lighting Calculations'!$N6)</f>
        <v>1969.50</v>
      </c>
      <c r="P6" s="337">
        <f>AVERAGEIFS('General Lighting Factors'!$J:$J,'General Lighting Factors'!$I:$I,'General Lighting Calculations'!$J6)</f>
        <v>40000</v>
      </c>
      <c r="Q6" s="337">
        <f t="shared" si="1"/>
        <v>20.309723280020311</v>
      </c>
      <c r="R6">
        <v>2</v>
      </c>
      <c r="S6">
        <v>2</v>
      </c>
      <c r="T6" t="str">
        <f t="shared" si="2"/>
        <v/>
      </c>
      <c r="U6" t="str">
        <f t="shared" si="3"/>
        <v/>
      </c>
      <c r="V6" t="str">
        <f t="shared" si="4"/>
        <v/>
      </c>
      <c r="W6" t="str">
        <f t="shared" si="5"/>
        <v/>
      </c>
      <c r="X6" t="str">
        <f t="shared" si="6"/>
        <v/>
      </c>
      <c r="Y6" s="500" t="str">
        <f t="shared" si="7"/>
        <v/>
      </c>
      <c r="Z6" t="str">
        <f>IF($AF6=1,($K6*10^-3)*AVERAGEIFS('General Lighting Factors'!$R:$R,'General Lighting Factors'!$O:$O,$N6)*AVERAGEIFS('General Lighting Factors'!$U:$U,'General Lighting Factors'!$O:$O,$N6),"")</f>
        <v/>
      </c>
      <c r="AA6" t="str">
        <f t="shared" si="8"/>
        <v/>
      </c>
      <c r="AB6" t="str">
        <f>IF($AF6=1,($L6*10^-3)*AVERAGEIFS('General Lighting Factors'!$R:$R,'General Lighting Factors'!$O:$O,$N6)*AVERAGEIFS('General Lighting Factors'!$U:$U,'General Lighting Factors'!$O:$O,$N6),"")</f>
        <v/>
      </c>
      <c r="AC6" t="str">
        <f t="shared" si="9"/>
        <v/>
      </c>
      <c r="AD6" t="str">
        <f t="shared" si="10"/>
        <v/>
      </c>
      <c r="AE6" s="500" t="str">
        <f t="shared" si="11"/>
        <v/>
      </c>
      <c r="AF6">
        <v>0</v>
      </c>
      <c r="AG6" t="s">
        <v>1341</v>
      </c>
    </row>
    <row r="7" spans="2:33" ht="14.4">
      <c r="B7" t="s">
        <v>349</v>
      </c>
      <c r="C7" t="s">
        <v>1200</v>
      </c>
      <c r="D7" t="s">
        <v>1211</v>
      </c>
      <c r="E7" t="s">
        <v>1212</v>
      </c>
      <c r="G7" s="533">
        <v>2</v>
      </c>
      <c r="I7" s="509" t="s">
        <v>1213</v>
      </c>
      <c r="J7" s="509" t="s">
        <v>1420</v>
      </c>
      <c r="K7">
        <v>200</v>
      </c>
      <c r="L7">
        <v>200</v>
      </c>
      <c r="M7" s="337">
        <f t="shared" si="0"/>
        <v>0</v>
      </c>
      <c r="N7" t="s">
        <v>1336</v>
      </c>
      <c r="O7" s="337">
        <f>AVERAGEIFS('General Lighting Factors'!$E:$E,'General Lighting Factors'!$D:$D,'General Lighting Calculations'!$N7)</f>
        <v>1980.50</v>
      </c>
      <c r="P7" s="337">
        <f>AVERAGEIFS('General Lighting Factors'!$J:$J,'General Lighting Factors'!$I:$I,'General Lighting Calculations'!$J7)</f>
        <v>40000</v>
      </c>
      <c r="Q7" s="337">
        <f t="shared" si="1"/>
        <v>20.19691996970462</v>
      </c>
      <c r="R7">
        <v>2</v>
      </c>
      <c r="S7">
        <v>2</v>
      </c>
      <c r="T7" t="str">
        <f t="shared" si="2"/>
        <v/>
      </c>
      <c r="U7" t="str">
        <f t="shared" si="3"/>
        <v/>
      </c>
      <c r="V7" t="str">
        <f t="shared" si="4"/>
        <v/>
      </c>
      <c r="W7" t="str">
        <f t="shared" si="5"/>
        <v/>
      </c>
      <c r="X7" t="str">
        <f t="shared" si="6"/>
        <v/>
      </c>
      <c r="Y7" s="500" t="str">
        <f t="shared" si="7"/>
        <v/>
      </c>
      <c r="Z7" t="str">
        <f>IF($AF7=1,($K7*10^-3)*AVERAGEIFS('General Lighting Factors'!$R:$R,'General Lighting Factors'!$O:$O,$N7)*AVERAGEIFS('General Lighting Factors'!$U:$U,'General Lighting Factors'!$O:$O,$N7),"")</f>
        <v/>
      </c>
      <c r="AA7" t="str">
        <f t="shared" si="8"/>
        <v/>
      </c>
      <c r="AB7" t="str">
        <f>IF($AF7=1,($L7*10^-3)*AVERAGEIFS('General Lighting Factors'!$R:$R,'General Lighting Factors'!$O:$O,$N7)*AVERAGEIFS('General Lighting Factors'!$U:$U,'General Lighting Factors'!$O:$O,$N7),"")</f>
        <v/>
      </c>
      <c r="AC7" t="str">
        <f t="shared" si="9"/>
        <v/>
      </c>
      <c r="AD7" t="str">
        <f t="shared" si="10"/>
        <v/>
      </c>
      <c r="AE7" s="500" t="str">
        <f t="shared" si="11"/>
        <v/>
      </c>
      <c r="AF7">
        <v>0</v>
      </c>
      <c r="AG7" t="s">
        <v>1341</v>
      </c>
    </row>
    <row r="8" spans="2:32" ht="14.4">
      <c r="B8" t="s">
        <v>349</v>
      </c>
      <c r="C8" t="s">
        <v>1200</v>
      </c>
      <c r="D8" t="s">
        <v>1214</v>
      </c>
      <c r="E8" t="s">
        <v>1202</v>
      </c>
      <c r="G8" s="533" t="s">
        <v>1215</v>
      </c>
      <c r="I8" s="509" t="s">
        <v>1216</v>
      </c>
      <c r="J8" s="509" t="s">
        <v>1420</v>
      </c>
      <c r="K8">
        <f>26*2</f>
        <v>52</v>
      </c>
      <c r="L8">
        <v>32</v>
      </c>
      <c r="M8" s="337">
        <f t="shared" si="0"/>
        <v>20</v>
      </c>
      <c r="N8" t="s">
        <v>1336</v>
      </c>
      <c r="O8" s="337">
        <f>AVERAGEIFS('General Lighting Factors'!$E:$E,'General Lighting Factors'!$D:$D,'General Lighting Calculations'!$N8)</f>
        <v>1980.50</v>
      </c>
      <c r="P8" s="337">
        <f>AVERAGEIFS('General Lighting Factors'!$J:$J,'General Lighting Factors'!$I:$I,'General Lighting Calculations'!$J8)</f>
        <v>40000</v>
      </c>
      <c r="Q8" s="337">
        <f t="shared" si="1"/>
        <v>20.19691996970462</v>
      </c>
      <c r="R8">
        <v>33</v>
      </c>
      <c r="S8">
        <v>11</v>
      </c>
      <c r="T8">
        <f t="shared" si="2"/>
        <v>102.986</v>
      </c>
      <c r="U8">
        <f t="shared" si="3"/>
        <v>3398.538</v>
      </c>
      <c r="V8">
        <f t="shared" si="4"/>
        <v>63.376000000000005</v>
      </c>
      <c r="W8">
        <f t="shared" si="5"/>
        <v>697.13600000000008</v>
      </c>
      <c r="X8">
        <f t="shared" si="6"/>
        <v>39.61</v>
      </c>
      <c r="Y8" s="500">
        <f t="shared" si="7"/>
        <v>2701.402</v>
      </c>
      <c r="Z8">
        <f>IF($AF8=1,($K8*10^-3)*AVERAGEIFS('General Lighting Factors'!$R:$R,'General Lighting Factors'!$O:$O,$N8)*AVERAGEIFS('General Lighting Factors'!$U:$U,'General Lighting Factors'!$O:$O,$N8),"")</f>
        <v>0.037014917333333341</v>
      </c>
      <c r="AA8">
        <f t="shared" si="8"/>
        <v>1.2214922720000003</v>
      </c>
      <c r="AB8">
        <f>IF($AF8=1,($L8*10^-3)*AVERAGEIFS('General Lighting Factors'!$R:$R,'General Lighting Factors'!$O:$O,$N8)*AVERAGEIFS('General Lighting Factors'!$U:$U,'General Lighting Factors'!$O:$O,$N8),"")</f>
        <v>0.022778410666666669</v>
      </c>
      <c r="AC8">
        <f t="shared" si="9"/>
        <v>0.75168755200000004</v>
      </c>
      <c r="AD8">
        <f t="shared" si="10"/>
        <v>0.014236506666666673</v>
      </c>
      <c r="AE8" s="500">
        <f t="shared" si="11"/>
        <v>0.46980472000000029</v>
      </c>
      <c r="AF8">
        <v>1</v>
      </c>
    </row>
    <row r="9" spans="2:32" ht="14.4">
      <c r="B9" t="s">
        <v>349</v>
      </c>
      <c r="C9" t="s">
        <v>1200</v>
      </c>
      <c r="D9" t="s">
        <v>1217</v>
      </c>
      <c r="E9" t="s">
        <v>1218</v>
      </c>
      <c r="G9" s="533">
        <v>8</v>
      </c>
      <c r="I9" s="509" t="s">
        <v>1216</v>
      </c>
      <c r="J9" s="509" t="s">
        <v>1420</v>
      </c>
      <c r="K9">
        <v>26</v>
      </c>
      <c r="L9">
        <v>13</v>
      </c>
      <c r="M9" s="337">
        <f t="shared" si="0"/>
        <v>13</v>
      </c>
      <c r="N9" t="s">
        <v>1336</v>
      </c>
      <c r="O9" s="337">
        <f>AVERAGEIFS('General Lighting Factors'!$E:$E,'General Lighting Factors'!$D:$D,'General Lighting Calculations'!$N9)</f>
        <v>1980.50</v>
      </c>
      <c r="P9" s="337">
        <f>AVERAGEIFS('General Lighting Factors'!$J:$J,'General Lighting Factors'!$I:$I,'General Lighting Calculations'!$J9)</f>
        <v>40000</v>
      </c>
      <c r="Q9" s="337">
        <f t="shared" si="1"/>
        <v>20.19691996970462</v>
      </c>
      <c r="R9">
        <v>8</v>
      </c>
      <c r="S9">
        <v>8</v>
      </c>
      <c r="T9">
        <f t="shared" si="2"/>
        <v>51.493000000000002</v>
      </c>
      <c r="U9">
        <f t="shared" si="3"/>
        <v>411.94400000000002</v>
      </c>
      <c r="V9">
        <f t="shared" si="4"/>
        <v>25.746500000000001</v>
      </c>
      <c r="W9">
        <f t="shared" si="5"/>
        <v>205.97200000000001</v>
      </c>
      <c r="X9">
        <f t="shared" si="6"/>
        <v>25.746500000000001</v>
      </c>
      <c r="Y9" s="500">
        <f t="shared" si="7"/>
        <v>205.97200000000001</v>
      </c>
      <c r="Z9">
        <f>IF($AF9=1,($K9*10^-3)*AVERAGEIFS('General Lighting Factors'!$R:$R,'General Lighting Factors'!$O:$O,$N9)*AVERAGEIFS('General Lighting Factors'!$U:$U,'General Lighting Factors'!$O:$O,$N9),"")</f>
        <v>0.018507458666666671</v>
      </c>
      <c r="AA9">
        <f t="shared" si="8"/>
        <v>0.14805966933333337</v>
      </c>
      <c r="AB9">
        <f>IF($AF9=1,($L9*10^-3)*AVERAGEIFS('General Lighting Factors'!$R:$R,'General Lighting Factors'!$O:$O,$N9)*AVERAGEIFS('General Lighting Factors'!$U:$U,'General Lighting Factors'!$O:$O,$N9),"")</f>
        <v>0.0092537293333333354</v>
      </c>
      <c r="AC9">
        <f t="shared" si="9"/>
        <v>0.074029834666666683</v>
      </c>
      <c r="AD9">
        <f t="shared" si="10"/>
        <v>0.0092537293333333354</v>
      </c>
      <c r="AE9" s="500">
        <f t="shared" si="11"/>
        <v>0.074029834666666683</v>
      </c>
      <c r="AF9">
        <v>1</v>
      </c>
    </row>
    <row r="10" spans="2:32" ht="14.4">
      <c r="B10" t="s">
        <v>354</v>
      </c>
      <c r="C10" t="s">
        <v>1200</v>
      </c>
      <c r="D10" t="s">
        <v>1226</v>
      </c>
      <c r="E10" t="s">
        <v>1227</v>
      </c>
      <c r="G10" s="533">
        <v>28</v>
      </c>
      <c r="I10" t="s">
        <v>1228</v>
      </c>
      <c r="J10" s="509" t="s">
        <v>1420</v>
      </c>
      <c r="K10">
        <v>400</v>
      </c>
      <c r="L10">
        <v>80</v>
      </c>
      <c r="M10">
        <f t="shared" si="0"/>
        <v>320</v>
      </c>
      <c r="N10" t="s">
        <v>1337</v>
      </c>
      <c r="O10" s="337">
        <f>AVERAGEIFS('General Lighting Factors'!$E:$E,'General Lighting Factors'!$D:$D,'General Lighting Calculations'!$N10)</f>
        <v>1969.50</v>
      </c>
      <c r="P10" s="337">
        <f>AVERAGEIFS('General Lighting Factors'!$J:$J,'General Lighting Factors'!$I:$I,'General Lighting Calculations'!$J10)</f>
        <v>40000</v>
      </c>
      <c r="Q10" s="337">
        <f t="shared" si="1"/>
        <v>20.309723280020311</v>
      </c>
      <c r="R10">
        <v>28</v>
      </c>
      <c r="S10">
        <v>28</v>
      </c>
      <c r="T10">
        <f t="shared" si="2"/>
        <v>787.80</v>
      </c>
      <c r="U10">
        <f t="shared" si="3"/>
        <v>22058.40</v>
      </c>
      <c r="V10">
        <f t="shared" si="4"/>
        <v>157.56</v>
      </c>
      <c r="W10">
        <f t="shared" si="5"/>
        <v>4411.68</v>
      </c>
      <c r="X10">
        <f t="shared" si="6"/>
        <v>630.24</v>
      </c>
      <c r="Y10" s="500">
        <f t="shared" si="7"/>
        <v>17646.72</v>
      </c>
      <c r="Z10">
        <f>IF($AF10=1,($K10*10^-3)*AVERAGEIFS('General Lighting Factors'!$R:$R,'General Lighting Factors'!$O:$O,$N10)*AVERAGEIFS('General Lighting Factors'!$U:$U,'General Lighting Factors'!$O:$O,$N10),"")</f>
        <v>0.25724160000000007</v>
      </c>
      <c r="AA10">
        <f t="shared" si="8"/>
        <v>7.2027648000000024</v>
      </c>
      <c r="AB10">
        <f>IF($AF10=1,($L10*10^-3)*AVERAGEIFS('General Lighting Factors'!$R:$R,'General Lighting Factors'!$O:$O,$N10)*AVERAGEIFS('General Lighting Factors'!$U:$U,'General Lighting Factors'!$O:$O,$N10),"")</f>
        <v>0.051448320000000013</v>
      </c>
      <c r="AC10">
        <f t="shared" si="9"/>
        <v>1.4405529600000004</v>
      </c>
      <c r="AD10">
        <f t="shared" si="10"/>
        <v>0.20579328000000005</v>
      </c>
      <c r="AE10" s="500">
        <f t="shared" si="11"/>
        <v>5.7622118400000018</v>
      </c>
      <c r="AF10">
        <v>1</v>
      </c>
    </row>
    <row r="11" spans="2:32" ht="14.4">
      <c r="B11" t="s">
        <v>354</v>
      </c>
      <c r="C11" t="s">
        <v>1200</v>
      </c>
      <c r="D11" t="s">
        <v>1229</v>
      </c>
      <c r="E11" t="s">
        <v>1230</v>
      </c>
      <c r="G11" s="533" t="s">
        <v>1231</v>
      </c>
      <c r="I11" t="s">
        <v>1228</v>
      </c>
      <c r="J11" s="509" t="s">
        <v>1420</v>
      </c>
      <c r="K11">
        <f>34</f>
        <v>34</v>
      </c>
      <c r="L11">
        <v>18</v>
      </c>
      <c r="M11">
        <f t="shared" si="0"/>
        <v>16</v>
      </c>
      <c r="N11" t="s">
        <v>1337</v>
      </c>
      <c r="O11" s="337">
        <f>AVERAGEIFS('General Lighting Factors'!$E:$E,'General Lighting Factors'!$D:$D,'General Lighting Calculations'!$N11)</f>
        <v>1969.50</v>
      </c>
      <c r="P11" s="337">
        <f>AVERAGEIFS('General Lighting Factors'!$J:$J,'General Lighting Factors'!$I:$I,'General Lighting Calculations'!$J11)</f>
        <v>40000</v>
      </c>
      <c r="Q11" s="337">
        <f t="shared" si="1"/>
        <v>20.309723280020311</v>
      </c>
      <c r="R11">
        <v>162</v>
      </c>
      <c r="S11">
        <v>108</v>
      </c>
      <c r="T11">
        <f t="shared" si="2"/>
        <v>66.963000000000008</v>
      </c>
      <c r="U11">
        <f t="shared" si="3"/>
        <v>10848.006000000001</v>
      </c>
      <c r="V11">
        <f t="shared" si="4"/>
        <v>35.451000000000008</v>
      </c>
      <c r="W11">
        <f t="shared" si="5"/>
        <v>3828.708000000001</v>
      </c>
      <c r="X11">
        <f t="shared" si="6"/>
        <v>31.512</v>
      </c>
      <c r="Y11" s="500">
        <f t="shared" si="7"/>
        <v>7019.2980000000007</v>
      </c>
      <c r="Z11">
        <f>IF($AF11=1,($K11*10^-3)*AVERAGEIFS('General Lighting Factors'!$R:$R,'General Lighting Factors'!$O:$O,$N11)*AVERAGEIFS('General Lighting Factors'!$U:$U,'General Lighting Factors'!$O:$O,$N11),"")</f>
        <v>0.021865536000000005</v>
      </c>
      <c r="AA11">
        <f t="shared" si="8"/>
        <v>3.5422168320000007</v>
      </c>
      <c r="AB11">
        <f>IF($AF11=1,($L11*10^-3)*AVERAGEIFS('General Lighting Factors'!$R:$R,'General Lighting Factors'!$O:$O,$N11)*AVERAGEIFS('General Lighting Factors'!$U:$U,'General Lighting Factors'!$O:$O,$N11),"")</f>
        <v>0.011575872000000003</v>
      </c>
      <c r="AC11">
        <f t="shared" si="9"/>
        <v>1.8752912640000004</v>
      </c>
      <c r="AD11">
        <f t="shared" si="10"/>
        <v>0.010289664000000002</v>
      </c>
      <c r="AE11" s="500">
        <f t="shared" si="11"/>
        <v>1.6669255680000004</v>
      </c>
      <c r="AF11">
        <v>1</v>
      </c>
    </row>
    <row r="12" spans="2:33" ht="14.4">
      <c r="B12" t="s">
        <v>354</v>
      </c>
      <c r="C12" t="s">
        <v>1200</v>
      </c>
      <c r="E12" t="s">
        <v>1232</v>
      </c>
      <c r="G12" s="533">
        <v>84</v>
      </c>
      <c r="I12" t="s">
        <v>1233</v>
      </c>
      <c r="J12" s="509" t="s">
        <v>1424</v>
      </c>
      <c r="K12" s="448"/>
      <c r="L12" s="448">
        <v>59</v>
      </c>
      <c r="M12" s="448"/>
      <c r="N12" t="s">
        <v>1336</v>
      </c>
      <c r="O12" s="337">
        <f>AVERAGEIFS('General Lighting Factors'!$E:$E,'General Lighting Factors'!$D:$D,'General Lighting Calculations'!$N12)</f>
        <v>1980.50</v>
      </c>
      <c r="P12" s="337">
        <f>AVERAGEIFS('General Lighting Factors'!$J:$J,'General Lighting Factors'!$I:$I,'General Lighting Calculations'!$J12)</f>
        <v>50000</v>
      </c>
      <c r="Q12" s="337">
        <f t="shared" si="1"/>
        <v>25.246149962130776</v>
      </c>
      <c r="R12">
        <v>84</v>
      </c>
      <c r="S12">
        <v>84</v>
      </c>
      <c r="T12" t="str">
        <f t="shared" si="2"/>
        <v/>
      </c>
      <c r="U12" t="str">
        <f t="shared" si="3"/>
        <v/>
      </c>
      <c r="V12" t="str">
        <f t="shared" si="4"/>
        <v/>
      </c>
      <c r="W12" t="str">
        <f t="shared" si="5"/>
        <v/>
      </c>
      <c r="X12" t="str">
        <f t="shared" si="6"/>
        <v/>
      </c>
      <c r="Y12" s="500" t="str">
        <f t="shared" si="7"/>
        <v/>
      </c>
      <c r="Z12" t="str">
        <f>IF($AF12=1,($K12*10^-3)*AVERAGEIFS('General Lighting Factors'!$R:$R,'General Lighting Factors'!$O:$O,$N12)*AVERAGEIFS('General Lighting Factors'!$U:$U,'General Lighting Factors'!$O:$O,$N12),"")</f>
        <v/>
      </c>
      <c r="AA12" t="str">
        <f t="shared" si="8"/>
        <v/>
      </c>
      <c r="AB12" t="str">
        <f>IF($AF12=1,($L12*10^-3)*AVERAGEIFS('General Lighting Factors'!$R:$R,'General Lighting Factors'!$O:$O,$N12)*AVERAGEIFS('General Lighting Factors'!$U:$U,'General Lighting Factors'!$O:$O,$N12),"")</f>
        <v/>
      </c>
      <c r="AC12" t="str">
        <f t="shared" si="9"/>
        <v/>
      </c>
      <c r="AD12" t="str">
        <f t="shared" si="10"/>
        <v/>
      </c>
      <c r="AE12" s="500" t="str">
        <f t="shared" si="11"/>
        <v/>
      </c>
      <c r="AF12">
        <v>0</v>
      </c>
      <c r="AG12" t="s">
        <v>1342</v>
      </c>
    </row>
    <row r="13" spans="2:33" ht="14.4">
      <c r="B13" t="s">
        <v>354</v>
      </c>
      <c r="C13" t="s">
        <v>1200</v>
      </c>
      <c r="E13" t="s">
        <v>1234</v>
      </c>
      <c r="G13" s="533">
        <v>4</v>
      </c>
      <c r="I13" t="s">
        <v>1233</v>
      </c>
      <c r="J13" s="509" t="s">
        <v>1424</v>
      </c>
      <c r="K13" s="448"/>
      <c r="L13" s="448">
        <v>89</v>
      </c>
      <c r="M13" s="448"/>
      <c r="N13" t="s">
        <v>1336</v>
      </c>
      <c r="O13" s="337">
        <f>AVERAGEIFS('General Lighting Factors'!$E:$E,'General Lighting Factors'!$D:$D,'General Lighting Calculations'!$N13)</f>
        <v>1980.50</v>
      </c>
      <c r="P13" s="337">
        <f>AVERAGEIFS('General Lighting Factors'!$J:$J,'General Lighting Factors'!$I:$I,'General Lighting Calculations'!$J13)</f>
        <v>50000</v>
      </c>
      <c r="Q13" s="337">
        <f t="shared" si="1"/>
        <v>25.246149962130776</v>
      </c>
      <c r="R13">
        <v>4</v>
      </c>
      <c r="S13">
        <v>4</v>
      </c>
      <c r="T13" t="str">
        <f t="shared" si="2"/>
        <v/>
      </c>
      <c r="U13" t="str">
        <f t="shared" si="3"/>
        <v/>
      </c>
      <c r="V13" t="str">
        <f t="shared" si="4"/>
        <v/>
      </c>
      <c r="W13" t="str">
        <f t="shared" si="5"/>
        <v/>
      </c>
      <c r="X13" t="str">
        <f t="shared" si="6"/>
        <v/>
      </c>
      <c r="Y13" s="500" t="str">
        <f t="shared" si="7"/>
        <v/>
      </c>
      <c r="Z13" t="str">
        <f>IF($AF13=1,($K13*10^-3)*AVERAGEIFS('General Lighting Factors'!$R:$R,'General Lighting Factors'!$O:$O,$N13)*AVERAGEIFS('General Lighting Factors'!$U:$U,'General Lighting Factors'!$O:$O,$N13),"")</f>
        <v/>
      </c>
      <c r="AA13" t="str">
        <f t="shared" si="8"/>
        <v/>
      </c>
      <c r="AB13" t="str">
        <f>IF($AF13=1,($L13*10^-3)*AVERAGEIFS('General Lighting Factors'!$R:$R,'General Lighting Factors'!$O:$O,$N13)*AVERAGEIFS('General Lighting Factors'!$U:$U,'General Lighting Factors'!$O:$O,$N13),"")</f>
        <v/>
      </c>
      <c r="AC13" t="str">
        <f t="shared" si="9"/>
        <v/>
      </c>
      <c r="AD13" t="str">
        <f t="shared" si="10"/>
        <v/>
      </c>
      <c r="AE13" s="500" t="str">
        <f t="shared" si="11"/>
        <v/>
      </c>
      <c r="AF13">
        <v>0</v>
      </c>
      <c r="AG13" t="s">
        <v>1342</v>
      </c>
    </row>
    <row r="14" spans="2:33" ht="14.4">
      <c r="B14" t="s">
        <v>354</v>
      </c>
      <c r="C14" t="s">
        <v>1200</v>
      </c>
      <c r="E14" t="s">
        <v>1235</v>
      </c>
      <c r="G14" s="533">
        <v>43</v>
      </c>
      <c r="I14" t="s">
        <v>1233</v>
      </c>
      <c r="J14" s="509" t="s">
        <v>1420</v>
      </c>
      <c r="K14" s="448"/>
      <c r="L14" s="448">
        <v>25</v>
      </c>
      <c r="M14" s="448"/>
      <c r="N14" t="s">
        <v>1336</v>
      </c>
      <c r="O14" s="337">
        <f>AVERAGEIFS('General Lighting Factors'!$E:$E,'General Lighting Factors'!$D:$D,'General Lighting Calculations'!$N14)</f>
        <v>1980.50</v>
      </c>
      <c r="P14" s="337">
        <f>AVERAGEIFS('General Lighting Factors'!$J:$J,'General Lighting Factors'!$I:$I,'General Lighting Calculations'!$J14)</f>
        <v>40000</v>
      </c>
      <c r="Q14" s="337">
        <f t="shared" si="1"/>
        <v>20.19691996970462</v>
      </c>
      <c r="R14">
        <v>43</v>
      </c>
      <c r="S14">
        <v>43</v>
      </c>
      <c r="T14" t="str">
        <f t="shared" si="2"/>
        <v/>
      </c>
      <c r="U14" t="str">
        <f t="shared" si="3"/>
        <v/>
      </c>
      <c r="V14" t="str">
        <f t="shared" si="4"/>
        <v/>
      </c>
      <c r="W14" t="str">
        <f t="shared" si="5"/>
        <v/>
      </c>
      <c r="X14" t="str">
        <f t="shared" si="6"/>
        <v/>
      </c>
      <c r="Y14" s="500" t="str">
        <f t="shared" si="7"/>
        <v/>
      </c>
      <c r="Z14" t="str">
        <f>IF($AF14=1,($K14*10^-3)*AVERAGEIFS('General Lighting Factors'!$R:$R,'General Lighting Factors'!$O:$O,$N14)*AVERAGEIFS('General Lighting Factors'!$U:$U,'General Lighting Factors'!$O:$O,$N14),"")</f>
        <v/>
      </c>
      <c r="AA14" t="str">
        <f t="shared" si="8"/>
        <v/>
      </c>
      <c r="AB14" t="str">
        <f>IF($AF14=1,($L14*10^-3)*AVERAGEIFS('General Lighting Factors'!$R:$R,'General Lighting Factors'!$O:$O,$N14)*AVERAGEIFS('General Lighting Factors'!$U:$U,'General Lighting Factors'!$O:$O,$N14),"")</f>
        <v/>
      </c>
      <c r="AC14" t="str">
        <f t="shared" si="9"/>
        <v/>
      </c>
      <c r="AD14" t="str">
        <f t="shared" si="10"/>
        <v/>
      </c>
      <c r="AE14" s="500" t="str">
        <f t="shared" si="11"/>
        <v/>
      </c>
      <c r="AF14">
        <v>0</v>
      </c>
      <c r="AG14" t="s">
        <v>1342</v>
      </c>
    </row>
    <row r="15" spans="2:33" ht="14.4">
      <c r="B15" t="s">
        <v>354</v>
      </c>
      <c r="C15" t="s">
        <v>1200</v>
      </c>
      <c r="E15" t="s">
        <v>1236</v>
      </c>
      <c r="G15" s="533">
        <v>60</v>
      </c>
      <c r="I15" t="s">
        <v>1233</v>
      </c>
      <c r="J15" s="509" t="s">
        <v>1420</v>
      </c>
      <c r="K15" s="448"/>
      <c r="L15" s="448">
        <v>74</v>
      </c>
      <c r="M15" s="448"/>
      <c r="N15" t="s">
        <v>1336</v>
      </c>
      <c r="O15" s="337">
        <f>AVERAGEIFS('General Lighting Factors'!$E:$E,'General Lighting Factors'!$D:$D,'General Lighting Calculations'!$N15)</f>
        <v>1980.50</v>
      </c>
      <c r="P15" s="337">
        <f>AVERAGEIFS('General Lighting Factors'!$J:$J,'General Lighting Factors'!$I:$I,'General Lighting Calculations'!$J15)</f>
        <v>40000</v>
      </c>
      <c r="Q15" s="337">
        <f t="shared" si="1"/>
        <v>20.19691996970462</v>
      </c>
      <c r="R15">
        <v>60</v>
      </c>
      <c r="S15">
        <v>60</v>
      </c>
      <c r="T15" t="str">
        <f t="shared" si="2"/>
        <v/>
      </c>
      <c r="U15" t="str">
        <f t="shared" si="3"/>
        <v/>
      </c>
      <c r="V15" t="str">
        <f t="shared" si="4"/>
        <v/>
      </c>
      <c r="W15" t="str">
        <f t="shared" si="5"/>
        <v/>
      </c>
      <c r="X15" t="str">
        <f t="shared" si="6"/>
        <v/>
      </c>
      <c r="Y15" s="500" t="str">
        <f t="shared" si="7"/>
        <v/>
      </c>
      <c r="Z15" t="str">
        <f>IF($AF15=1,($K15*10^-3)*AVERAGEIFS('General Lighting Factors'!$R:$R,'General Lighting Factors'!$O:$O,$N15)*AVERAGEIFS('General Lighting Factors'!$U:$U,'General Lighting Factors'!$O:$O,$N15),"")</f>
        <v/>
      </c>
      <c r="AA15" t="str">
        <f t="shared" si="8"/>
        <v/>
      </c>
      <c r="AB15" t="str">
        <f>IF($AF15=1,($L15*10^-3)*AVERAGEIFS('General Lighting Factors'!$R:$R,'General Lighting Factors'!$O:$O,$N15)*AVERAGEIFS('General Lighting Factors'!$U:$U,'General Lighting Factors'!$O:$O,$N15),"")</f>
        <v/>
      </c>
      <c r="AC15" t="str">
        <f t="shared" si="9"/>
        <v/>
      </c>
      <c r="AD15" t="str">
        <f t="shared" si="10"/>
        <v/>
      </c>
      <c r="AE15" s="500" t="str">
        <f t="shared" si="11"/>
        <v/>
      </c>
      <c r="AF15">
        <v>0</v>
      </c>
      <c r="AG15" t="s">
        <v>1342</v>
      </c>
    </row>
    <row r="16" spans="2:33" ht="14.4">
      <c r="B16" t="s">
        <v>354</v>
      </c>
      <c r="C16" t="s">
        <v>1200</v>
      </c>
      <c r="E16" t="s">
        <v>1237</v>
      </c>
      <c r="G16" s="533">
        <v>11</v>
      </c>
      <c r="I16" t="s">
        <v>1233</v>
      </c>
      <c r="J16" s="509" t="s">
        <v>1420</v>
      </c>
      <c r="K16" s="448"/>
      <c r="L16" s="448">
        <v>50</v>
      </c>
      <c r="M16" s="448"/>
      <c r="N16" t="s">
        <v>1336</v>
      </c>
      <c r="O16" s="337">
        <f>AVERAGEIFS('General Lighting Factors'!$E:$E,'General Lighting Factors'!$D:$D,'General Lighting Calculations'!$N16)</f>
        <v>1980.50</v>
      </c>
      <c r="P16" s="337">
        <f>AVERAGEIFS('General Lighting Factors'!$J:$J,'General Lighting Factors'!$I:$I,'General Lighting Calculations'!$J16)</f>
        <v>40000</v>
      </c>
      <c r="Q16" s="337">
        <f t="shared" si="1"/>
        <v>20.19691996970462</v>
      </c>
      <c r="R16">
        <v>11</v>
      </c>
      <c r="S16">
        <v>11</v>
      </c>
      <c r="T16" t="str">
        <f t="shared" si="2"/>
        <v/>
      </c>
      <c r="U16" t="str">
        <f t="shared" si="3"/>
        <v/>
      </c>
      <c r="V16" t="str">
        <f t="shared" si="4"/>
        <v/>
      </c>
      <c r="W16" t="str">
        <f t="shared" si="5"/>
        <v/>
      </c>
      <c r="X16" t="str">
        <f t="shared" si="6"/>
        <v/>
      </c>
      <c r="Y16" s="500" t="str">
        <f t="shared" si="7"/>
        <v/>
      </c>
      <c r="Z16" t="str">
        <f>IF($AF16=1,($K16*10^-3)*AVERAGEIFS('General Lighting Factors'!$R:$R,'General Lighting Factors'!$O:$O,$N16)*AVERAGEIFS('General Lighting Factors'!$U:$U,'General Lighting Factors'!$O:$O,$N16),"")</f>
        <v/>
      </c>
      <c r="AA16" t="str">
        <f t="shared" si="8"/>
        <v/>
      </c>
      <c r="AB16" t="str">
        <f>IF($AF16=1,($L16*10^-3)*AVERAGEIFS('General Lighting Factors'!$R:$R,'General Lighting Factors'!$O:$O,$N16)*AVERAGEIFS('General Lighting Factors'!$U:$U,'General Lighting Factors'!$O:$O,$N16),"")</f>
        <v/>
      </c>
      <c r="AC16" t="str">
        <f t="shared" si="9"/>
        <v/>
      </c>
      <c r="AD16" t="str">
        <f t="shared" si="10"/>
        <v/>
      </c>
      <c r="AE16" s="500" t="str">
        <f t="shared" si="11"/>
        <v/>
      </c>
      <c r="AF16">
        <v>0</v>
      </c>
      <c r="AG16" t="s">
        <v>1342</v>
      </c>
    </row>
    <row r="17" spans="2:33" ht="14.4">
      <c r="B17" t="s">
        <v>354</v>
      </c>
      <c r="C17" t="s">
        <v>1200</v>
      </c>
      <c r="E17" t="s">
        <v>1238</v>
      </c>
      <c r="G17" s="533">
        <v>48</v>
      </c>
      <c r="I17" t="s">
        <v>1239</v>
      </c>
      <c r="J17" s="509" t="s">
        <v>1424</v>
      </c>
      <c r="K17" s="448"/>
      <c r="L17" s="448">
        <v>59</v>
      </c>
      <c r="M17" s="448"/>
      <c r="N17" t="s">
        <v>1336</v>
      </c>
      <c r="O17" s="337">
        <f>AVERAGEIFS('General Lighting Factors'!$E:$E,'General Lighting Factors'!$D:$D,'General Lighting Calculations'!$N17)</f>
        <v>1980.50</v>
      </c>
      <c r="P17" s="337">
        <f>AVERAGEIFS('General Lighting Factors'!$J:$J,'General Lighting Factors'!$I:$I,'General Lighting Calculations'!$J17)</f>
        <v>50000</v>
      </c>
      <c r="Q17" s="337">
        <f t="shared" si="1"/>
        <v>25.246149962130776</v>
      </c>
      <c r="R17">
        <v>48</v>
      </c>
      <c r="S17">
        <v>48</v>
      </c>
      <c r="T17" t="str">
        <f t="shared" si="2"/>
        <v/>
      </c>
      <c r="U17" t="str">
        <f t="shared" si="3"/>
        <v/>
      </c>
      <c r="V17" t="str">
        <f t="shared" si="4"/>
        <v/>
      </c>
      <c r="W17" t="str">
        <f t="shared" si="5"/>
        <v/>
      </c>
      <c r="X17" t="str">
        <f t="shared" si="6"/>
        <v/>
      </c>
      <c r="Y17" s="500" t="str">
        <f t="shared" si="7"/>
        <v/>
      </c>
      <c r="Z17" t="str">
        <f>IF($AF17=1,($K17*10^-3)*AVERAGEIFS('General Lighting Factors'!$R:$R,'General Lighting Factors'!$O:$O,$N17)*AVERAGEIFS('General Lighting Factors'!$U:$U,'General Lighting Factors'!$O:$O,$N17),"")</f>
        <v/>
      </c>
      <c r="AA17" t="str">
        <f t="shared" si="8"/>
        <v/>
      </c>
      <c r="AB17" t="str">
        <f>IF($AF17=1,($L17*10^-3)*AVERAGEIFS('General Lighting Factors'!$R:$R,'General Lighting Factors'!$O:$O,$N17)*AVERAGEIFS('General Lighting Factors'!$U:$U,'General Lighting Factors'!$O:$O,$N17),"")</f>
        <v/>
      </c>
      <c r="AC17" t="str">
        <f t="shared" si="9"/>
        <v/>
      </c>
      <c r="AD17" t="str">
        <f t="shared" si="10"/>
        <v/>
      </c>
      <c r="AE17" s="500" t="str">
        <f t="shared" si="11"/>
        <v/>
      </c>
      <c r="AF17">
        <v>0</v>
      </c>
      <c r="AG17" t="s">
        <v>1342</v>
      </c>
    </row>
    <row r="18" spans="2:33" ht="14.4">
      <c r="B18" t="s">
        <v>354</v>
      </c>
      <c r="C18" t="s">
        <v>1240</v>
      </c>
      <c r="E18" t="s">
        <v>1237</v>
      </c>
      <c r="G18" s="533">
        <v>5</v>
      </c>
      <c r="I18" t="s">
        <v>1239</v>
      </c>
      <c r="J18" s="509" t="s">
        <v>1420</v>
      </c>
      <c r="K18" s="448"/>
      <c r="L18" s="448">
        <v>50</v>
      </c>
      <c r="M18" s="448"/>
      <c r="N18" t="s">
        <v>160</v>
      </c>
      <c r="O18" s="337">
        <f>AVERAGEIFS('General Lighting Factors'!$E:$E,'General Lighting Factors'!$D:$D,'General Lighting Calculations'!$N18)</f>
        <v>4100</v>
      </c>
      <c r="P18" s="337">
        <f>AVERAGEIFS('General Lighting Factors'!$J:$J,'General Lighting Factors'!$I:$I,'General Lighting Calculations'!$J18)</f>
        <v>40000</v>
      </c>
      <c r="Q18" s="337">
        <f t="shared" si="1"/>
        <v>9.7560975609756095</v>
      </c>
      <c r="R18">
        <v>5</v>
      </c>
      <c r="S18">
        <v>5</v>
      </c>
      <c r="T18" t="str">
        <f t="shared" si="2"/>
        <v/>
      </c>
      <c r="U18" t="str">
        <f t="shared" si="3"/>
        <v/>
      </c>
      <c r="V18" t="str">
        <f t="shared" si="4"/>
        <v/>
      </c>
      <c r="W18" t="str">
        <f t="shared" si="5"/>
        <v/>
      </c>
      <c r="X18" t="str">
        <f t="shared" si="6"/>
        <v/>
      </c>
      <c r="Y18" s="500" t="str">
        <f t="shared" si="7"/>
        <v/>
      </c>
      <c r="Z18" t="str">
        <f>IF($AF18=1,($K18*10^-3)*AVERAGEIFS('General Lighting Factors'!$R:$R,'General Lighting Factors'!$O:$O,$N18)*AVERAGEIFS('General Lighting Factors'!$U:$U,'General Lighting Factors'!$O:$O,$N18),"")</f>
        <v/>
      </c>
      <c r="AA18" t="str">
        <f t="shared" si="8"/>
        <v/>
      </c>
      <c r="AB18" t="str">
        <f>IF($AF18=1,($L18*10^-3)*AVERAGEIFS('General Lighting Factors'!$R:$R,'General Lighting Factors'!$O:$O,$N18)*AVERAGEIFS('General Lighting Factors'!$U:$U,'General Lighting Factors'!$O:$O,$N18),"")</f>
        <v/>
      </c>
      <c r="AC18" t="str">
        <f t="shared" si="9"/>
        <v/>
      </c>
      <c r="AD18" t="str">
        <f t="shared" si="10"/>
        <v/>
      </c>
      <c r="AE18" s="500" t="str">
        <f t="shared" si="11"/>
        <v/>
      </c>
      <c r="AF18">
        <v>0</v>
      </c>
      <c r="AG18" t="s">
        <v>1342</v>
      </c>
    </row>
    <row r="19" spans="2:33" ht="14.4">
      <c r="B19" t="s">
        <v>354</v>
      </c>
      <c r="C19" t="s">
        <v>1240</v>
      </c>
      <c r="E19" t="s">
        <v>1241</v>
      </c>
      <c r="G19" s="533">
        <v>5</v>
      </c>
      <c r="I19" t="s">
        <v>1242</v>
      </c>
      <c r="J19" s="509" t="s">
        <v>1420</v>
      </c>
      <c r="K19" s="448"/>
      <c r="L19" s="448">
        <v>50</v>
      </c>
      <c r="M19" s="448"/>
      <c r="N19" t="s">
        <v>160</v>
      </c>
      <c r="O19" s="337">
        <f>AVERAGEIFS('General Lighting Factors'!$E:$E,'General Lighting Factors'!$D:$D,'General Lighting Calculations'!$N19)</f>
        <v>4100</v>
      </c>
      <c r="P19" s="337">
        <f>AVERAGEIFS('General Lighting Factors'!$J:$J,'General Lighting Factors'!$I:$I,'General Lighting Calculations'!$J19)</f>
        <v>40000</v>
      </c>
      <c r="Q19" s="337">
        <f t="shared" si="1"/>
        <v>9.7560975609756095</v>
      </c>
      <c r="R19">
        <v>5</v>
      </c>
      <c r="S19">
        <v>5</v>
      </c>
      <c r="T19" t="str">
        <f t="shared" si="2"/>
        <v/>
      </c>
      <c r="U19" t="str">
        <f t="shared" si="3"/>
        <v/>
      </c>
      <c r="V19" t="str">
        <f t="shared" si="4"/>
        <v/>
      </c>
      <c r="W19" t="str">
        <f t="shared" si="5"/>
        <v/>
      </c>
      <c r="X19" t="str">
        <f t="shared" si="6"/>
        <v/>
      </c>
      <c r="Y19" s="500" t="str">
        <f t="shared" si="7"/>
        <v/>
      </c>
      <c r="Z19" t="str">
        <f>IF($AF19=1,($K19*10^-3)*AVERAGEIFS('General Lighting Factors'!$R:$R,'General Lighting Factors'!$O:$O,$N19)*AVERAGEIFS('General Lighting Factors'!$U:$U,'General Lighting Factors'!$O:$O,$N19),"")</f>
        <v/>
      </c>
      <c r="AA19" t="str">
        <f t="shared" si="8"/>
        <v/>
      </c>
      <c r="AB19" t="str">
        <f>IF($AF19=1,($L19*10^-3)*AVERAGEIFS('General Lighting Factors'!$R:$R,'General Lighting Factors'!$O:$O,$N19)*AVERAGEIFS('General Lighting Factors'!$U:$U,'General Lighting Factors'!$O:$O,$N19),"")</f>
        <v/>
      </c>
      <c r="AC19" t="str">
        <f t="shared" si="9"/>
        <v/>
      </c>
      <c r="AD19" t="str">
        <f t="shared" si="10"/>
        <v/>
      </c>
      <c r="AE19" s="500" t="str">
        <f t="shared" si="11"/>
        <v/>
      </c>
      <c r="AF19">
        <v>0</v>
      </c>
      <c r="AG19" t="s">
        <v>1342</v>
      </c>
    </row>
    <row r="20" spans="2:33" ht="14.4">
      <c r="B20" t="s">
        <v>354</v>
      </c>
      <c r="C20" t="s">
        <v>1200</v>
      </c>
      <c r="E20" t="s">
        <v>1238</v>
      </c>
      <c r="G20" s="533">
        <v>363</v>
      </c>
      <c r="I20" t="s">
        <v>1243</v>
      </c>
      <c r="J20" s="509" t="s">
        <v>1424</v>
      </c>
      <c r="K20" s="448"/>
      <c r="L20" s="448">
        <v>59</v>
      </c>
      <c r="M20" s="448"/>
      <c r="N20" t="s">
        <v>1336</v>
      </c>
      <c r="O20" s="337">
        <f>AVERAGEIFS('General Lighting Factors'!$E:$E,'General Lighting Factors'!$D:$D,'General Lighting Calculations'!$N20)</f>
        <v>1980.50</v>
      </c>
      <c r="P20" s="337">
        <f>AVERAGEIFS('General Lighting Factors'!$J:$J,'General Lighting Factors'!$I:$I,'General Lighting Calculations'!$J20)</f>
        <v>50000</v>
      </c>
      <c r="Q20" s="337">
        <f t="shared" si="1"/>
        <v>25.246149962130776</v>
      </c>
      <c r="R20">
        <v>363</v>
      </c>
      <c r="S20">
        <v>363</v>
      </c>
      <c r="T20" t="str">
        <f t="shared" si="2"/>
        <v/>
      </c>
      <c r="U20" t="str">
        <f t="shared" si="3"/>
        <v/>
      </c>
      <c r="V20" t="str">
        <f t="shared" si="4"/>
        <v/>
      </c>
      <c r="W20" t="str">
        <f t="shared" si="5"/>
        <v/>
      </c>
      <c r="X20" t="str">
        <f t="shared" si="6"/>
        <v/>
      </c>
      <c r="Y20" s="500" t="str">
        <f t="shared" si="7"/>
        <v/>
      </c>
      <c r="Z20" t="str">
        <f>IF($AF20=1,($K20*10^-3)*AVERAGEIFS('General Lighting Factors'!$R:$R,'General Lighting Factors'!$O:$O,$N20)*AVERAGEIFS('General Lighting Factors'!$U:$U,'General Lighting Factors'!$O:$O,$N20),"")</f>
        <v/>
      </c>
      <c r="AA20" t="str">
        <f t="shared" si="8"/>
        <v/>
      </c>
      <c r="AB20" t="str">
        <f>IF($AF20=1,($L20*10^-3)*AVERAGEIFS('General Lighting Factors'!$R:$R,'General Lighting Factors'!$O:$O,$N20)*AVERAGEIFS('General Lighting Factors'!$U:$U,'General Lighting Factors'!$O:$O,$N20),"")</f>
        <v/>
      </c>
      <c r="AC20" t="str">
        <f t="shared" si="9"/>
        <v/>
      </c>
      <c r="AD20" t="str">
        <f t="shared" si="10"/>
        <v/>
      </c>
      <c r="AE20" s="500" t="str">
        <f t="shared" si="11"/>
        <v/>
      </c>
      <c r="AF20">
        <v>0</v>
      </c>
      <c r="AG20" t="s">
        <v>1342</v>
      </c>
    </row>
    <row r="21" spans="2:33" ht="14.4">
      <c r="B21" t="s">
        <v>354</v>
      </c>
      <c r="C21" t="s">
        <v>1200</v>
      </c>
      <c r="E21" t="s">
        <v>1234</v>
      </c>
      <c r="G21" s="533">
        <v>48</v>
      </c>
      <c r="I21" t="s">
        <v>1243</v>
      </c>
      <c r="J21" s="509" t="s">
        <v>1424</v>
      </c>
      <c r="K21" s="448"/>
      <c r="L21" s="448">
        <v>89</v>
      </c>
      <c r="M21" s="448"/>
      <c r="N21" t="s">
        <v>1336</v>
      </c>
      <c r="O21" s="337">
        <f>AVERAGEIFS('General Lighting Factors'!$E:$E,'General Lighting Factors'!$D:$D,'General Lighting Calculations'!$N21)</f>
        <v>1980.50</v>
      </c>
      <c r="P21" s="337">
        <f>AVERAGEIFS('General Lighting Factors'!$J:$J,'General Lighting Factors'!$I:$I,'General Lighting Calculations'!$J21)</f>
        <v>50000</v>
      </c>
      <c r="Q21" s="337">
        <f t="shared" si="1"/>
        <v>25.246149962130776</v>
      </c>
      <c r="R21">
        <v>48</v>
      </c>
      <c r="S21">
        <v>48</v>
      </c>
      <c r="T21" t="str">
        <f t="shared" si="2"/>
        <v/>
      </c>
      <c r="U21" t="str">
        <f t="shared" si="3"/>
        <v/>
      </c>
      <c r="V21" t="str">
        <f t="shared" si="4"/>
        <v/>
      </c>
      <c r="W21" t="str">
        <f t="shared" si="5"/>
        <v/>
      </c>
      <c r="X21" t="str">
        <f t="shared" si="6"/>
        <v/>
      </c>
      <c r="Y21" s="500" t="str">
        <f t="shared" si="7"/>
        <v/>
      </c>
      <c r="Z21" t="str">
        <f>IF($AF21=1,($K21*10^-3)*AVERAGEIFS('General Lighting Factors'!$R:$R,'General Lighting Factors'!$O:$O,$N21)*AVERAGEIFS('General Lighting Factors'!$U:$U,'General Lighting Factors'!$O:$O,$N21),"")</f>
        <v/>
      </c>
      <c r="AA21" t="str">
        <f t="shared" si="8"/>
        <v/>
      </c>
      <c r="AB21" t="str">
        <f>IF($AF21=1,($L21*10^-3)*AVERAGEIFS('General Lighting Factors'!$R:$R,'General Lighting Factors'!$O:$O,$N21)*AVERAGEIFS('General Lighting Factors'!$U:$U,'General Lighting Factors'!$O:$O,$N21),"")</f>
        <v/>
      </c>
      <c r="AC21" t="str">
        <f t="shared" si="9"/>
        <v/>
      </c>
      <c r="AD21" t="str">
        <f t="shared" si="10"/>
        <v/>
      </c>
      <c r="AE21" s="500" t="str">
        <f t="shared" si="11"/>
        <v/>
      </c>
      <c r="AF21">
        <v>0</v>
      </c>
      <c r="AG21" t="s">
        <v>1342</v>
      </c>
    </row>
    <row r="22" spans="2:33" ht="14.4">
      <c r="B22" t="s">
        <v>354</v>
      </c>
      <c r="C22" t="s">
        <v>1200</v>
      </c>
      <c r="E22" t="s">
        <v>1236</v>
      </c>
      <c r="G22" s="533">
        <v>10</v>
      </c>
      <c r="I22" t="s">
        <v>1243</v>
      </c>
      <c r="J22" s="509" t="s">
        <v>1420</v>
      </c>
      <c r="K22" s="448"/>
      <c r="L22" s="448">
        <v>74</v>
      </c>
      <c r="M22" s="448"/>
      <c r="N22" t="s">
        <v>1336</v>
      </c>
      <c r="O22" s="337">
        <f>AVERAGEIFS('General Lighting Factors'!$E:$E,'General Lighting Factors'!$D:$D,'General Lighting Calculations'!$N22)</f>
        <v>1980.50</v>
      </c>
      <c r="P22" s="337">
        <f>AVERAGEIFS('General Lighting Factors'!$J:$J,'General Lighting Factors'!$I:$I,'General Lighting Calculations'!$J22)</f>
        <v>40000</v>
      </c>
      <c r="Q22" s="337">
        <f t="shared" si="1"/>
        <v>20.19691996970462</v>
      </c>
      <c r="R22">
        <v>10</v>
      </c>
      <c r="S22">
        <v>10</v>
      </c>
      <c r="T22" t="str">
        <f t="shared" si="2"/>
        <v/>
      </c>
      <c r="U22" t="str">
        <f t="shared" si="3"/>
        <v/>
      </c>
      <c r="V22" t="str">
        <f t="shared" si="4"/>
        <v/>
      </c>
      <c r="W22" t="str">
        <f t="shared" si="5"/>
        <v/>
      </c>
      <c r="X22" t="str">
        <f t="shared" si="6"/>
        <v/>
      </c>
      <c r="Y22" s="500" t="str">
        <f t="shared" si="7"/>
        <v/>
      </c>
      <c r="Z22" t="str">
        <f>IF($AF22=1,($K22*10^-3)*AVERAGEIFS('General Lighting Factors'!$R:$R,'General Lighting Factors'!$O:$O,$N22)*AVERAGEIFS('General Lighting Factors'!$U:$U,'General Lighting Factors'!$O:$O,$N22),"")</f>
        <v/>
      </c>
      <c r="AA22" t="str">
        <f t="shared" si="8"/>
        <v/>
      </c>
      <c r="AB22" t="str">
        <f>IF($AF22=1,($L22*10^-3)*AVERAGEIFS('General Lighting Factors'!$R:$R,'General Lighting Factors'!$O:$O,$N22)*AVERAGEIFS('General Lighting Factors'!$U:$U,'General Lighting Factors'!$O:$O,$N22),"")</f>
        <v/>
      </c>
      <c r="AC22" t="str">
        <f t="shared" si="9"/>
        <v/>
      </c>
      <c r="AD22" t="str">
        <f t="shared" si="10"/>
        <v/>
      </c>
      <c r="AE22" s="500" t="str">
        <f t="shared" si="11"/>
        <v/>
      </c>
      <c r="AF22">
        <v>0</v>
      </c>
      <c r="AG22" t="s">
        <v>1342</v>
      </c>
    </row>
    <row r="23" spans="2:33" ht="14.4">
      <c r="B23" t="s">
        <v>354</v>
      </c>
      <c r="C23" t="s">
        <v>1240</v>
      </c>
      <c r="E23" t="s">
        <v>1237</v>
      </c>
      <c r="G23" s="533">
        <v>22</v>
      </c>
      <c r="I23" t="s">
        <v>1243</v>
      </c>
      <c r="J23" s="509" t="s">
        <v>1420</v>
      </c>
      <c r="K23" s="448"/>
      <c r="L23" s="448">
        <v>50</v>
      </c>
      <c r="M23" s="448"/>
      <c r="N23" t="s">
        <v>160</v>
      </c>
      <c r="O23" s="337">
        <f>AVERAGEIFS('General Lighting Factors'!$E:$E,'General Lighting Factors'!$D:$D,'General Lighting Calculations'!$N23)</f>
        <v>4100</v>
      </c>
      <c r="P23" s="337">
        <f>AVERAGEIFS('General Lighting Factors'!$J:$J,'General Lighting Factors'!$I:$I,'General Lighting Calculations'!$J23)</f>
        <v>40000</v>
      </c>
      <c r="Q23" s="337">
        <f t="shared" si="1"/>
        <v>9.7560975609756095</v>
      </c>
      <c r="R23">
        <v>22</v>
      </c>
      <c r="S23">
        <v>22</v>
      </c>
      <c r="T23" t="str">
        <f t="shared" si="2"/>
        <v/>
      </c>
      <c r="U23" t="str">
        <f t="shared" si="3"/>
        <v/>
      </c>
      <c r="V23" t="str">
        <f t="shared" si="4"/>
        <v/>
      </c>
      <c r="W23" t="str">
        <f t="shared" si="5"/>
        <v/>
      </c>
      <c r="X23" t="str">
        <f t="shared" si="6"/>
        <v/>
      </c>
      <c r="Y23" s="500" t="str">
        <f t="shared" si="7"/>
        <v/>
      </c>
      <c r="Z23" t="str">
        <f>IF($AF23=1,($K23*10^-3)*AVERAGEIFS('General Lighting Factors'!$R:$R,'General Lighting Factors'!$O:$O,$N23)*AVERAGEIFS('General Lighting Factors'!$U:$U,'General Lighting Factors'!$O:$O,$N23),"")</f>
        <v/>
      </c>
      <c r="AA23" t="str">
        <f t="shared" si="8"/>
        <v/>
      </c>
      <c r="AB23" t="str">
        <f>IF($AF23=1,($L23*10^-3)*AVERAGEIFS('General Lighting Factors'!$R:$R,'General Lighting Factors'!$O:$O,$N23)*AVERAGEIFS('General Lighting Factors'!$U:$U,'General Lighting Factors'!$O:$O,$N23),"")</f>
        <v/>
      </c>
      <c r="AC23" t="str">
        <f t="shared" si="9"/>
        <v/>
      </c>
      <c r="AD23" t="str">
        <f t="shared" si="10"/>
        <v/>
      </c>
      <c r="AE23" s="500" t="str">
        <f t="shared" si="11"/>
        <v/>
      </c>
      <c r="AF23">
        <v>0</v>
      </c>
      <c r="AG23" t="s">
        <v>1342</v>
      </c>
    </row>
    <row r="24" spans="2:33" ht="14.4">
      <c r="B24" t="s">
        <v>354</v>
      </c>
      <c r="C24" t="s">
        <v>1200</v>
      </c>
      <c r="E24" t="s">
        <v>1238</v>
      </c>
      <c r="G24" s="533">
        <v>266</v>
      </c>
      <c r="I24" t="s">
        <v>1244</v>
      </c>
      <c r="J24" s="509" t="s">
        <v>1424</v>
      </c>
      <c r="K24" s="448"/>
      <c r="L24" s="448">
        <v>59</v>
      </c>
      <c r="M24" s="448"/>
      <c r="N24" t="s">
        <v>1336</v>
      </c>
      <c r="O24" s="337">
        <f>AVERAGEIFS('General Lighting Factors'!$E:$E,'General Lighting Factors'!$D:$D,'General Lighting Calculations'!$N24)</f>
        <v>1980.50</v>
      </c>
      <c r="P24" s="337">
        <f>AVERAGEIFS('General Lighting Factors'!$J:$J,'General Lighting Factors'!$I:$I,'General Lighting Calculations'!$J24)</f>
        <v>50000</v>
      </c>
      <c r="Q24" s="337">
        <f t="shared" si="1"/>
        <v>25.246149962130776</v>
      </c>
      <c r="R24">
        <v>266</v>
      </c>
      <c r="S24">
        <v>266</v>
      </c>
      <c r="T24" t="str">
        <f t="shared" si="2"/>
        <v/>
      </c>
      <c r="U24" t="str">
        <f t="shared" si="3"/>
        <v/>
      </c>
      <c r="V24" t="str">
        <f t="shared" si="4"/>
        <v/>
      </c>
      <c r="W24" t="str">
        <f t="shared" si="5"/>
        <v/>
      </c>
      <c r="X24" t="str">
        <f t="shared" si="6"/>
        <v/>
      </c>
      <c r="Y24" s="500" t="str">
        <f t="shared" si="7"/>
        <v/>
      </c>
      <c r="Z24" t="str">
        <f>IF($AF24=1,($K24*10^-3)*AVERAGEIFS('General Lighting Factors'!$R:$R,'General Lighting Factors'!$O:$O,$N24)*AVERAGEIFS('General Lighting Factors'!$U:$U,'General Lighting Factors'!$O:$O,$N24),"")</f>
        <v/>
      </c>
      <c r="AA24" t="str">
        <f t="shared" si="8"/>
        <v/>
      </c>
      <c r="AB24" t="str">
        <f>IF($AF24=1,($L24*10^-3)*AVERAGEIFS('General Lighting Factors'!$R:$R,'General Lighting Factors'!$O:$O,$N24)*AVERAGEIFS('General Lighting Factors'!$U:$U,'General Lighting Factors'!$O:$O,$N24),"")</f>
        <v/>
      </c>
      <c r="AC24" t="str">
        <f t="shared" si="9"/>
        <v/>
      </c>
      <c r="AD24" t="str">
        <f t="shared" si="10"/>
        <v/>
      </c>
      <c r="AE24" s="500" t="str">
        <f t="shared" si="11"/>
        <v/>
      </c>
      <c r="AF24">
        <v>0</v>
      </c>
      <c r="AG24" t="s">
        <v>1342</v>
      </c>
    </row>
    <row r="25" spans="2:33" ht="14.4">
      <c r="B25" t="s">
        <v>354</v>
      </c>
      <c r="C25" t="s">
        <v>1200</v>
      </c>
      <c r="E25" t="s">
        <v>1234</v>
      </c>
      <c r="G25" s="533">
        <v>36</v>
      </c>
      <c r="I25" t="s">
        <v>1244</v>
      </c>
      <c r="J25" s="509" t="s">
        <v>1424</v>
      </c>
      <c r="K25" s="448"/>
      <c r="L25" s="448">
        <v>89</v>
      </c>
      <c r="M25" s="448"/>
      <c r="N25" t="s">
        <v>1336</v>
      </c>
      <c r="O25" s="337">
        <f>AVERAGEIFS('General Lighting Factors'!$E:$E,'General Lighting Factors'!$D:$D,'General Lighting Calculations'!$N25)</f>
        <v>1980.50</v>
      </c>
      <c r="P25" s="337">
        <f>AVERAGEIFS('General Lighting Factors'!$J:$J,'General Lighting Factors'!$I:$I,'General Lighting Calculations'!$J25)</f>
        <v>50000</v>
      </c>
      <c r="Q25" s="337">
        <f t="shared" si="1"/>
        <v>25.246149962130776</v>
      </c>
      <c r="R25">
        <v>36</v>
      </c>
      <c r="S25">
        <v>36</v>
      </c>
      <c r="T25" t="str">
        <f t="shared" si="2"/>
        <v/>
      </c>
      <c r="U25" t="str">
        <f t="shared" si="3"/>
        <v/>
      </c>
      <c r="V25" t="str">
        <f t="shared" si="4"/>
        <v/>
      </c>
      <c r="W25" t="str">
        <f t="shared" si="5"/>
        <v/>
      </c>
      <c r="X25" t="str">
        <f t="shared" si="6"/>
        <v/>
      </c>
      <c r="Y25" s="500" t="str">
        <f t="shared" si="7"/>
        <v/>
      </c>
      <c r="Z25" t="str">
        <f>IF($AF25=1,($K25*10^-3)*AVERAGEIFS('General Lighting Factors'!$R:$R,'General Lighting Factors'!$O:$O,$N25)*AVERAGEIFS('General Lighting Factors'!$U:$U,'General Lighting Factors'!$O:$O,$N25),"")</f>
        <v/>
      </c>
      <c r="AA25" t="str">
        <f t="shared" si="8"/>
        <v/>
      </c>
      <c r="AB25" t="str">
        <f>IF($AF25=1,($L25*10^-3)*AVERAGEIFS('General Lighting Factors'!$R:$R,'General Lighting Factors'!$O:$O,$N25)*AVERAGEIFS('General Lighting Factors'!$U:$U,'General Lighting Factors'!$O:$O,$N25),"")</f>
        <v/>
      </c>
      <c r="AC25" t="str">
        <f t="shared" si="9"/>
        <v/>
      </c>
      <c r="AD25" t="str">
        <f t="shared" si="10"/>
        <v/>
      </c>
      <c r="AE25" s="500" t="str">
        <f t="shared" si="11"/>
        <v/>
      </c>
      <c r="AF25">
        <v>0</v>
      </c>
      <c r="AG25" t="s">
        <v>1342</v>
      </c>
    </row>
    <row r="26" spans="2:33" ht="14.4">
      <c r="B26" t="s">
        <v>354</v>
      </c>
      <c r="C26" t="s">
        <v>1200</v>
      </c>
      <c r="E26" t="s">
        <v>1235</v>
      </c>
      <c r="G26" s="533">
        <v>10</v>
      </c>
      <c r="I26" t="s">
        <v>1244</v>
      </c>
      <c r="J26" s="509" t="s">
        <v>1420</v>
      </c>
      <c r="K26" s="448"/>
      <c r="L26" s="448">
        <v>25</v>
      </c>
      <c r="M26" s="448"/>
      <c r="N26" t="s">
        <v>1336</v>
      </c>
      <c r="O26" s="337">
        <f>AVERAGEIFS('General Lighting Factors'!$E:$E,'General Lighting Factors'!$D:$D,'General Lighting Calculations'!$N26)</f>
        <v>1980.50</v>
      </c>
      <c r="P26" s="337">
        <f>AVERAGEIFS('General Lighting Factors'!$J:$J,'General Lighting Factors'!$I:$I,'General Lighting Calculations'!$J26)</f>
        <v>40000</v>
      </c>
      <c r="Q26" s="337">
        <f t="shared" si="1"/>
        <v>20.19691996970462</v>
      </c>
      <c r="R26">
        <v>10</v>
      </c>
      <c r="S26">
        <v>10</v>
      </c>
      <c r="T26" t="str">
        <f t="shared" si="2"/>
        <v/>
      </c>
      <c r="U26" t="str">
        <f t="shared" si="3"/>
        <v/>
      </c>
      <c r="V26" t="str">
        <f t="shared" si="4"/>
        <v/>
      </c>
      <c r="W26" t="str">
        <f t="shared" si="5"/>
        <v/>
      </c>
      <c r="X26" t="str">
        <f t="shared" si="6"/>
        <v/>
      </c>
      <c r="Y26" s="500" t="str">
        <f t="shared" si="7"/>
        <v/>
      </c>
      <c r="Z26" t="str">
        <f>IF($AF26=1,($K26*10^-3)*AVERAGEIFS('General Lighting Factors'!$R:$R,'General Lighting Factors'!$O:$O,$N26)*AVERAGEIFS('General Lighting Factors'!$U:$U,'General Lighting Factors'!$O:$O,$N26),"")</f>
        <v/>
      </c>
      <c r="AA26" t="str">
        <f t="shared" si="8"/>
        <v/>
      </c>
      <c r="AB26" t="str">
        <f>IF($AF26=1,($L26*10^-3)*AVERAGEIFS('General Lighting Factors'!$R:$R,'General Lighting Factors'!$O:$O,$N26)*AVERAGEIFS('General Lighting Factors'!$U:$U,'General Lighting Factors'!$O:$O,$N26),"")</f>
        <v/>
      </c>
      <c r="AC26" t="str">
        <f t="shared" si="9"/>
        <v/>
      </c>
      <c r="AD26" t="str">
        <f t="shared" si="10"/>
        <v/>
      </c>
      <c r="AE26" s="500" t="str">
        <f t="shared" si="11"/>
        <v/>
      </c>
      <c r="AF26">
        <v>0</v>
      </c>
      <c r="AG26" t="s">
        <v>1342</v>
      </c>
    </row>
    <row r="27" spans="2:33" ht="14.4">
      <c r="B27" t="s">
        <v>354</v>
      </c>
      <c r="C27" t="s">
        <v>1240</v>
      </c>
      <c r="E27" t="s">
        <v>1237</v>
      </c>
      <c r="G27" s="533">
        <v>14</v>
      </c>
      <c r="I27" t="s">
        <v>1244</v>
      </c>
      <c r="J27" s="509" t="s">
        <v>1420</v>
      </c>
      <c r="K27" s="448"/>
      <c r="L27" s="448">
        <v>50</v>
      </c>
      <c r="M27" s="448"/>
      <c r="N27" t="s">
        <v>160</v>
      </c>
      <c r="O27" s="337">
        <f>AVERAGEIFS('General Lighting Factors'!$E:$E,'General Lighting Factors'!$D:$D,'General Lighting Calculations'!$N27)</f>
        <v>4100</v>
      </c>
      <c r="P27" s="337">
        <f>AVERAGEIFS('General Lighting Factors'!$J:$J,'General Lighting Factors'!$I:$I,'General Lighting Calculations'!$J27)</f>
        <v>40000</v>
      </c>
      <c r="Q27" s="337">
        <f t="shared" si="1"/>
        <v>9.7560975609756095</v>
      </c>
      <c r="R27">
        <v>14</v>
      </c>
      <c r="S27">
        <v>14</v>
      </c>
      <c r="T27" t="str">
        <f t="shared" si="2"/>
        <v/>
      </c>
      <c r="U27" t="str">
        <f t="shared" si="3"/>
        <v/>
      </c>
      <c r="V27" t="str">
        <f t="shared" si="4"/>
        <v/>
      </c>
      <c r="W27" t="str">
        <f t="shared" si="5"/>
        <v/>
      </c>
      <c r="X27" t="str">
        <f t="shared" si="6"/>
        <v/>
      </c>
      <c r="Y27" s="500" t="str">
        <f t="shared" si="7"/>
        <v/>
      </c>
      <c r="Z27" t="str">
        <f>IF($AF27=1,($K27*10^-3)*AVERAGEIFS('General Lighting Factors'!$R:$R,'General Lighting Factors'!$O:$O,$N27)*AVERAGEIFS('General Lighting Factors'!$U:$U,'General Lighting Factors'!$O:$O,$N27),"")</f>
        <v/>
      </c>
      <c r="AA27" t="str">
        <f t="shared" si="8"/>
        <v/>
      </c>
      <c r="AB27" t="str">
        <f>IF($AF27=1,($L27*10^-3)*AVERAGEIFS('General Lighting Factors'!$R:$R,'General Lighting Factors'!$O:$O,$N27)*AVERAGEIFS('General Lighting Factors'!$U:$U,'General Lighting Factors'!$O:$O,$N27),"")</f>
        <v/>
      </c>
      <c r="AC27" t="str">
        <f t="shared" si="9"/>
        <v/>
      </c>
      <c r="AD27" t="str">
        <f t="shared" si="10"/>
        <v/>
      </c>
      <c r="AE27" s="500" t="str">
        <f t="shared" si="11"/>
        <v/>
      </c>
      <c r="AF27">
        <v>0</v>
      </c>
      <c r="AG27" t="s">
        <v>1342</v>
      </c>
    </row>
    <row r="28" spans="2:33" ht="14.4">
      <c r="B28" t="s">
        <v>13</v>
      </c>
      <c r="C28" t="s">
        <v>1200</v>
      </c>
      <c r="D28" t="str">
        <f>'Seminole Savings Questionnaire'!B30</f>
        <v>F40T12 Mag Ballast</v>
      </c>
      <c r="E28" t="str">
        <f>'Seminole Savings Questionnaire'!C30</f>
        <v>F32 T8 Elec Ballast</v>
      </c>
      <c r="G28" s="533" t="str">
        <f>'Seminole Savings Questionnaire'!D30</f>
        <v>?</v>
      </c>
      <c r="I28" t="s">
        <v>1572</v>
      </c>
      <c r="J28" s="509" t="s">
        <v>1424</v>
      </c>
      <c r="K28">
        <f>40*2</f>
        <v>80</v>
      </c>
      <c r="L28">
        <f>32*2</f>
        <v>64</v>
      </c>
      <c r="M28">
        <f t="shared" si="12" ref="M28:M37">K28-L28</f>
        <v>16</v>
      </c>
      <c r="N28" t="s">
        <v>1336</v>
      </c>
      <c r="O28" s="337">
        <f>AVERAGEIFS('General Lighting Factors'!$E:$E,'General Lighting Factors'!$D:$D,'General Lighting Calculations'!$N28)</f>
        <v>1980.50</v>
      </c>
      <c r="P28" s="337">
        <f>AVERAGEIFS('General Lighting Factors'!$J:$J,'General Lighting Factors'!$I:$I,'General Lighting Calculations'!$J28)</f>
        <v>50000</v>
      </c>
      <c r="Q28" s="337">
        <f t="shared" si="1"/>
        <v>25.246149962130776</v>
      </c>
      <c r="R28" t="str">
        <f>G28</f>
        <v>?</v>
      </c>
      <c r="S28" t="str">
        <f>G28</f>
        <v>?</v>
      </c>
      <c r="T28" t="str">
        <f t="shared" si="13" ref="T28:T37">IF($AF28=1,(K28*10^-3)*$O28,"")</f>
        <v/>
      </c>
      <c r="U28" t="str">
        <f t="shared" si="3"/>
        <v/>
      </c>
      <c r="V28" t="str">
        <f t="shared" si="14" ref="V28:V37">IF($AF28=1,(L28*10^-3)*$O28,"")</f>
        <v/>
      </c>
      <c r="W28" t="str">
        <f t="shared" si="5"/>
        <v/>
      </c>
      <c r="X28" t="str">
        <f t="shared" si="15" ref="X28:X37">IF($AF28=1,T28-V28,"")</f>
        <v/>
      </c>
      <c r="Y28" s="500" t="str">
        <f t="shared" si="7"/>
        <v/>
      </c>
      <c r="Z28" t="str">
        <f>IF($AF28=1,($K28*10^-3)*AVERAGEIFS('General Lighting Factors'!$R:$R,'General Lighting Factors'!$O:$O,$N28)*AVERAGEIFS('General Lighting Factors'!$U:$U,'General Lighting Factors'!$O:$O,$N28),"")</f>
        <v/>
      </c>
      <c r="AA28" t="str">
        <f t="shared" si="8"/>
        <v/>
      </c>
      <c r="AB28" t="str">
        <f>IF($AF28=1,($L28*10^-3)*AVERAGEIFS('General Lighting Factors'!$R:$R,'General Lighting Factors'!$O:$O,$N28)*AVERAGEIFS('General Lighting Factors'!$U:$U,'General Lighting Factors'!$O:$O,$N28),"")</f>
        <v/>
      </c>
      <c r="AC28" t="str">
        <f t="shared" si="9"/>
        <v/>
      </c>
      <c r="AD28" t="str">
        <f t="shared" si="16" ref="AD28:AD37">IF($AF28=1,Z28-AB28,"")</f>
        <v/>
      </c>
      <c r="AE28" s="500" t="str">
        <f t="shared" si="11"/>
        <v/>
      </c>
      <c r="AF28">
        <v>0</v>
      </c>
      <c r="AG28" t="s">
        <v>1573</v>
      </c>
    </row>
    <row r="29" spans="2:32" ht="14.4">
      <c r="B29" t="s">
        <v>13</v>
      </c>
      <c r="C29" t="s">
        <v>1200</v>
      </c>
      <c r="D29" t="str">
        <f>'Seminole Savings Questionnaire'!B31</f>
        <v>F32 T8 Elec Ballast</v>
      </c>
      <c r="E29" t="str">
        <f>'Seminole Savings Questionnaire'!C31</f>
        <v>44W LED</v>
      </c>
      <c r="G29" s="533">
        <f>'Seminole Savings Questionnaire'!D31</f>
        <v>24</v>
      </c>
      <c r="I29" t="s">
        <v>1572</v>
      </c>
      <c r="J29" s="509" t="s">
        <v>1420</v>
      </c>
      <c r="K29">
        <f>32*2</f>
        <v>64</v>
      </c>
      <c r="L29" s="448">
        <v>44</v>
      </c>
      <c r="M29">
        <f t="shared" si="12"/>
        <v>20</v>
      </c>
      <c r="N29" t="s">
        <v>1336</v>
      </c>
      <c r="O29" s="337">
        <f>AVERAGEIFS('General Lighting Factors'!$E:$E,'General Lighting Factors'!$D:$D,'General Lighting Calculations'!$N29)</f>
        <v>1980.50</v>
      </c>
      <c r="P29" s="337">
        <f>AVERAGEIFS('General Lighting Factors'!$J:$J,'General Lighting Factors'!$I:$I,'General Lighting Calculations'!$J29)</f>
        <v>40000</v>
      </c>
      <c r="Q29" s="337">
        <f t="shared" si="1"/>
        <v>20.19691996970462</v>
      </c>
      <c r="R29">
        <f t="shared" si="17" ref="R29:R37">G29</f>
        <v>24</v>
      </c>
      <c r="S29">
        <f t="shared" si="18" ref="S29:S37">G29</f>
        <v>24</v>
      </c>
      <c r="T29">
        <f t="shared" si="13"/>
        <v>126.75200000000001</v>
      </c>
      <c r="U29">
        <f t="shared" si="3"/>
        <v>3042.0480000000002</v>
      </c>
      <c r="V29">
        <f t="shared" si="14"/>
        <v>87.141999999999996</v>
      </c>
      <c r="W29">
        <f t="shared" si="5"/>
        <v>2091.4079999999999</v>
      </c>
      <c r="X29">
        <f t="shared" si="15"/>
        <v>39.610000000000014</v>
      </c>
      <c r="Y29" s="500">
        <f t="shared" si="7"/>
        <v>950.64000000000033</v>
      </c>
      <c r="Z29">
        <f>IF($AF29=1,($K29*10^-3)*AVERAGEIFS('General Lighting Factors'!$R:$R,'General Lighting Factors'!$O:$O,$N29)*AVERAGEIFS('General Lighting Factors'!$U:$U,'General Lighting Factors'!$O:$O,$N29),"")</f>
        <v>0.045556821333333337</v>
      </c>
      <c r="AA29">
        <f t="shared" si="8"/>
        <v>1.0933637120000002</v>
      </c>
      <c r="AB29">
        <f>IF($AF29=1,($L29*10^-3)*AVERAGEIFS('General Lighting Factors'!$R:$R,'General Lighting Factors'!$O:$O,$N29)*AVERAGEIFS('General Lighting Factors'!$U:$U,'General Lighting Factors'!$O:$O,$N29),"")</f>
        <v>0.031320314666666668</v>
      </c>
      <c r="AC29">
        <f t="shared" si="9"/>
        <v>0.75168755200000004</v>
      </c>
      <c r="AD29">
        <f t="shared" si="16"/>
        <v>0.014236506666666669</v>
      </c>
      <c r="AE29" s="500">
        <f t="shared" si="11"/>
        <v>0.34167616000000012</v>
      </c>
      <c r="AF29">
        <v>1</v>
      </c>
    </row>
    <row r="30" spans="2:32" ht="14.4">
      <c r="B30" t="s">
        <v>13</v>
      </c>
      <c r="C30" t="s">
        <v>1240</v>
      </c>
      <c r="D30" t="str">
        <f>'Seminole Savings Questionnaire'!B32</f>
        <v>400 MH Lamp</v>
      </c>
      <c r="E30" t="str">
        <f>'Seminole Savings Questionnaire'!C32</f>
        <v>78W LED</v>
      </c>
      <c r="G30" s="533">
        <f>'Seminole Savings Questionnaire'!D32</f>
        <v>6</v>
      </c>
      <c r="I30" t="s">
        <v>1572</v>
      </c>
      <c r="J30" s="509" t="s">
        <v>1420</v>
      </c>
      <c r="K30">
        <v>400</v>
      </c>
      <c r="L30" s="448">
        <v>78</v>
      </c>
      <c r="M30">
        <f t="shared" si="12"/>
        <v>322</v>
      </c>
      <c r="N30" t="s">
        <v>1337</v>
      </c>
      <c r="O30" s="337">
        <f>AVERAGEIFS('General Lighting Factors'!$E:$E,'General Lighting Factors'!$D:$D,'General Lighting Calculations'!$N30)</f>
        <v>1969.50</v>
      </c>
      <c r="P30" s="337">
        <f>AVERAGEIFS('General Lighting Factors'!$J:$J,'General Lighting Factors'!$I:$I,'General Lighting Calculations'!$J30)</f>
        <v>40000</v>
      </c>
      <c r="Q30" s="337">
        <f t="shared" si="1"/>
        <v>20.309723280020311</v>
      </c>
      <c r="R30">
        <f t="shared" si="17"/>
        <v>6</v>
      </c>
      <c r="S30">
        <f t="shared" si="18"/>
        <v>6</v>
      </c>
      <c r="T30">
        <f t="shared" si="13"/>
        <v>787.80</v>
      </c>
      <c r="U30">
        <f t="shared" si="3"/>
        <v>4726.80</v>
      </c>
      <c r="V30">
        <f t="shared" si="14"/>
        <v>153.62100000000001</v>
      </c>
      <c r="W30">
        <f t="shared" si="5"/>
        <v>921.72600000000011</v>
      </c>
      <c r="X30">
        <f t="shared" si="15"/>
        <v>634.17900000000009</v>
      </c>
      <c r="Y30" s="500">
        <f t="shared" si="7"/>
        <v>3805.0740000000001</v>
      </c>
      <c r="Z30">
        <f>IF($AF30=1,($K30*10^-3)*AVERAGEIFS('General Lighting Factors'!$R:$R,'General Lighting Factors'!$O:$O,$N30)*AVERAGEIFS('General Lighting Factors'!$U:$U,'General Lighting Factors'!$O:$O,$N30),"")</f>
        <v>0.25724160000000007</v>
      </c>
      <c r="AA30">
        <f t="shared" si="8"/>
        <v>1.5434496000000004</v>
      </c>
      <c r="AB30">
        <f>IF($AF30=1,($L30*10^-3)*AVERAGEIFS('General Lighting Factors'!$R:$R,'General Lighting Factors'!$O:$O,$N30)*AVERAGEIFS('General Lighting Factors'!$U:$U,'General Lighting Factors'!$O:$O,$N30),"")</f>
        <v>0.050162112000000009</v>
      </c>
      <c r="AC30">
        <f t="shared" si="9"/>
        <v>0.30097267200000005</v>
      </c>
      <c r="AD30">
        <f t="shared" si="16"/>
        <v>0.20707948800000006</v>
      </c>
      <c r="AE30" s="500">
        <f t="shared" si="11"/>
        <v>1.2424769280000003</v>
      </c>
      <c r="AF30">
        <v>1</v>
      </c>
    </row>
    <row r="31" spans="2:32" ht="14.4">
      <c r="B31" t="s">
        <v>13</v>
      </c>
      <c r="C31" t="s">
        <v>1240</v>
      </c>
      <c r="D31" t="str">
        <f>'Seminole Savings Questionnaire'!B33</f>
        <v>250W</v>
      </c>
      <c r="E31" t="str">
        <f>'Seminole Savings Questionnaire'!C33</f>
        <v>28W LED</v>
      </c>
      <c r="G31" s="533">
        <f>'Seminole Savings Questionnaire'!D33</f>
        <v>9</v>
      </c>
      <c r="I31" t="s">
        <v>1572</v>
      </c>
      <c r="J31" s="509" t="s">
        <v>1420</v>
      </c>
      <c r="K31">
        <v>250</v>
      </c>
      <c r="L31" s="448">
        <v>28</v>
      </c>
      <c r="M31">
        <f t="shared" si="12"/>
        <v>222</v>
      </c>
      <c r="N31" t="s">
        <v>1337</v>
      </c>
      <c r="O31" s="337">
        <f>AVERAGEIFS('General Lighting Factors'!$E:$E,'General Lighting Factors'!$D:$D,'General Lighting Calculations'!$N31)</f>
        <v>1969.50</v>
      </c>
      <c r="P31" s="337">
        <f>AVERAGEIFS('General Lighting Factors'!$J:$J,'General Lighting Factors'!$I:$I,'General Lighting Calculations'!$J31)</f>
        <v>40000</v>
      </c>
      <c r="Q31" s="337">
        <f t="shared" si="1"/>
        <v>20.309723280020311</v>
      </c>
      <c r="R31">
        <f t="shared" si="17"/>
        <v>9</v>
      </c>
      <c r="S31">
        <f t="shared" si="18"/>
        <v>9</v>
      </c>
      <c r="T31">
        <f t="shared" si="13"/>
        <v>492.375</v>
      </c>
      <c r="U31">
        <f t="shared" si="3"/>
        <v>4431.375</v>
      </c>
      <c r="V31">
        <f t="shared" si="14"/>
        <v>55.146000000000001</v>
      </c>
      <c r="W31">
        <f t="shared" si="5"/>
        <v>496.31400000000002</v>
      </c>
      <c r="X31">
        <f t="shared" si="15"/>
        <v>437.22899999999998</v>
      </c>
      <c r="Y31" s="500">
        <f t="shared" si="7"/>
        <v>3935.0610000000001</v>
      </c>
      <c r="Z31">
        <f>IF($AF31=1,($K31*10^-3)*AVERAGEIFS('General Lighting Factors'!$R:$R,'General Lighting Factors'!$O:$O,$N31)*AVERAGEIFS('General Lighting Factors'!$U:$U,'General Lighting Factors'!$O:$O,$N31),"")</f>
        <v>0.16077600000000003</v>
      </c>
      <c r="AA31">
        <f t="shared" si="8"/>
        <v>1.4469840000000003</v>
      </c>
      <c r="AB31">
        <f>IF($AF31=1,($L31*10^-3)*AVERAGEIFS('General Lighting Factors'!$R:$R,'General Lighting Factors'!$O:$O,$N31)*AVERAGEIFS('General Lighting Factors'!$U:$U,'General Lighting Factors'!$O:$O,$N31),"")</f>
        <v>0.018006912000000003</v>
      </c>
      <c r="AC31">
        <f t="shared" si="9"/>
        <v>0.16206220800000004</v>
      </c>
      <c r="AD31">
        <f t="shared" si="16"/>
        <v>0.14276908800000002</v>
      </c>
      <c r="AE31" s="500">
        <f t="shared" si="11"/>
        <v>1.2849217920000002</v>
      </c>
      <c r="AF31">
        <v>1</v>
      </c>
    </row>
    <row r="32" spans="2:32" ht="14.4">
      <c r="B32" t="s">
        <v>13</v>
      </c>
      <c r="C32" t="s">
        <v>1200</v>
      </c>
      <c r="D32" t="str">
        <f>'Seminole Savings Questionnaire'!B34</f>
        <v>30W Emergency Light Fixture</v>
      </c>
      <c r="E32" t="str">
        <f>'Seminole Savings Questionnaire'!C34</f>
        <v>7W LED</v>
      </c>
      <c r="G32" s="533">
        <f>'Seminole Savings Questionnaire'!D34</f>
        <v>24</v>
      </c>
      <c r="I32" t="s">
        <v>1572</v>
      </c>
      <c r="J32" s="509" t="s">
        <v>1420</v>
      </c>
      <c r="K32">
        <v>30</v>
      </c>
      <c r="L32" s="448">
        <v>7</v>
      </c>
      <c r="M32">
        <f t="shared" si="12"/>
        <v>23</v>
      </c>
      <c r="N32" t="s">
        <v>1336</v>
      </c>
      <c r="O32" s="337">
        <v>8760</v>
      </c>
      <c r="P32" s="337">
        <f>AVERAGEIFS('General Lighting Factors'!$J:$J,'General Lighting Factors'!$I:$I,'General Lighting Calculations'!$J32)</f>
        <v>40000</v>
      </c>
      <c r="Q32" s="337">
        <f t="shared" si="1"/>
        <v>4.5662100456621006</v>
      </c>
      <c r="R32">
        <f t="shared" si="17"/>
        <v>24</v>
      </c>
      <c r="S32">
        <f t="shared" si="18"/>
        <v>24</v>
      </c>
      <c r="T32">
        <f t="shared" si="13"/>
        <v>262.80</v>
      </c>
      <c r="U32">
        <f t="shared" si="3"/>
        <v>6307.2000000000007</v>
      </c>
      <c r="V32">
        <f t="shared" si="14"/>
        <v>61.32</v>
      </c>
      <c r="W32">
        <f t="shared" si="5"/>
        <v>1471.68</v>
      </c>
      <c r="X32">
        <f t="shared" si="15"/>
        <v>201.48000000000002</v>
      </c>
      <c r="Y32" s="500">
        <f t="shared" si="7"/>
        <v>4835.5200000000004</v>
      </c>
      <c r="Z32">
        <f>IF($AF32=1,($K32*10^-3)*AVERAGEIFS('General Lighting Factors'!$R:$R,'General Lighting Factors'!$O:$O,$N32)*AVERAGEIFS('General Lighting Factors'!$U:$U,'General Lighting Factors'!$O:$O,$N32),"")</f>
        <v>0.021354760000000004</v>
      </c>
      <c r="AA32">
        <f t="shared" si="8"/>
        <v>0.51251424000000012</v>
      </c>
      <c r="AB32">
        <f>IF($AF32=1,($L32*10^-3)*AVERAGEIFS('General Lighting Factors'!$R:$R,'General Lighting Factors'!$O:$O,$N32)*AVERAGEIFS('General Lighting Factors'!$U:$U,'General Lighting Factors'!$O:$O,$N32),"")</f>
        <v>0.0049827773333333339</v>
      </c>
      <c r="AC32">
        <f t="shared" si="9"/>
        <v>0.11958665600000001</v>
      </c>
      <c r="AD32">
        <f t="shared" si="16"/>
        <v>0.01637198266666667</v>
      </c>
      <c r="AE32" s="500">
        <f t="shared" si="11"/>
        <v>0.39292758400000011</v>
      </c>
      <c r="AF32">
        <v>1</v>
      </c>
    </row>
    <row r="33" spans="2:32" ht="14.4">
      <c r="B33" t="s">
        <v>13</v>
      </c>
      <c r="C33" t="s">
        <v>1200</v>
      </c>
      <c r="D33" t="str">
        <f>'Seminole Savings Questionnaire'!B35</f>
        <v>Assume 250W HPS Pre</v>
      </c>
      <c r="E33" t="str">
        <f>'Seminole Savings Questionnaire'!C35</f>
        <v>100 watt High Bay</v>
      </c>
      <c r="G33" s="533">
        <f>'Seminole Savings Questionnaire'!D35</f>
        <v>23</v>
      </c>
      <c r="I33" t="s">
        <v>1571</v>
      </c>
      <c r="J33" s="509" t="s">
        <v>1420</v>
      </c>
      <c r="K33">
        <v>250</v>
      </c>
      <c r="L33" s="448">
        <v>100</v>
      </c>
      <c r="M33">
        <f t="shared" si="12"/>
        <v>150</v>
      </c>
      <c r="N33" t="s">
        <v>1337</v>
      </c>
      <c r="O33" s="337">
        <f>AVERAGEIFS('General Lighting Factors'!$E:$E,'General Lighting Factors'!$D:$D,'General Lighting Calculations'!$N33)</f>
        <v>1969.50</v>
      </c>
      <c r="P33" s="337">
        <f>AVERAGEIFS('General Lighting Factors'!$J:$J,'General Lighting Factors'!$I:$I,'General Lighting Calculations'!$J33)</f>
        <v>40000</v>
      </c>
      <c r="Q33" s="337">
        <f t="shared" si="1"/>
        <v>20.309723280020311</v>
      </c>
      <c r="R33">
        <f t="shared" si="17"/>
        <v>23</v>
      </c>
      <c r="S33">
        <f t="shared" si="18"/>
        <v>23</v>
      </c>
      <c r="T33">
        <f t="shared" si="13"/>
        <v>492.375</v>
      </c>
      <c r="U33">
        <f t="shared" si="3"/>
        <v>11324.625</v>
      </c>
      <c r="V33">
        <f t="shared" si="14"/>
        <v>196.95000000000002</v>
      </c>
      <c r="W33">
        <f t="shared" si="5"/>
        <v>4529.8500000000004</v>
      </c>
      <c r="X33">
        <f t="shared" si="15"/>
        <v>295.42499999999995</v>
      </c>
      <c r="Y33" s="500">
        <f t="shared" si="7"/>
        <v>6794.7749999999996</v>
      </c>
      <c r="Z33">
        <f>IF($AF33=1,($K33*10^-3)*AVERAGEIFS('General Lighting Factors'!$R:$R,'General Lighting Factors'!$O:$O,$N33)*AVERAGEIFS('General Lighting Factors'!$U:$U,'General Lighting Factors'!$O:$O,$N33),"")</f>
        <v>0.16077600000000003</v>
      </c>
      <c r="AA33">
        <f t="shared" si="8"/>
        <v>3.6978480000000005</v>
      </c>
      <c r="AB33">
        <f>IF($AF33=1,($L33*10^-3)*AVERAGEIFS('General Lighting Factors'!$R:$R,'General Lighting Factors'!$O:$O,$N33)*AVERAGEIFS('General Lighting Factors'!$U:$U,'General Lighting Factors'!$O:$O,$N33),"")</f>
        <v>0.064310400000000018</v>
      </c>
      <c r="AC33">
        <f t="shared" si="9"/>
        <v>1.4791392000000003</v>
      </c>
      <c r="AD33">
        <f t="shared" si="16"/>
        <v>0.096465600000000012</v>
      </c>
      <c r="AE33" s="500">
        <f t="shared" si="11"/>
        <v>2.2187087999999999</v>
      </c>
      <c r="AF33">
        <v>1</v>
      </c>
    </row>
    <row r="34" spans="2:32" ht="14.4">
      <c r="B34" t="s">
        <v>13</v>
      </c>
      <c r="C34" t="s">
        <v>1200</v>
      </c>
      <c r="D34" t="str">
        <f>'Seminole Savings Questionnaire'!B36</f>
        <v>Assume F40T12 Pre</v>
      </c>
      <c r="E34" t="str">
        <f>'Seminole Savings Questionnaire'!C36</f>
        <v>4’ 40 watt T12 replacement - 2 bulb</v>
      </c>
      <c r="G34" s="533">
        <f>'Seminole Savings Questionnaire'!D36</f>
        <v>102</v>
      </c>
      <c r="I34" t="s">
        <v>1571</v>
      </c>
      <c r="J34" s="509" t="s">
        <v>1420</v>
      </c>
      <c r="K34">
        <f>40*2</f>
        <v>80</v>
      </c>
      <c r="L34" s="448">
        <f>K34*85%</f>
        <v>68</v>
      </c>
      <c r="M34">
        <f t="shared" si="12"/>
        <v>12</v>
      </c>
      <c r="N34" t="s">
        <v>1337</v>
      </c>
      <c r="O34" s="337">
        <f>AVERAGEIFS('General Lighting Factors'!$E:$E,'General Lighting Factors'!$D:$D,'General Lighting Calculations'!$N34)</f>
        <v>1969.50</v>
      </c>
      <c r="P34" s="337">
        <f>AVERAGEIFS('General Lighting Factors'!$J:$J,'General Lighting Factors'!$I:$I,'General Lighting Calculations'!$J34)</f>
        <v>40000</v>
      </c>
      <c r="Q34" s="337">
        <f t="shared" si="1"/>
        <v>20.309723280020311</v>
      </c>
      <c r="R34">
        <f t="shared" si="17"/>
        <v>102</v>
      </c>
      <c r="S34">
        <f t="shared" si="18"/>
        <v>102</v>
      </c>
      <c r="T34">
        <f t="shared" si="13"/>
        <v>157.56</v>
      </c>
      <c r="U34">
        <f t="shared" si="3"/>
        <v>16071.12</v>
      </c>
      <c r="V34">
        <f t="shared" si="14"/>
        <v>133.92600000000002</v>
      </c>
      <c r="W34">
        <f t="shared" si="5"/>
        <v>13660.452000000001</v>
      </c>
      <c r="X34">
        <f t="shared" si="15"/>
        <v>23.633999999999986</v>
      </c>
      <c r="Y34" s="500">
        <f t="shared" si="7"/>
        <v>2410.6679999999997</v>
      </c>
      <c r="Z34">
        <f>IF($AF34=1,($K34*10^-3)*AVERAGEIFS('General Lighting Factors'!$R:$R,'General Lighting Factors'!$O:$O,$N34)*AVERAGEIFS('General Lighting Factors'!$U:$U,'General Lighting Factors'!$O:$O,$N34),"")</f>
        <v>0.051448320000000013</v>
      </c>
      <c r="AA34">
        <f t="shared" si="8"/>
        <v>5.2477286400000009</v>
      </c>
      <c r="AB34">
        <f>IF($AF34=1,($L34*10^-3)*AVERAGEIFS('General Lighting Factors'!$R:$R,'General Lighting Factors'!$O:$O,$N34)*AVERAGEIFS('General Lighting Factors'!$U:$U,'General Lighting Factors'!$O:$O,$N34),"")</f>
        <v>0.04373107200000001</v>
      </c>
      <c r="AC34">
        <f t="shared" si="9"/>
        <v>4.4605693440000014</v>
      </c>
      <c r="AD34">
        <f t="shared" si="16"/>
        <v>0.0077172480000000029</v>
      </c>
      <c r="AE34" s="500">
        <f t="shared" si="11"/>
        <v>0.78715929599999956</v>
      </c>
      <c r="AF34">
        <v>1</v>
      </c>
    </row>
    <row r="35" spans="2:32" ht="14.4">
      <c r="B35" t="s">
        <v>13</v>
      </c>
      <c r="C35" t="s">
        <v>1200</v>
      </c>
      <c r="D35" t="str">
        <f>'Seminole Savings Questionnaire'!B37</f>
        <v>Assume 250W HPS Pre</v>
      </c>
      <c r="E35" t="str">
        <f>'Seminole Savings Questionnaire'!C37</f>
        <v>100 watt - Boiler Lighting</v>
      </c>
      <c r="G35" s="533">
        <f>'Seminole Savings Questionnaire'!D37</f>
        <v>90</v>
      </c>
      <c r="I35" t="s">
        <v>1571</v>
      </c>
      <c r="J35" s="509" t="s">
        <v>1420</v>
      </c>
      <c r="K35">
        <v>250</v>
      </c>
      <c r="L35" s="448">
        <v>100</v>
      </c>
      <c r="M35">
        <f t="shared" si="12"/>
        <v>150</v>
      </c>
      <c r="N35" t="s">
        <v>1337</v>
      </c>
      <c r="O35" s="337">
        <f>AVERAGEIFS('General Lighting Factors'!$E:$E,'General Lighting Factors'!$D:$D,'General Lighting Calculations'!$N35)</f>
        <v>1969.50</v>
      </c>
      <c r="P35" s="337">
        <f>AVERAGEIFS('General Lighting Factors'!$J:$J,'General Lighting Factors'!$I:$I,'General Lighting Calculations'!$J35)</f>
        <v>40000</v>
      </c>
      <c r="Q35" s="337">
        <f t="shared" si="1"/>
        <v>20.309723280020311</v>
      </c>
      <c r="R35">
        <f t="shared" si="17"/>
        <v>90</v>
      </c>
      <c r="S35">
        <f t="shared" si="18"/>
        <v>90</v>
      </c>
      <c r="T35">
        <f t="shared" si="13"/>
        <v>492.375</v>
      </c>
      <c r="U35">
        <f t="shared" si="3"/>
        <v>44313.75</v>
      </c>
      <c r="V35">
        <f t="shared" si="14"/>
        <v>196.95000000000002</v>
      </c>
      <c r="W35">
        <f t="shared" si="5"/>
        <v>17725.50</v>
      </c>
      <c r="X35">
        <f t="shared" si="15"/>
        <v>295.42499999999995</v>
      </c>
      <c r="Y35" s="500">
        <f t="shared" si="7"/>
        <v>26588.25</v>
      </c>
      <c r="Z35">
        <f>IF($AF35=1,($K35*10^-3)*AVERAGEIFS('General Lighting Factors'!$R:$R,'General Lighting Factors'!$O:$O,$N35)*AVERAGEIFS('General Lighting Factors'!$U:$U,'General Lighting Factors'!$O:$O,$N35),"")</f>
        <v>0.16077600000000003</v>
      </c>
      <c r="AA35">
        <f t="shared" si="8"/>
        <v>14.469840000000003</v>
      </c>
      <c r="AB35">
        <f>IF($AF35=1,($L35*10^-3)*AVERAGEIFS('General Lighting Factors'!$R:$R,'General Lighting Factors'!$O:$O,$N35)*AVERAGEIFS('General Lighting Factors'!$U:$U,'General Lighting Factors'!$O:$O,$N35),"")</f>
        <v>0.064310400000000018</v>
      </c>
      <c r="AC35">
        <f t="shared" si="9"/>
        <v>5.787936000000002</v>
      </c>
      <c r="AD35">
        <f t="shared" si="16"/>
        <v>0.096465600000000012</v>
      </c>
      <c r="AE35" s="500">
        <f t="shared" si="11"/>
        <v>8.6819040000000012</v>
      </c>
      <c r="AF35">
        <v>1</v>
      </c>
    </row>
    <row r="36" spans="2:32" ht="14.4">
      <c r="B36" t="s">
        <v>13</v>
      </c>
      <c r="C36" t="s">
        <v>1200</v>
      </c>
      <c r="D36" t="str">
        <f>'Seminole Savings Questionnaire'!B38</f>
        <v>Assume 250W HPS Pre</v>
      </c>
      <c r="E36" t="str">
        <f>'Seminole Savings Questionnaire'!C38</f>
        <v>100 watt High Bay - Wet Locations</v>
      </c>
      <c r="G36" s="533">
        <f>'Seminole Savings Questionnaire'!D38</f>
        <v>10</v>
      </c>
      <c r="I36" t="s">
        <v>1571</v>
      </c>
      <c r="J36" s="509" t="s">
        <v>1420</v>
      </c>
      <c r="K36">
        <v>250</v>
      </c>
      <c r="L36" s="448">
        <v>100</v>
      </c>
      <c r="M36">
        <f t="shared" si="12"/>
        <v>150</v>
      </c>
      <c r="N36" t="s">
        <v>1337</v>
      </c>
      <c r="O36" s="337">
        <f>AVERAGEIFS('General Lighting Factors'!$E:$E,'General Lighting Factors'!$D:$D,'General Lighting Calculations'!$N36)</f>
        <v>1969.50</v>
      </c>
      <c r="P36" s="337">
        <f>AVERAGEIFS('General Lighting Factors'!$J:$J,'General Lighting Factors'!$I:$I,'General Lighting Calculations'!$J36)</f>
        <v>40000</v>
      </c>
      <c r="Q36" s="337">
        <f t="shared" si="1"/>
        <v>20.309723280020311</v>
      </c>
      <c r="R36">
        <f t="shared" si="17"/>
        <v>10</v>
      </c>
      <c r="S36">
        <f t="shared" si="18"/>
        <v>10</v>
      </c>
      <c r="T36">
        <f t="shared" si="13"/>
        <v>492.375</v>
      </c>
      <c r="U36">
        <f t="shared" si="3"/>
        <v>4923.75</v>
      </c>
      <c r="V36">
        <f t="shared" si="14"/>
        <v>196.95000000000002</v>
      </c>
      <c r="W36">
        <f t="shared" si="5"/>
        <v>1969.5000000000002</v>
      </c>
      <c r="X36">
        <f t="shared" si="15"/>
        <v>295.42499999999995</v>
      </c>
      <c r="Y36" s="500">
        <f t="shared" si="7"/>
        <v>2954.25</v>
      </c>
      <c r="Z36">
        <f>IF($AF36=1,($K36*10^-3)*AVERAGEIFS('General Lighting Factors'!$R:$R,'General Lighting Factors'!$O:$O,$N36)*AVERAGEIFS('General Lighting Factors'!$U:$U,'General Lighting Factors'!$O:$O,$N36),"")</f>
        <v>0.16077600000000003</v>
      </c>
      <c r="AA36">
        <f t="shared" si="8"/>
        <v>1.6077600000000003</v>
      </c>
      <c r="AB36">
        <f>IF($AF36=1,($L36*10^-3)*AVERAGEIFS('General Lighting Factors'!$R:$R,'General Lighting Factors'!$O:$O,$N36)*AVERAGEIFS('General Lighting Factors'!$U:$U,'General Lighting Factors'!$O:$O,$N36),"")</f>
        <v>0.064310400000000018</v>
      </c>
      <c r="AC36">
        <f t="shared" si="9"/>
        <v>0.64310400000000012</v>
      </c>
      <c r="AD36">
        <f t="shared" si="16"/>
        <v>0.096465600000000012</v>
      </c>
      <c r="AE36" s="500">
        <f t="shared" si="11"/>
        <v>0.96465600000000018</v>
      </c>
      <c r="AF36">
        <v>1</v>
      </c>
    </row>
    <row r="37" spans="2:32" ht="14.4">
      <c r="B37" t="s">
        <v>13</v>
      </c>
      <c r="C37" t="s">
        <v>1200</v>
      </c>
      <c r="D37" t="str">
        <f>'Seminole Savings Questionnaire'!B39</f>
        <v>Assume 250W HPS Pre</v>
      </c>
      <c r="E37" t="str">
        <f>'Seminole Savings Questionnaire'!C39</f>
        <v>100 watt High Bay - Pancake Style</v>
      </c>
      <c r="G37" s="533">
        <f>'Seminole Savings Questionnaire'!D39</f>
        <v>19</v>
      </c>
      <c r="I37" t="s">
        <v>1571</v>
      </c>
      <c r="J37" s="509" t="s">
        <v>1420</v>
      </c>
      <c r="K37">
        <v>250</v>
      </c>
      <c r="L37" s="448">
        <v>100</v>
      </c>
      <c r="M37">
        <f t="shared" si="12"/>
        <v>150</v>
      </c>
      <c r="N37" t="s">
        <v>1337</v>
      </c>
      <c r="O37" s="337">
        <f>AVERAGEIFS('General Lighting Factors'!$E:$E,'General Lighting Factors'!$D:$D,'General Lighting Calculations'!$N37)</f>
        <v>1969.50</v>
      </c>
      <c r="P37" s="337">
        <f>AVERAGEIFS('General Lighting Factors'!$J:$J,'General Lighting Factors'!$I:$I,'General Lighting Calculations'!$J37)</f>
        <v>40000</v>
      </c>
      <c r="Q37" s="337">
        <f t="shared" si="1"/>
        <v>20.309723280020311</v>
      </c>
      <c r="R37">
        <f t="shared" si="17"/>
        <v>19</v>
      </c>
      <c r="S37">
        <f t="shared" si="18"/>
        <v>19</v>
      </c>
      <c r="T37">
        <f t="shared" si="13"/>
        <v>492.375</v>
      </c>
      <c r="U37">
        <f t="shared" si="3"/>
        <v>9355.125</v>
      </c>
      <c r="V37">
        <f t="shared" si="14"/>
        <v>196.95000000000002</v>
      </c>
      <c r="W37">
        <f t="shared" si="5"/>
        <v>3742.05</v>
      </c>
      <c r="X37">
        <f t="shared" si="15"/>
        <v>295.42499999999995</v>
      </c>
      <c r="Y37" s="500">
        <f t="shared" si="7"/>
        <v>5613.0749999999998</v>
      </c>
      <c r="Z37">
        <f>IF($AF37=1,($K37*10^-3)*AVERAGEIFS('General Lighting Factors'!$R:$R,'General Lighting Factors'!$O:$O,$N37)*AVERAGEIFS('General Lighting Factors'!$U:$U,'General Lighting Factors'!$O:$O,$N37),"")</f>
        <v>0.16077600000000003</v>
      </c>
      <c r="AA37">
        <f t="shared" si="8"/>
        <v>3.0547440000000003</v>
      </c>
      <c r="AB37">
        <f>IF($AF37=1,($L37*10^-3)*AVERAGEIFS('General Lighting Factors'!$R:$R,'General Lighting Factors'!$O:$O,$N37)*AVERAGEIFS('General Lighting Factors'!$U:$U,'General Lighting Factors'!$O:$O,$N37),"")</f>
        <v>0.064310400000000018</v>
      </c>
      <c r="AC37">
        <f t="shared" si="9"/>
        <v>1.2218976000000004</v>
      </c>
      <c r="AD37">
        <f t="shared" si="16"/>
        <v>0.096465600000000012</v>
      </c>
      <c r="AE37" s="500">
        <f t="shared" si="11"/>
        <v>1.8328464</v>
      </c>
      <c r="AF37">
        <v>1</v>
      </c>
    </row>
  </sheetData>
  <autoFilter ref="B3:AG37"/>
  <pageMargins left="0.7" right="0.7" top="0.75" bottom="0.75" header="0.3" footer="0.3"/>
  <pageSetup orientation="portrait" r:id="rId2"/>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6" tint="0.39998"/>
  </sheetPr>
  <dimension ref="B1:X29"/>
  <sheetViews>
    <sheetView zoomScale="70" zoomScaleNormal="70" workbookViewId="0" topLeftCell="A1">
      <selection pane="topLeft" activeCell="A1" sqref="A1"/>
    </sheetView>
  </sheetViews>
  <sheetFormatPr defaultColWidth="9.21875" defaultRowHeight="14.4"/>
  <cols>
    <col min="1" max="1" width="9.22222222222222" style="24"/>
    <col min="2" max="2" width="25.7777777777778" style="24" customWidth="1"/>
    <col min="3" max="3" width="22.2222222222222" style="24" customWidth="1"/>
    <col min="4" max="4" width="36.2222222222222" style="24" bestFit="1" customWidth="1"/>
    <col min="5" max="5" width="14.7777777777778" style="24" bestFit="1" customWidth="1"/>
    <col min="6" max="6" width="12.2222222222222" style="24" bestFit="1" customWidth="1"/>
    <col min="7" max="7" width="9.22222222222222" style="24"/>
    <col min="8" max="8" width="30.5555555555556" style="24" bestFit="1" customWidth="1"/>
    <col min="9" max="9" width="27.5555555555556" style="24" customWidth="1"/>
    <col min="10" max="10" width="13.4444444444444" style="24" customWidth="1"/>
    <col min="11" max="11" width="12.7777777777778" style="24" bestFit="1" customWidth="1"/>
    <col min="12" max="12" width="9.22222222222222" style="24"/>
    <col min="13" max="13" width="24" style="24" bestFit="1" customWidth="1"/>
    <col min="14" max="14" width="22.2222222222222" style="24" bestFit="1" customWidth="1"/>
    <col min="15" max="15" width="27.2222222222222" style="24" bestFit="1" customWidth="1"/>
    <col min="16" max="16" width="16.7777777777778" style="24" bestFit="1" customWidth="1"/>
    <col min="17" max="22" width="35.7777777777778" style="24" customWidth="1"/>
    <col min="23" max="24" width="34.2222222222222" style="24" customWidth="1"/>
    <col min="25" max="16384" width="9.22222222222222" style="24"/>
  </cols>
  <sheetData>
    <row r="1" ht="14.4">
      <c r="B1" s="979" t="s">
        <v>1632</v>
      </c>
    </row>
    <row r="2" spans="2:24" ht="14.4">
      <c r="B2" s="994" t="s">
        <v>1412</v>
      </c>
      <c r="H2" s="994" t="s">
        <v>1413</v>
      </c>
      <c r="I2" s="994"/>
      <c r="M2" s="995" t="s">
        <v>1437</v>
      </c>
      <c r="N2" s="995"/>
      <c r="O2" s="995"/>
      <c r="P2" s="995"/>
      <c r="Q2" s="1803" t="s">
        <v>1428</v>
      </c>
      <c r="R2" s="1804"/>
      <c r="S2" s="1805" t="s">
        <v>1429</v>
      </c>
      <c r="T2" s="1805"/>
      <c r="U2" s="1805" t="s">
        <v>1430</v>
      </c>
      <c r="V2" s="1805"/>
      <c r="W2" s="1806" t="s">
        <v>1431</v>
      </c>
      <c r="X2" s="1806"/>
    </row>
    <row r="3" spans="2:24" ht="14.4">
      <c r="B3" s="996" t="s">
        <v>1346</v>
      </c>
      <c r="C3" s="996" t="s">
        <v>1347</v>
      </c>
      <c r="D3" s="996" t="s">
        <v>1403</v>
      </c>
      <c r="E3" s="996" t="s">
        <v>1348</v>
      </c>
      <c r="F3" s="996" t="s">
        <v>143</v>
      </c>
      <c r="H3" s="996" t="s">
        <v>154</v>
      </c>
      <c r="I3" s="996" t="s">
        <v>1423</v>
      </c>
      <c r="J3" s="996" t="s">
        <v>1414</v>
      </c>
      <c r="K3" s="996" t="s">
        <v>1415</v>
      </c>
      <c r="M3" s="997" t="s">
        <v>1346</v>
      </c>
      <c r="N3" s="996" t="s">
        <v>1347</v>
      </c>
      <c r="O3" s="996" t="s">
        <v>1403</v>
      </c>
      <c r="P3" s="997" t="s">
        <v>1432</v>
      </c>
      <c r="Q3" s="996" t="s">
        <v>1433</v>
      </c>
      <c r="R3" s="996" t="s">
        <v>1434</v>
      </c>
      <c r="S3" s="996" t="s">
        <v>1433</v>
      </c>
      <c r="T3" s="996" t="s">
        <v>1434</v>
      </c>
      <c r="U3" s="996" t="s">
        <v>1435</v>
      </c>
      <c r="V3" s="996" t="s">
        <v>1436</v>
      </c>
      <c r="W3" s="996" t="s">
        <v>1435</v>
      </c>
      <c r="X3" s="996" t="s">
        <v>1436</v>
      </c>
    </row>
    <row r="4" spans="2:24" ht="14.4">
      <c r="B4" s="998" t="s">
        <v>1373</v>
      </c>
      <c r="C4" s="999" t="s">
        <v>1349</v>
      </c>
      <c r="D4" s="999" t="s">
        <v>1111</v>
      </c>
      <c r="E4" s="998">
        <v>1168</v>
      </c>
      <c r="F4" s="998" t="s">
        <v>1345</v>
      </c>
      <c r="H4" s="998" t="s">
        <v>1416</v>
      </c>
      <c r="I4" s="998" t="s">
        <v>1416</v>
      </c>
      <c r="J4" s="998">
        <v>5000</v>
      </c>
      <c r="K4" s="1000">
        <v>1.50</v>
      </c>
      <c r="M4" s="999" t="s">
        <v>1394</v>
      </c>
      <c r="N4" s="999" t="s">
        <v>1349</v>
      </c>
      <c r="O4" s="626" t="str">
        <f>VLOOKUP($N4,$C$4:$D$29,2,FALSE)</f>
        <v>Other</v>
      </c>
      <c r="P4" s="999" t="s">
        <v>1438</v>
      </c>
      <c r="Q4" s="1001">
        <v>1.0851333333333335</v>
      </c>
      <c r="R4" s="1001">
        <v>1.2004333333333335</v>
      </c>
      <c r="S4" s="1001">
        <v>1.0826333333333331</v>
      </c>
      <c r="T4" s="1001">
        <v>1.2058666666666666</v>
      </c>
      <c r="U4" s="1002">
        <v>0.56000000000000005</v>
      </c>
      <c r="V4" s="1002">
        <v>0.55000000000000004</v>
      </c>
      <c r="W4" s="1001">
        <v>-0.0070594999999999998</v>
      </c>
      <c r="X4" s="1001">
        <v>-0.0066775333333333325</v>
      </c>
    </row>
    <row r="5" spans="2:24" ht="14.4">
      <c r="B5" s="998" t="s">
        <v>1374</v>
      </c>
      <c r="C5" s="999" t="s">
        <v>1350</v>
      </c>
      <c r="D5" s="999" t="s">
        <v>1404</v>
      </c>
      <c r="E5" s="998">
        <v>1288</v>
      </c>
      <c r="F5" s="998" t="s">
        <v>1345</v>
      </c>
      <c r="H5" s="998" t="s">
        <v>1417</v>
      </c>
      <c r="I5" s="998" t="s">
        <v>1417</v>
      </c>
      <c r="J5" s="998">
        <v>50000</v>
      </c>
      <c r="K5" s="1000">
        <v>15.50</v>
      </c>
      <c r="M5" s="999" t="s">
        <v>1395</v>
      </c>
      <c r="N5" s="999" t="s">
        <v>1350</v>
      </c>
      <c r="O5" s="626" t="str">
        <f t="shared" si="0" ref="O5:O26">VLOOKUP($N5,$C$4:$D$29,2,FALSE)</f>
        <v>Education</v>
      </c>
      <c r="P5" s="999" t="s">
        <v>1438</v>
      </c>
      <c r="Q5" s="1001">
        <v>1.1184666666666665</v>
      </c>
      <c r="R5" s="1001">
        <v>1.2650666666666666</v>
      </c>
      <c r="S5" s="1001">
        <v>1.1120000000000001</v>
      </c>
      <c r="T5" s="1001">
        <v>1.2560999999999998</v>
      </c>
      <c r="U5" s="1002">
        <v>0.56000000000000005</v>
      </c>
      <c r="V5" s="1002">
        <v>0.55000000000000004</v>
      </c>
      <c r="W5" s="1001">
        <v>-0.0062828333333333338</v>
      </c>
      <c r="X5" s="1001">
        <v>-0.0065067666666666669</v>
      </c>
    </row>
    <row r="6" spans="2:24" ht="14.4">
      <c r="B6" s="998" t="s">
        <v>1375</v>
      </c>
      <c r="C6" s="999" t="s">
        <v>1351</v>
      </c>
      <c r="D6" s="999" t="s">
        <v>1404</v>
      </c>
      <c r="E6" s="998">
        <v>1717</v>
      </c>
      <c r="F6" s="998" t="s">
        <v>1345</v>
      </c>
      <c r="H6" s="998" t="s">
        <v>1418</v>
      </c>
      <c r="I6" s="998" t="s">
        <v>1418</v>
      </c>
      <c r="J6" s="998">
        <v>25000</v>
      </c>
      <c r="K6" s="1000">
        <v>4.50</v>
      </c>
      <c r="M6" s="999" t="s">
        <v>1395</v>
      </c>
      <c r="N6" s="999" t="s">
        <v>1351</v>
      </c>
      <c r="O6" s="626" t="str">
        <f t="shared" si="0"/>
        <v>Education</v>
      </c>
      <c r="P6" s="999" t="s">
        <v>1438</v>
      </c>
      <c r="Q6" s="1001">
        <v>1.1072</v>
      </c>
      <c r="R6" s="1001">
        <v>1.2461333333333335</v>
      </c>
      <c r="S6" s="1001">
        <v>1.0995333333333333</v>
      </c>
      <c r="T6" s="1001">
        <v>1.2367333333333335</v>
      </c>
      <c r="U6" s="1002">
        <v>0.56000000000000005</v>
      </c>
      <c r="V6" s="1002">
        <v>0.55000000000000004</v>
      </c>
      <c r="W6" s="1001">
        <v>-0.0079366333333333334</v>
      </c>
      <c r="X6" s="1001">
        <v>-0.0079177333333333329</v>
      </c>
    </row>
    <row r="7" spans="2:24" ht="14.4">
      <c r="B7" s="998" t="s">
        <v>1376</v>
      </c>
      <c r="C7" s="999" t="s">
        <v>1352</v>
      </c>
      <c r="D7" s="999" t="s">
        <v>1404</v>
      </c>
      <c r="E7" s="998">
        <v>2299</v>
      </c>
      <c r="F7" s="998" t="s">
        <v>1345</v>
      </c>
      <c r="H7" s="998" t="s">
        <v>1419</v>
      </c>
      <c r="I7" s="998" t="s">
        <v>1419</v>
      </c>
      <c r="J7" s="998">
        <v>8000</v>
      </c>
      <c r="K7" s="1000">
        <v>2.50</v>
      </c>
      <c r="M7" s="999" t="s">
        <v>1395</v>
      </c>
      <c r="N7" s="999" t="s">
        <v>1352</v>
      </c>
      <c r="O7" s="626" t="str">
        <f t="shared" si="0"/>
        <v>Education</v>
      </c>
      <c r="P7" s="999" t="s">
        <v>1438</v>
      </c>
      <c r="Q7" s="1001">
        <v>1.131</v>
      </c>
      <c r="R7" s="1001">
        <v>1.2707333333333333</v>
      </c>
      <c r="S7" s="1001">
        <v>1.1233666666666669</v>
      </c>
      <c r="T7" s="1001">
        <v>1.2750333333333332</v>
      </c>
      <c r="U7" s="1002">
        <v>0.56000000000000005</v>
      </c>
      <c r="V7" s="1002">
        <v>0.55000000000000004</v>
      </c>
      <c r="W7" s="1001">
        <v>-0.0077409666666666656</v>
      </c>
      <c r="X7" s="1001">
        <v>-0.0077400333333333335</v>
      </c>
    </row>
    <row r="8" spans="2:24" ht="14.4">
      <c r="B8" s="998" t="s">
        <v>1377</v>
      </c>
      <c r="C8" s="999" t="s">
        <v>1353</v>
      </c>
      <c r="D8" s="999" t="s">
        <v>1404</v>
      </c>
      <c r="E8" s="998">
        <v>2114</v>
      </c>
      <c r="F8" s="998" t="s">
        <v>1345</v>
      </c>
      <c r="H8" s="998" t="s">
        <v>1421</v>
      </c>
      <c r="I8" s="998" t="s">
        <v>1420</v>
      </c>
      <c r="J8" s="998">
        <v>30000</v>
      </c>
      <c r="K8" s="1000">
        <v>9</v>
      </c>
      <c r="M8" s="999" t="s">
        <v>1395</v>
      </c>
      <c r="N8" s="999" t="s">
        <v>1353</v>
      </c>
      <c r="O8" s="626" t="str">
        <f t="shared" si="0"/>
        <v>Education</v>
      </c>
      <c r="P8" s="999" t="s">
        <v>1438</v>
      </c>
      <c r="Q8" s="1001">
        <v>1.1358666666666668</v>
      </c>
      <c r="R8" s="1001">
        <v>1.2524333333333333</v>
      </c>
      <c r="S8" s="1001">
        <v>1.1302666666666668</v>
      </c>
      <c r="T8" s="1001">
        <v>1.2565</v>
      </c>
      <c r="U8" s="1002">
        <v>0.56000000000000005</v>
      </c>
      <c r="V8" s="1002">
        <v>0.55000000000000004</v>
      </c>
      <c r="W8" s="1001">
        <v>-0.0052399333333333327</v>
      </c>
      <c r="X8" s="1001">
        <v>-0.0052650999999999991</v>
      </c>
    </row>
    <row r="9" spans="2:24" ht="14.4">
      <c r="B9" s="998" t="s">
        <v>1378</v>
      </c>
      <c r="C9" s="999" t="s">
        <v>1354</v>
      </c>
      <c r="D9" s="999" t="s">
        <v>1404</v>
      </c>
      <c r="E9" s="998">
        <v>1086</v>
      </c>
      <c r="F9" s="998" t="s">
        <v>1345</v>
      </c>
      <c r="H9" s="998" t="s">
        <v>1420</v>
      </c>
      <c r="I9" s="998" t="s">
        <v>1420</v>
      </c>
      <c r="J9" s="998">
        <v>50000</v>
      </c>
      <c r="K9" s="1000">
        <v>15</v>
      </c>
      <c r="M9" s="999" t="s">
        <v>1395</v>
      </c>
      <c r="N9" s="999" t="s">
        <v>1354</v>
      </c>
      <c r="O9" s="626" t="str">
        <f t="shared" si="0"/>
        <v>Education</v>
      </c>
      <c r="P9" s="999" t="s">
        <v>1438</v>
      </c>
      <c r="Q9" s="1001">
        <v>1.0875333333333335</v>
      </c>
      <c r="R9" s="1001">
        <v>1.2472333333333332</v>
      </c>
      <c r="S9" s="1001">
        <v>1.0788</v>
      </c>
      <c r="T9" s="1001">
        <v>1.2280666666666666</v>
      </c>
      <c r="U9" s="1002">
        <v>0.56000000000000005</v>
      </c>
      <c r="V9" s="1002">
        <v>0.55000000000000004</v>
      </c>
      <c r="W9" s="1001">
        <v>-0.0075671000000000002</v>
      </c>
      <c r="X9" s="1001">
        <v>-0.0074685333333333326</v>
      </c>
    </row>
    <row r="10" spans="2:24" ht="14.4">
      <c r="B10" s="998" t="s">
        <v>1379</v>
      </c>
      <c r="C10" s="999" t="s">
        <v>1355</v>
      </c>
      <c r="D10" s="999" t="s">
        <v>1355</v>
      </c>
      <c r="E10" s="998">
        <v>4772</v>
      </c>
      <c r="F10" s="998" t="s">
        <v>1345</v>
      </c>
      <c r="H10" s="998" t="s">
        <v>1422</v>
      </c>
      <c r="I10" s="998" t="s">
        <v>1424</v>
      </c>
      <c r="J10" s="998" t="s">
        <v>259</v>
      </c>
      <c r="K10" s="1000">
        <v>8.50</v>
      </c>
      <c r="M10" s="999" t="s">
        <v>1396</v>
      </c>
      <c r="N10" s="999" t="s">
        <v>1355</v>
      </c>
      <c r="O10" s="626" t="str">
        <f t="shared" si="0"/>
        <v>Grocery</v>
      </c>
      <c r="P10" s="999" t="s">
        <v>1438</v>
      </c>
      <c r="Q10" s="1001">
        <v>0.99748333333333328</v>
      </c>
      <c r="R10" s="1001">
        <v>1.264</v>
      </c>
      <c r="S10" s="1001">
        <v>0.98694666666666675</v>
      </c>
      <c r="T10" s="1001">
        <v>1.2822666666666667</v>
      </c>
      <c r="U10" s="1002">
        <v>0.56000000000000005</v>
      </c>
      <c r="V10" s="1002">
        <v>0.55000000000000004</v>
      </c>
      <c r="W10" s="1001">
        <v>-0.012378333333333333</v>
      </c>
      <c r="X10" s="1001">
        <v>-0.013226666666666666</v>
      </c>
    </row>
    <row r="11" spans="2:24" ht="14.4">
      <c r="B11" s="998" t="s">
        <v>1380</v>
      </c>
      <c r="C11" s="999" t="s">
        <v>1356</v>
      </c>
      <c r="D11" s="999" t="s">
        <v>1405</v>
      </c>
      <c r="E11" s="998">
        <v>2323</v>
      </c>
      <c r="F11" s="998" t="s">
        <v>1345</v>
      </c>
      <c r="H11" s="998" t="s">
        <v>1425</v>
      </c>
      <c r="I11" s="998" t="s">
        <v>1424</v>
      </c>
      <c r="J11" s="998">
        <v>50000</v>
      </c>
      <c r="K11" s="1000">
        <v>15.50</v>
      </c>
      <c r="M11" s="999" t="s">
        <v>1397</v>
      </c>
      <c r="N11" s="999" t="s">
        <v>1356</v>
      </c>
      <c r="O11" s="626" t="str">
        <f t="shared" si="0"/>
        <v>Health</v>
      </c>
      <c r="P11" s="999" t="s">
        <v>1438</v>
      </c>
      <c r="Q11" s="1001">
        <v>1.1377666666666668</v>
      </c>
      <c r="R11" s="1001">
        <v>1.2468000000000001</v>
      </c>
      <c r="S11" s="1001">
        <v>1.1354666666666666</v>
      </c>
      <c r="T11" s="1001">
        <v>1.2360333333333333</v>
      </c>
      <c r="U11" s="1002">
        <v>0.56000000000000005</v>
      </c>
      <c r="V11" s="1002">
        <v>0.55000000000000004</v>
      </c>
      <c r="W11" s="1001">
        <v>-0.0054463000000000003</v>
      </c>
      <c r="X11" s="1001">
        <v>-0.0056463333333333331</v>
      </c>
    </row>
    <row r="12" spans="2:24" ht="14.4">
      <c r="B12" s="998" t="s">
        <v>1381</v>
      </c>
      <c r="C12" s="999" t="s">
        <v>1357</v>
      </c>
      <c r="D12" s="999" t="s">
        <v>1405</v>
      </c>
      <c r="E12" s="998">
        <v>2291</v>
      </c>
      <c r="F12" s="998" t="s">
        <v>1345</v>
      </c>
      <c r="H12" s="998" t="s">
        <v>1426</v>
      </c>
      <c r="I12" s="998" t="s">
        <v>1419</v>
      </c>
      <c r="J12" s="998">
        <v>60000</v>
      </c>
      <c r="K12" s="1000">
        <v>16</v>
      </c>
      <c r="M12" s="999" t="s">
        <v>1397</v>
      </c>
      <c r="N12" s="999" t="s">
        <v>1357</v>
      </c>
      <c r="O12" s="626" t="str">
        <f t="shared" si="0"/>
        <v>Health</v>
      </c>
      <c r="P12" s="999" t="s">
        <v>1438</v>
      </c>
      <c r="Q12" s="1001">
        <v>1.0668666666666666</v>
      </c>
      <c r="R12" s="1001">
        <v>1.2870999999999999</v>
      </c>
      <c r="S12" s="1001">
        <v>1.0734666666666666</v>
      </c>
      <c r="T12" s="1001">
        <v>1.2767333333333333</v>
      </c>
      <c r="U12" s="1002">
        <v>0.56000000000000005</v>
      </c>
      <c r="V12" s="1002">
        <v>0.55000000000000004</v>
      </c>
      <c r="W12" s="1001">
        <v>-0.011587</v>
      </c>
      <c r="X12" s="1001">
        <v>-0.010592299999999999</v>
      </c>
    </row>
    <row r="13" spans="2:24" ht="14.4">
      <c r="B13" s="998" t="s">
        <v>1382</v>
      </c>
      <c r="C13" s="999" t="s">
        <v>1358</v>
      </c>
      <c r="D13" s="999" t="s">
        <v>1406</v>
      </c>
      <c r="E13" s="998">
        <v>5100</v>
      </c>
      <c r="F13" s="998" t="s">
        <v>1345</v>
      </c>
      <c r="H13" s="24" t="s">
        <v>153</v>
      </c>
      <c r="M13" s="999" t="s">
        <v>1398</v>
      </c>
      <c r="N13" s="999" t="s">
        <v>1358</v>
      </c>
      <c r="O13" s="626" t="str">
        <f t="shared" si="0"/>
        <v>Lodging</v>
      </c>
      <c r="P13" s="999" t="s">
        <v>1438</v>
      </c>
      <c r="Q13" s="1001">
        <v>1.0581566666666669</v>
      </c>
      <c r="R13" s="1001">
        <v>1.2554666666666667</v>
      </c>
      <c r="S13" s="1001">
        <v>1.0736333333333332</v>
      </c>
      <c r="T13" s="1001">
        <v>1.2536666666666667</v>
      </c>
      <c r="U13" s="1002">
        <v>0.56000000000000005</v>
      </c>
      <c r="V13" s="1002">
        <v>0.55000000000000004</v>
      </c>
      <c r="W13" s="1001">
        <v>-0.0028146333333333336</v>
      </c>
      <c r="X13" s="1001">
        <v>-0.002362366666666667</v>
      </c>
    </row>
    <row r="14" spans="2:24" ht="14.4">
      <c r="B14" s="998" t="s">
        <v>1383</v>
      </c>
      <c r="C14" s="999" t="s">
        <v>1359</v>
      </c>
      <c r="D14" s="999" t="s">
        <v>1406</v>
      </c>
      <c r="E14" s="998">
        <v>4041</v>
      </c>
      <c r="F14" s="998" t="s">
        <v>1345</v>
      </c>
      <c r="M14" s="999" t="s">
        <v>1398</v>
      </c>
      <c r="N14" s="999" t="s">
        <v>1359</v>
      </c>
      <c r="O14" s="626" t="str">
        <f t="shared" si="0"/>
        <v>Lodging</v>
      </c>
      <c r="P14" s="999" t="s">
        <v>1438</v>
      </c>
      <c r="Q14" s="1001">
        <v>1.1079000000000001</v>
      </c>
      <c r="R14" s="1001">
        <v>1.2580666666666664</v>
      </c>
      <c r="S14" s="1001">
        <v>1.1189333333333333</v>
      </c>
      <c r="T14" s="1001">
        <v>1.2536000000000001</v>
      </c>
      <c r="U14" s="1002">
        <v>0.56000000000000005</v>
      </c>
      <c r="V14" s="1002">
        <v>0.55000000000000004</v>
      </c>
      <c r="W14" s="1001">
        <v>-0.0038282999999999998</v>
      </c>
      <c r="X14" s="1001">
        <v>-0.0032331333333333336</v>
      </c>
    </row>
    <row r="15" spans="2:24" ht="14.4">
      <c r="B15" s="998" t="s">
        <v>1360</v>
      </c>
      <c r="C15" s="999" t="s">
        <v>1361</v>
      </c>
      <c r="D15" s="999" t="s">
        <v>1111</v>
      </c>
      <c r="E15" s="998">
        <v>1233</v>
      </c>
      <c r="F15" s="998" t="s">
        <v>1345</v>
      </c>
      <c r="M15" s="999" t="s">
        <v>1394</v>
      </c>
      <c r="N15" s="999" t="s">
        <v>1361</v>
      </c>
      <c r="O15" s="626" t="str">
        <f t="shared" si="0"/>
        <v>Other</v>
      </c>
      <c r="P15" s="999" t="s">
        <v>1438</v>
      </c>
      <c r="Q15" s="1001">
        <v>1.1133724358974357</v>
      </c>
      <c r="R15" s="1001">
        <v>1.2344923076923076</v>
      </c>
      <c r="S15" s="1001">
        <v>1.1109724358974362</v>
      </c>
      <c r="T15" s="1001">
        <v>1.235770512820513</v>
      </c>
      <c r="U15" s="1002">
        <v>0.56000000000000005</v>
      </c>
      <c r="V15" s="1002">
        <v>0.55000000000000004</v>
      </c>
      <c r="W15" s="1001">
        <v>-0.0049929047094999981</v>
      </c>
      <c r="X15" s="1001">
        <v>-0.0048458326923076916</v>
      </c>
    </row>
    <row r="16" spans="2:24" ht="14.4">
      <c r="B16" s="998" t="s">
        <v>1360</v>
      </c>
      <c r="C16" s="999" t="s">
        <v>1362</v>
      </c>
      <c r="D16" s="999" t="s">
        <v>1111</v>
      </c>
      <c r="E16" s="998">
        <v>1035</v>
      </c>
      <c r="F16" s="998" t="s">
        <v>1345</v>
      </c>
      <c r="M16" s="999" t="s">
        <v>1394</v>
      </c>
      <c r="N16" s="999" t="s">
        <v>1362</v>
      </c>
      <c r="O16" s="626" t="str">
        <f t="shared" si="0"/>
        <v>Other</v>
      </c>
      <c r="P16" s="999" t="s">
        <v>1438</v>
      </c>
      <c r="Q16" s="1001">
        <v>1.1133724358974357</v>
      </c>
      <c r="R16" s="1001">
        <v>1.2344923076923076</v>
      </c>
      <c r="S16" s="1001">
        <v>1.1109724358974362</v>
      </c>
      <c r="T16" s="1001">
        <v>1.235770512820513</v>
      </c>
      <c r="U16" s="1002">
        <v>0.56000000000000005</v>
      </c>
      <c r="V16" s="1002">
        <v>0.55000000000000004</v>
      </c>
      <c r="W16" s="1001">
        <v>-0.0049929047094999981</v>
      </c>
      <c r="X16" s="1001">
        <v>-0.0048458326923076916</v>
      </c>
    </row>
    <row r="17" spans="2:24" ht="14.4">
      <c r="B17" s="998" t="s">
        <v>1384</v>
      </c>
      <c r="C17" s="999" t="s">
        <v>1363</v>
      </c>
      <c r="D17" s="999" t="s">
        <v>1336</v>
      </c>
      <c r="E17" s="998">
        <v>2198</v>
      </c>
      <c r="F17" s="998" t="s">
        <v>1345</v>
      </c>
      <c r="M17" s="999" t="s">
        <v>1399</v>
      </c>
      <c r="N17" s="999" t="s">
        <v>1363</v>
      </c>
      <c r="O17" s="626" t="str">
        <f t="shared" si="0"/>
        <v>Office</v>
      </c>
      <c r="P17" s="999" t="s">
        <v>1438</v>
      </c>
      <c r="Q17" s="1001">
        <v>1.1489666666666667</v>
      </c>
      <c r="R17" s="1001">
        <v>1.2973666666666668</v>
      </c>
      <c r="S17" s="1001">
        <v>1.1351333333333333</v>
      </c>
      <c r="T17" s="1001">
        <v>1.3084</v>
      </c>
      <c r="U17" s="1002">
        <v>0.56000000000000005</v>
      </c>
      <c r="V17" s="1002">
        <v>0.55000000000000004</v>
      </c>
      <c r="W17" s="1001">
        <v>-0.004349166666666667</v>
      </c>
      <c r="X17" s="1001">
        <v>-0.0043428666666666662</v>
      </c>
    </row>
    <row r="18" spans="2:24" ht="14.4">
      <c r="B18" s="998" t="s">
        <v>1385</v>
      </c>
      <c r="C18" s="999" t="s">
        <v>1364</v>
      </c>
      <c r="D18" s="999" t="s">
        <v>1336</v>
      </c>
      <c r="E18" s="998">
        <v>1763</v>
      </c>
      <c r="F18" s="998" t="s">
        <v>1345</v>
      </c>
      <c r="M18" s="999" t="s">
        <v>1399</v>
      </c>
      <c r="N18" s="999" t="s">
        <v>1364</v>
      </c>
      <c r="O18" s="626" t="str">
        <f t="shared" si="0"/>
        <v>Office</v>
      </c>
      <c r="P18" s="999" t="s">
        <v>1438</v>
      </c>
      <c r="Q18" s="1001">
        <v>1.1235333333333333</v>
      </c>
      <c r="R18" s="1001">
        <v>1.2448666666666666</v>
      </c>
      <c r="S18" s="1001">
        <v>1.1134999999999999</v>
      </c>
      <c r="T18" s="1001">
        <v>1.2508666666666668</v>
      </c>
      <c r="U18" s="1002">
        <v>0.56000000000000005</v>
      </c>
      <c r="V18" s="1002">
        <v>0.55000000000000004</v>
      </c>
      <c r="W18" s="1001">
        <v>-0.0019875966666666666</v>
      </c>
      <c r="X18" s="1001">
        <v>-0.0019389599999999998</v>
      </c>
    </row>
    <row r="19" spans="2:24" ht="14.4">
      <c r="B19" s="998" t="s">
        <v>1386</v>
      </c>
      <c r="C19" s="999" t="s">
        <v>1365</v>
      </c>
      <c r="D19" s="999" t="s">
        <v>1407</v>
      </c>
      <c r="E19" s="998">
        <v>3877</v>
      </c>
      <c r="F19" s="998" t="s">
        <v>1345</v>
      </c>
      <c r="M19" s="999" t="s">
        <v>1400</v>
      </c>
      <c r="N19" s="999" t="s">
        <v>1365</v>
      </c>
      <c r="O19" s="626" t="str">
        <f t="shared" si="0"/>
        <v>Restaurant</v>
      </c>
      <c r="P19" s="999" t="s">
        <v>1438</v>
      </c>
      <c r="Q19" s="1001">
        <v>1.0822000000000001</v>
      </c>
      <c r="R19" s="1001">
        <v>1.2067666666666668</v>
      </c>
      <c r="S19" s="1001">
        <v>1.0941000000000001</v>
      </c>
      <c r="T19" s="1001">
        <v>1.2040666666666666</v>
      </c>
      <c r="U19" s="1002">
        <v>0.56000000000000005</v>
      </c>
      <c r="V19" s="1002">
        <v>0.55000000000000004</v>
      </c>
      <c r="W19" s="1001">
        <v>-0.0070979666666666661</v>
      </c>
      <c r="X19" s="1001">
        <v>-0.0053727666666666665</v>
      </c>
    </row>
    <row r="20" spans="2:24" ht="14.4">
      <c r="B20" s="998" t="s">
        <v>1387</v>
      </c>
      <c r="C20" s="999" t="s">
        <v>1366</v>
      </c>
      <c r="D20" s="999" t="s">
        <v>1407</v>
      </c>
      <c r="E20" s="998">
        <v>3123</v>
      </c>
      <c r="F20" s="998" t="s">
        <v>1345</v>
      </c>
      <c r="M20" s="999" t="s">
        <v>1400</v>
      </c>
      <c r="N20" s="999" t="s">
        <v>1366</v>
      </c>
      <c r="O20" s="626" t="str">
        <f t="shared" si="0"/>
        <v>Restaurant</v>
      </c>
      <c r="P20" s="999" t="s">
        <v>1438</v>
      </c>
      <c r="Q20" s="1001">
        <v>1.0843</v>
      </c>
      <c r="R20" s="1001">
        <v>1.2089000000000001</v>
      </c>
      <c r="S20" s="1001">
        <v>1.0810000000000002</v>
      </c>
      <c r="T20" s="1001">
        <v>1.1959</v>
      </c>
      <c r="U20" s="1002">
        <v>0.56000000000000005</v>
      </c>
      <c r="V20" s="1002">
        <v>0.55000000000000004</v>
      </c>
      <c r="W20" s="1001">
        <v>-0.0062831666666666669</v>
      </c>
      <c r="X20" s="1001">
        <v>-0.0057752666666666666</v>
      </c>
    </row>
    <row r="21" spans="2:24" ht="14.4">
      <c r="B21" s="998" t="s">
        <v>1388</v>
      </c>
      <c r="C21" s="999" t="s">
        <v>1367</v>
      </c>
      <c r="D21" s="999" t="s">
        <v>1408</v>
      </c>
      <c r="E21" s="998">
        <v>5268</v>
      </c>
      <c r="F21" s="998" t="s">
        <v>1345</v>
      </c>
      <c r="M21" s="999" t="s">
        <v>836</v>
      </c>
      <c r="N21" s="999" t="s">
        <v>1367</v>
      </c>
      <c r="O21" s="626" t="str">
        <f t="shared" si="0"/>
        <v>Retail</v>
      </c>
      <c r="P21" s="999" t="s">
        <v>1438</v>
      </c>
      <c r="Q21" s="1001">
        <v>1.1225000000000001</v>
      </c>
      <c r="R21" s="1001">
        <v>1.2087000000000001</v>
      </c>
      <c r="S21" s="1001">
        <v>1.1122000000000003</v>
      </c>
      <c r="T21" s="1001">
        <v>1.2395666666666667</v>
      </c>
      <c r="U21" s="1002">
        <v>0.56000000000000005</v>
      </c>
      <c r="V21" s="1002">
        <v>0.55000000000000004</v>
      </c>
      <c r="W21" s="1001">
        <v>-0.0025967333333333331</v>
      </c>
      <c r="X21" s="1001">
        <v>-0.0033257666666666667</v>
      </c>
    </row>
    <row r="22" spans="2:24" ht="14.4">
      <c r="B22" s="998" t="s">
        <v>1389</v>
      </c>
      <c r="C22" s="999" t="s">
        <v>1368</v>
      </c>
      <c r="D22" s="999" t="s">
        <v>1408</v>
      </c>
      <c r="E22" s="998">
        <v>3060</v>
      </c>
      <c r="F22" s="998" t="s">
        <v>1345</v>
      </c>
      <c r="M22" s="999" t="s">
        <v>836</v>
      </c>
      <c r="N22" s="999" t="s">
        <v>1368</v>
      </c>
      <c r="O22" s="626" t="str">
        <f t="shared" si="0"/>
        <v>Retail</v>
      </c>
      <c r="P22" s="999" t="s">
        <v>1438</v>
      </c>
      <c r="Q22" s="1001">
        <v>1.1120333333333334</v>
      </c>
      <c r="R22" s="1001">
        <v>1.2222999999999999</v>
      </c>
      <c r="S22" s="1001">
        <v>1.1054999999999999</v>
      </c>
      <c r="T22" s="1001">
        <v>1.2550333333333332</v>
      </c>
      <c r="U22" s="1002">
        <v>0.56000000000000005</v>
      </c>
      <c r="V22" s="1002">
        <v>0.55000000000000004</v>
      </c>
      <c r="W22" s="1001">
        <v>-0.0036681666666666668</v>
      </c>
      <c r="X22" s="1001">
        <v>-0.0036784666666666663</v>
      </c>
    </row>
    <row r="23" spans="2:24" ht="14.4">
      <c r="B23" s="998" t="s">
        <v>1390</v>
      </c>
      <c r="C23" s="999" t="s">
        <v>1369</v>
      </c>
      <c r="D23" s="999" t="s">
        <v>1408</v>
      </c>
      <c r="E23" s="998">
        <v>2740</v>
      </c>
      <c r="F23" s="998" t="s">
        <v>1345</v>
      </c>
      <c r="M23" s="999" t="s">
        <v>836</v>
      </c>
      <c r="N23" s="999" t="s">
        <v>1369</v>
      </c>
      <c r="O23" s="626" t="str">
        <f t="shared" si="0"/>
        <v>Retail</v>
      </c>
      <c r="P23" s="999" t="s">
        <v>1438</v>
      </c>
      <c r="Q23" s="1001">
        <v>1.1057666666666666</v>
      </c>
      <c r="R23" s="1001">
        <v>1.2065333333333332</v>
      </c>
      <c r="S23" s="1001">
        <v>1.0902000000000001</v>
      </c>
      <c r="T23" s="1001">
        <v>1.2349666666666668</v>
      </c>
      <c r="U23" s="1002">
        <v>0.56000000000000005</v>
      </c>
      <c r="V23" s="1002">
        <v>0.55000000000000004</v>
      </c>
      <c r="W23" s="1001">
        <v>-0.0029910000000000002</v>
      </c>
      <c r="X23" s="1001">
        <v>-0.0032741000000000003</v>
      </c>
    </row>
    <row r="24" spans="2:24" ht="14.4">
      <c r="B24" s="998" t="s">
        <v>1391</v>
      </c>
      <c r="C24" s="999" t="s">
        <v>1370</v>
      </c>
      <c r="D24" s="999" t="s">
        <v>1337</v>
      </c>
      <c r="E24" s="998">
        <v>2048</v>
      </c>
      <c r="F24" s="998" t="s">
        <v>1345</v>
      </c>
      <c r="M24" s="999" t="s">
        <v>1401</v>
      </c>
      <c r="N24" s="999" t="s">
        <v>1370</v>
      </c>
      <c r="O24" s="626" t="str">
        <f t="shared" si="0"/>
        <v>Warehouse</v>
      </c>
      <c r="P24" s="999" t="s">
        <v>1438</v>
      </c>
      <c r="Q24" s="1001">
        <v>1.0066766666666667</v>
      </c>
      <c r="R24" s="1001">
        <v>1.2968</v>
      </c>
      <c r="S24" s="1001">
        <v>1.0099366666666667</v>
      </c>
      <c r="T24" s="1001">
        <v>1.2834666666666668</v>
      </c>
      <c r="U24" s="1002">
        <v>0.56000000000000005</v>
      </c>
      <c r="V24" s="1002">
        <v>0.55000000000000004</v>
      </c>
      <c r="W24" s="1001">
        <v>-0.0064634000000000002</v>
      </c>
      <c r="X24" s="1001">
        <v>-0.0062141999999999996</v>
      </c>
    </row>
    <row r="25" spans="2:24" ht="14.4">
      <c r="B25" s="998" t="s">
        <v>1392</v>
      </c>
      <c r="C25" s="999" t="s">
        <v>1371</v>
      </c>
      <c r="D25" s="999" t="s">
        <v>1337</v>
      </c>
      <c r="E25" s="998">
        <v>1891</v>
      </c>
      <c r="F25" s="998" t="s">
        <v>1345</v>
      </c>
      <c r="M25" s="999" t="s">
        <v>1401</v>
      </c>
      <c r="N25" s="999" t="s">
        <v>1371</v>
      </c>
      <c r="O25" s="626" t="str">
        <f t="shared" si="0"/>
        <v>Warehouse</v>
      </c>
      <c r="P25" s="999" t="s">
        <v>1438</v>
      </c>
      <c r="Q25" s="1001">
        <v>1</v>
      </c>
      <c r="R25" s="1001">
        <v>1</v>
      </c>
      <c r="S25" s="1001">
        <v>1</v>
      </c>
      <c r="T25" s="1001">
        <v>1</v>
      </c>
      <c r="U25" s="1002">
        <v>0.56000000000000005</v>
      </c>
      <c r="V25" s="1002">
        <v>0.55000000000000004</v>
      </c>
      <c r="W25" s="1001">
        <v>0</v>
      </c>
      <c r="X25" s="1001">
        <v>0</v>
      </c>
    </row>
    <row r="26" spans="2:24" ht="14.4">
      <c r="B26" s="998" t="s">
        <v>1393</v>
      </c>
      <c r="C26" s="999" t="s">
        <v>1372</v>
      </c>
      <c r="D26" s="999" t="s">
        <v>1372</v>
      </c>
      <c r="E26" s="998">
        <v>4700</v>
      </c>
      <c r="F26" s="998" t="s">
        <v>1345</v>
      </c>
      <c r="M26" s="999" t="s">
        <v>1402</v>
      </c>
      <c r="N26" s="999" t="s">
        <v>1372</v>
      </c>
      <c r="O26" s="626" t="str">
        <f t="shared" si="0"/>
        <v>Refrigerated Warehouse</v>
      </c>
      <c r="P26" s="999" t="s">
        <v>1438</v>
      </c>
      <c r="Q26" s="1001">
        <v>1.5931666666666668</v>
      </c>
      <c r="R26" s="1001">
        <v>1.2744</v>
      </c>
      <c r="S26" s="1001">
        <v>1.5928333333333331</v>
      </c>
      <c r="T26" s="1001">
        <v>1.2708333333333333</v>
      </c>
      <c r="U26" s="1002">
        <v>0.56000000000000005</v>
      </c>
      <c r="V26" s="1002">
        <v>0.55000000000000004</v>
      </c>
      <c r="W26" s="1001">
        <v>-4.5780333333333326E-08</v>
      </c>
      <c r="X26" s="1001">
        <v>0</v>
      </c>
    </row>
    <row r="27" spans="2:6" ht="14.4">
      <c r="B27" s="998"/>
      <c r="C27" s="999"/>
      <c r="D27" s="999" t="s">
        <v>160</v>
      </c>
      <c r="E27" s="998">
        <v>4100</v>
      </c>
      <c r="F27" s="998" t="s">
        <v>1411</v>
      </c>
    </row>
    <row r="28" spans="2:6" ht="14.4">
      <c r="B28" s="998"/>
      <c r="C28" s="999"/>
      <c r="D28" s="999" t="s">
        <v>1409</v>
      </c>
      <c r="E28" s="998">
        <v>8760</v>
      </c>
      <c r="F28" s="998" t="s">
        <v>1411</v>
      </c>
    </row>
    <row r="29" spans="2:6" ht="14.4">
      <c r="B29" s="998"/>
      <c r="C29" s="999"/>
      <c r="D29" s="999" t="s">
        <v>1410</v>
      </c>
      <c r="E29" s="998">
        <v>3102</v>
      </c>
      <c r="F29" s="998" t="s">
        <v>1411</v>
      </c>
    </row>
  </sheetData>
  <mergeCells count="4">
    <mergeCell ref="Q2:R2"/>
    <mergeCell ref="S2:T2"/>
    <mergeCell ref="U2:V2"/>
    <mergeCell ref="W2:X2"/>
  </mergeCells>
  <pageMargins left="0.7" right="0.7" top="0.75" bottom="0.75" header="0.3" footer="0.3"/>
  <pageSetup orientation="portrait"/>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6" tint="0.39998"/>
  </sheetPr>
  <dimension ref="A1:G51"/>
  <sheetViews>
    <sheetView zoomScale="70" zoomScaleNormal="70" workbookViewId="0" topLeftCell="A1"/>
  </sheetViews>
  <sheetFormatPr defaultColWidth="8.77734375" defaultRowHeight="14.4"/>
  <cols>
    <col min="1" max="1" width="6" style="949" customWidth="1"/>
    <col min="2" max="2" width="38.5555555555556" style="949" customWidth="1"/>
    <col min="3" max="3" width="20" style="949" bestFit="1" customWidth="1"/>
    <col min="4" max="4" width="46" style="949" bestFit="1" customWidth="1"/>
    <col min="5" max="5" width="63" style="949" bestFit="1" customWidth="1"/>
    <col min="6" max="6" width="10.5555555555556" style="949" bestFit="1" customWidth="1"/>
    <col min="7" max="7" width="83.4444444444444" style="949" bestFit="1" customWidth="1"/>
    <col min="8" max="16384" width="8.77777777777778" style="949"/>
  </cols>
  <sheetData>
    <row r="1" spans="1:3" ht="14.4">
      <c r="A1" s="948" t="s">
        <v>197</v>
      </c>
      <c r="C1" s="581" t="s">
        <v>1632</v>
      </c>
    </row>
    <row r="2" spans="1:5" ht="14.4">
      <c r="A2" s="950"/>
      <c r="D2" s="951"/>
      <c r="E2" s="951"/>
    </row>
    <row r="3" spans="2:7" ht="14.4">
      <c r="B3" s="952" t="s">
        <v>196</v>
      </c>
      <c r="C3" s="952" t="s">
        <v>195</v>
      </c>
      <c r="D3" s="952" t="s">
        <v>194</v>
      </c>
      <c r="E3" s="952" t="s">
        <v>143</v>
      </c>
      <c r="F3" s="952" t="s">
        <v>193</v>
      </c>
      <c r="G3" s="952" t="s">
        <v>192</v>
      </c>
    </row>
    <row r="4" spans="2:7" ht="14.4">
      <c r="B4" s="953" t="s">
        <v>191</v>
      </c>
      <c r="C4" s="953" t="s">
        <v>185</v>
      </c>
      <c r="D4" s="954">
        <v>46</v>
      </c>
      <c r="E4" s="955" t="s">
        <v>190</v>
      </c>
      <c r="F4" s="955">
        <v>4.13</v>
      </c>
      <c r="G4" s="955" t="s">
        <v>189</v>
      </c>
    </row>
    <row r="5" spans="2:7" ht="14.4">
      <c r="B5" s="953" t="s">
        <v>188</v>
      </c>
      <c r="C5" s="953" t="s">
        <v>183</v>
      </c>
      <c r="D5" s="954">
        <f>$D$37</f>
        <v>792.60</v>
      </c>
      <c r="E5" s="955" t="s">
        <v>168</v>
      </c>
      <c r="F5" s="956">
        <v>199</v>
      </c>
      <c r="G5" s="956" t="s">
        <v>1662</v>
      </c>
    </row>
    <row r="6" spans="2:7" ht="14.4">
      <c r="B6" s="953" t="s">
        <v>187</v>
      </c>
      <c r="C6" s="953" t="s">
        <v>171</v>
      </c>
      <c r="D6" s="954">
        <f>D5*D4*(10^-3)</f>
        <v>36.459600000000002</v>
      </c>
      <c r="E6" s="955" t="s">
        <v>141</v>
      </c>
      <c r="F6" s="955"/>
      <c r="G6" s="955"/>
    </row>
    <row r="7" spans="2:7" ht="14.4">
      <c r="B7" s="953" t="s">
        <v>186</v>
      </c>
      <c r="C7" s="953" t="s">
        <v>185</v>
      </c>
      <c r="D7" s="954">
        <v>10</v>
      </c>
      <c r="E7" s="955" t="s">
        <v>164</v>
      </c>
      <c r="F7" s="955"/>
      <c r="G7" s="955"/>
    </row>
    <row r="8" spans="2:7" ht="14.4">
      <c r="B8" s="953" t="s">
        <v>184</v>
      </c>
      <c r="C8" s="953" t="s">
        <v>183</v>
      </c>
      <c r="D8" s="954">
        <f>$D$37</f>
        <v>792.60</v>
      </c>
      <c r="E8" s="955" t="s">
        <v>168</v>
      </c>
      <c r="F8" s="956">
        <v>199</v>
      </c>
      <c r="G8" s="956" t="s">
        <v>1662</v>
      </c>
    </row>
    <row r="9" spans="2:7" ht="14.4">
      <c r="B9" s="953" t="s">
        <v>182</v>
      </c>
      <c r="C9" s="953" t="s">
        <v>171</v>
      </c>
      <c r="D9" s="954">
        <f>D8*D7*(10^-3)</f>
        <v>7.9260000000000002</v>
      </c>
      <c r="E9" s="955" t="s">
        <v>141</v>
      </c>
      <c r="F9" s="955"/>
      <c r="G9" s="955"/>
    </row>
    <row r="10" spans="2:7" ht="14.4">
      <c r="B10" s="953" t="s">
        <v>181</v>
      </c>
      <c r="C10" s="953" t="s">
        <v>171</v>
      </c>
      <c r="D10" s="954">
        <f>D6-D9</f>
        <v>28.5336</v>
      </c>
      <c r="E10" s="955" t="s">
        <v>141</v>
      </c>
      <c r="F10" s="955"/>
      <c r="G10" s="955"/>
    </row>
    <row r="11" spans="2:7" ht="14.4">
      <c r="B11" s="957" t="s">
        <v>180</v>
      </c>
      <c r="C11" s="957" t="s">
        <v>169</v>
      </c>
      <c r="D11" s="958">
        <f>$D$19</f>
        <v>0.98</v>
      </c>
      <c r="E11" s="955" t="s">
        <v>168</v>
      </c>
      <c r="F11" s="955">
        <v>137</v>
      </c>
      <c r="G11" s="953" t="s">
        <v>179</v>
      </c>
    </row>
    <row r="12" spans="2:7" ht="14.4">
      <c r="B12" s="953" t="s">
        <v>178</v>
      </c>
      <c r="C12" s="953" t="s">
        <v>171</v>
      </c>
      <c r="D12" s="954" t="s">
        <v>177</v>
      </c>
      <c r="E12" s="955" t="s">
        <v>176</v>
      </c>
      <c r="F12" s="955"/>
      <c r="G12" s="955"/>
    </row>
    <row r="13" spans="2:7" ht="14.4">
      <c r="B13" s="953" t="s">
        <v>175</v>
      </c>
      <c r="C13" s="953" t="s">
        <v>174</v>
      </c>
      <c r="D13" s="954">
        <f>$B$23</f>
        <v>20</v>
      </c>
      <c r="E13" s="955" t="s">
        <v>173</v>
      </c>
      <c r="F13" s="953"/>
      <c r="G13" s="956" t="s">
        <v>1663</v>
      </c>
    </row>
    <row r="14" spans="2:7" ht="14.4">
      <c r="B14" s="953" t="s">
        <v>172</v>
      </c>
      <c r="C14" s="953" t="s">
        <v>171</v>
      </c>
      <c r="D14" s="959">
        <f>D10*D11</f>
        <v>27.962927999999998</v>
      </c>
      <c r="E14" s="955" t="s">
        <v>141</v>
      </c>
      <c r="F14" s="955"/>
      <c r="G14" s="955"/>
    </row>
    <row r="15" spans="2:7" ht="14.4">
      <c r="B15" s="957" t="s">
        <v>170</v>
      </c>
      <c r="C15" s="957" t="s">
        <v>169</v>
      </c>
      <c r="D15" s="960">
        <f>(C42*C33)+(C43*C34)</f>
        <v>0.092023346303501952</v>
      </c>
      <c r="E15" s="955" t="s">
        <v>168</v>
      </c>
      <c r="F15" s="955">
        <v>202</v>
      </c>
      <c r="G15" s="573" t="s">
        <v>1664</v>
      </c>
    </row>
    <row r="16" spans="2:7" ht="14.4">
      <c r="B16" s="953" t="s">
        <v>166</v>
      </c>
      <c r="C16" s="953" t="s">
        <v>165</v>
      </c>
      <c r="D16" s="959">
        <f>((D4-D7)/1000)*D15*D11</f>
        <v>0.0032465836575875486</v>
      </c>
      <c r="E16" s="955" t="s">
        <v>141</v>
      </c>
      <c r="F16" s="955"/>
      <c r="G16" s="955"/>
    </row>
    <row r="17" ht="14.4"/>
    <row r="18" spans="2:4" ht="14.4">
      <c r="B18" s="952" t="s">
        <v>164</v>
      </c>
      <c r="C18" s="952" t="s">
        <v>163</v>
      </c>
      <c r="D18" s="952" t="s">
        <v>1648</v>
      </c>
    </row>
    <row r="19" spans="2:4" ht="14.4">
      <c r="B19" s="956" t="s">
        <v>1649</v>
      </c>
      <c r="C19" s="961">
        <v>0.98</v>
      </c>
      <c r="D19" s="961">
        <v>0.98</v>
      </c>
    </row>
    <row r="20" ht="14.4">
      <c r="B20" s="948" t="s">
        <v>1650</v>
      </c>
    </row>
    <row r="21" ht="14.4"/>
    <row r="22" ht="14.4">
      <c r="B22" s="962" t="s">
        <v>1651</v>
      </c>
    </row>
    <row r="23" ht="14.4">
      <c r="B23" s="963">
        <v>20</v>
      </c>
    </row>
    <row r="24" ht="14.4">
      <c r="B24" s="948" t="s">
        <v>1652</v>
      </c>
    </row>
    <row r="25" ht="14.4"/>
    <row r="26" ht="14.4">
      <c r="B26" s="948" t="s">
        <v>162</v>
      </c>
    </row>
    <row r="27" spans="2:3" ht="14.4">
      <c r="B27" s="952" t="s">
        <v>157</v>
      </c>
      <c r="C27" s="955" t="s">
        <v>161</v>
      </c>
    </row>
    <row r="28" spans="2:3" ht="14.4">
      <c r="B28" s="955" t="s">
        <v>160</v>
      </c>
      <c r="C28" s="955">
        <v>4.0999999999999996</v>
      </c>
    </row>
    <row r="29" spans="2:3" ht="14.4">
      <c r="B29" s="955" t="s">
        <v>159</v>
      </c>
      <c r="C29" s="955">
        <v>51.40</v>
      </c>
    </row>
    <row r="30" ht="14.4">
      <c r="B30" s="948" t="s">
        <v>158</v>
      </c>
    </row>
    <row r="31" ht="14.4"/>
    <row r="32" ht="14.4">
      <c r="B32" s="948" t="s">
        <v>157</v>
      </c>
    </row>
    <row r="33" spans="2:3" ht="14.4">
      <c r="B33" s="955" t="s">
        <v>156</v>
      </c>
      <c r="C33" s="961">
        <f>1-C34</f>
        <v>0.92023346303501952</v>
      </c>
    </row>
    <row r="34" spans="2:3" ht="14.4">
      <c r="B34" s="955" t="s">
        <v>155</v>
      </c>
      <c r="C34" s="961">
        <f>C28/C29</f>
        <v>0.079766536964980539</v>
      </c>
    </row>
    <row r="35" ht="14.4"/>
    <row r="36" spans="2:4" ht="14.4">
      <c r="B36" s="952" t="s">
        <v>154</v>
      </c>
      <c r="C36" s="952" t="s">
        <v>1653</v>
      </c>
      <c r="D36" s="952" t="s">
        <v>1654</v>
      </c>
    </row>
    <row r="37" spans="2:4" ht="14.4">
      <c r="B37" s="956" t="s">
        <v>1655</v>
      </c>
      <c r="C37" s="964">
        <v>803.61419999999998</v>
      </c>
      <c r="D37" s="965">
        <v>792.60</v>
      </c>
    </row>
    <row r="38" ht="14.4">
      <c r="B38" s="948" t="s">
        <v>1656</v>
      </c>
    </row>
    <row r="39" ht="14.4"/>
    <row r="40" ht="14.4">
      <c r="B40" s="948" t="s">
        <v>1657</v>
      </c>
    </row>
    <row r="41" spans="2:3" ht="14.4">
      <c r="B41" s="952" t="s">
        <v>152</v>
      </c>
      <c r="C41" s="952" t="s">
        <v>151</v>
      </c>
    </row>
    <row r="42" spans="2:3" ht="14.4">
      <c r="B42" s="955" t="s">
        <v>150</v>
      </c>
      <c r="C42" s="966">
        <v>0.10</v>
      </c>
    </row>
    <row r="43" spans="2:3" ht="14.4">
      <c r="B43" s="955" t="s">
        <v>149</v>
      </c>
      <c r="C43" s="966">
        <v>0</v>
      </c>
    </row>
    <row r="44" ht="14.4">
      <c r="B44" s="967" t="s">
        <v>1658</v>
      </c>
    </row>
    <row r="45" ht="14.4"/>
    <row r="46" spans="2:5" ht="14.4">
      <c r="B46" s="968" t="s">
        <v>148</v>
      </c>
      <c r="C46" s="968" t="s">
        <v>144</v>
      </c>
      <c r="D46" s="968" t="s">
        <v>143</v>
      </c>
      <c r="E46" s="969"/>
    </row>
    <row r="47" spans="2:5" ht="43.2">
      <c r="B47" s="970">
        <v>4.50</v>
      </c>
      <c r="C47" s="971" t="s">
        <v>142</v>
      </c>
      <c r="D47" s="971" t="s">
        <v>147</v>
      </c>
      <c r="E47" s="972"/>
    </row>
    <row r="48" spans="2:5" ht="28.8">
      <c r="B48" s="970">
        <v>1.27</v>
      </c>
      <c r="C48" s="973" t="s">
        <v>142</v>
      </c>
      <c r="D48" s="974" t="s">
        <v>146</v>
      </c>
      <c r="E48" s="975"/>
    </row>
    <row r="49" spans="2:5" ht="14.4">
      <c r="B49" s="975"/>
      <c r="C49" s="976"/>
      <c r="D49" s="975"/>
      <c r="E49" s="969"/>
    </row>
    <row r="50" spans="2:4" ht="14.4">
      <c r="B50" s="968" t="s">
        <v>145</v>
      </c>
      <c r="C50" s="968" t="s">
        <v>144</v>
      </c>
      <c r="D50" s="968" t="s">
        <v>143</v>
      </c>
    </row>
    <row r="51" spans="2:4" ht="14.4">
      <c r="B51" s="970">
        <f>B47-B48</f>
        <v>3.23</v>
      </c>
      <c r="C51" s="971" t="s">
        <v>142</v>
      </c>
      <c r="D51" s="971" t="s">
        <v>141</v>
      </c>
    </row>
  </sheetData>
  <pageMargins left="0.7" right="0.7" top="0.75" bottom="0.75" header="0.3" footer="0.3"/>
  <pageSetup orientation="portrait" r:id="rId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6" tint="0.39998"/>
  </sheetPr>
  <dimension ref="A1:G53"/>
  <sheetViews>
    <sheetView zoomScale="70" zoomScaleNormal="70" workbookViewId="0" topLeftCell="A1">
      <selection pane="topLeft" activeCell="A1" sqref="A1"/>
    </sheetView>
  </sheetViews>
  <sheetFormatPr defaultColWidth="8.77734375" defaultRowHeight="14.4"/>
  <cols>
    <col min="1" max="1" width="6" style="978" customWidth="1"/>
    <col min="2" max="2" width="50.7777777777778" style="978" customWidth="1"/>
    <col min="3" max="3" width="60.7777777777778" style="978" customWidth="1"/>
    <col min="4" max="4" width="56.7777777777778" style="978" bestFit="1" customWidth="1"/>
    <col min="5" max="5" width="63" style="978" bestFit="1" customWidth="1"/>
    <col min="6" max="6" width="10.5555555555556" style="978" bestFit="1" customWidth="1"/>
    <col min="7" max="7" width="83.4444444444444" style="978" bestFit="1" customWidth="1"/>
    <col min="8" max="16384" width="8.77777777777778" style="978"/>
  </cols>
  <sheetData>
    <row r="1" spans="1:3" ht="14.4">
      <c r="A1" s="977" t="s">
        <v>702</v>
      </c>
      <c r="C1" s="979" t="s">
        <v>1632</v>
      </c>
    </row>
    <row r="2" spans="1:3" ht="14.4">
      <c r="A2" s="977"/>
      <c r="C2" s="979"/>
    </row>
    <row r="3" spans="2:7" ht="14.4">
      <c r="B3" s="980" t="s">
        <v>196</v>
      </c>
      <c r="C3" s="980" t="s">
        <v>195</v>
      </c>
      <c r="D3" s="980" t="s">
        <v>194</v>
      </c>
      <c r="E3" s="980" t="s">
        <v>143</v>
      </c>
      <c r="F3" s="980" t="s">
        <v>193</v>
      </c>
      <c r="G3" s="980" t="s">
        <v>192</v>
      </c>
    </row>
    <row r="4" spans="2:7" ht="14.4">
      <c r="B4" s="254" t="s">
        <v>191</v>
      </c>
      <c r="C4" s="254" t="s">
        <v>185</v>
      </c>
      <c r="D4" s="944">
        <v>46</v>
      </c>
      <c r="E4" s="981" t="s">
        <v>190</v>
      </c>
      <c r="F4" s="981">
        <v>4.13</v>
      </c>
      <c r="G4" s="981" t="s">
        <v>189</v>
      </c>
    </row>
    <row r="5" spans="2:7" ht="14.4">
      <c r="B5" s="254" t="s">
        <v>188</v>
      </c>
      <c r="C5" s="254" t="s">
        <v>183</v>
      </c>
      <c r="D5" s="944">
        <f>$C$42</f>
        <v>803.61419999999998</v>
      </c>
      <c r="E5" s="981" t="s">
        <v>168</v>
      </c>
      <c r="F5" s="981">
        <v>175</v>
      </c>
      <c r="G5" s="982" t="s">
        <v>1665</v>
      </c>
    </row>
    <row r="6" spans="2:7" ht="14.4">
      <c r="B6" s="254" t="s">
        <v>187</v>
      </c>
      <c r="C6" s="254" t="s">
        <v>171</v>
      </c>
      <c r="D6" s="944">
        <f>D5*D4*(10^-3)</f>
        <v>36.966253199999997</v>
      </c>
      <c r="E6" s="981" t="s">
        <v>141</v>
      </c>
      <c r="F6" s="981"/>
      <c r="G6" s="981"/>
    </row>
    <row r="7" spans="2:7" ht="14.4">
      <c r="B7" s="254" t="s">
        <v>186</v>
      </c>
      <c r="C7" s="254" t="s">
        <v>185</v>
      </c>
      <c r="D7" s="944">
        <v>13</v>
      </c>
      <c r="E7" s="981" t="s">
        <v>164</v>
      </c>
      <c r="F7" s="981"/>
      <c r="G7" s="981"/>
    </row>
    <row r="8" spans="2:7" ht="14.4">
      <c r="B8" s="254" t="s">
        <v>184</v>
      </c>
      <c r="C8" s="254" t="s">
        <v>183</v>
      </c>
      <c r="D8" s="944">
        <f>$C$42</f>
        <v>803.61419999999998</v>
      </c>
      <c r="E8" s="981" t="s">
        <v>168</v>
      </c>
      <c r="F8" s="981">
        <v>175</v>
      </c>
      <c r="G8" s="982" t="s">
        <v>1665</v>
      </c>
    </row>
    <row r="9" spans="2:7" ht="14.4">
      <c r="B9" s="254" t="s">
        <v>182</v>
      </c>
      <c r="C9" s="254" t="s">
        <v>171</v>
      </c>
      <c r="D9" s="944">
        <f>D8*D7*(10^-3)</f>
        <v>10.4469846</v>
      </c>
      <c r="E9" s="981" t="s">
        <v>141</v>
      </c>
      <c r="F9" s="981"/>
      <c r="G9" s="981"/>
    </row>
    <row r="10" spans="2:7" ht="14.4">
      <c r="B10" s="254" t="s">
        <v>181</v>
      </c>
      <c r="C10" s="254" t="s">
        <v>171</v>
      </c>
      <c r="D10" s="944">
        <f>D6-D9</f>
        <v>26.519268599999997</v>
      </c>
      <c r="E10" s="981" t="s">
        <v>141</v>
      </c>
      <c r="F10" s="981"/>
      <c r="G10" s="981"/>
    </row>
    <row r="11" spans="2:7" ht="14.4">
      <c r="B11" s="254" t="s">
        <v>180</v>
      </c>
      <c r="C11" s="254" t="s">
        <v>169</v>
      </c>
      <c r="D11" s="945">
        <f>$C$19</f>
        <v>0.98</v>
      </c>
      <c r="E11" s="981" t="s">
        <v>168</v>
      </c>
      <c r="F11" s="981">
        <v>137</v>
      </c>
      <c r="G11" s="254" t="s">
        <v>179</v>
      </c>
    </row>
    <row r="12" spans="2:7" ht="14.4">
      <c r="B12" s="254" t="s">
        <v>178</v>
      </c>
      <c r="C12" s="254" t="s">
        <v>171</v>
      </c>
      <c r="D12" s="944" t="s">
        <v>177</v>
      </c>
      <c r="E12" s="981" t="s">
        <v>176</v>
      </c>
      <c r="F12" s="981"/>
      <c r="G12" s="981"/>
    </row>
    <row r="13" spans="2:7" ht="14.4">
      <c r="B13" s="254" t="s">
        <v>175</v>
      </c>
      <c r="C13" s="254" t="s">
        <v>174</v>
      </c>
      <c r="D13" s="944">
        <f>(C24*C38)+(D24*C39)</f>
        <v>7</v>
      </c>
      <c r="E13" s="981" t="s">
        <v>173</v>
      </c>
      <c r="F13" s="254">
        <v>173</v>
      </c>
      <c r="G13" s="982" t="s">
        <v>1666</v>
      </c>
    </row>
    <row r="14" spans="2:7" ht="14.4">
      <c r="B14" s="254" t="s">
        <v>172</v>
      </c>
      <c r="C14" s="254" t="s">
        <v>171</v>
      </c>
      <c r="D14" s="253">
        <f>D10*D11</f>
        <v>25.988883227999995</v>
      </c>
      <c r="E14" s="981" t="s">
        <v>141</v>
      </c>
      <c r="F14" s="981"/>
      <c r="G14" s="981"/>
    </row>
    <row r="15" spans="2:7" ht="14.4">
      <c r="B15" s="254" t="s">
        <v>170</v>
      </c>
      <c r="C15" s="254" t="s">
        <v>169</v>
      </c>
      <c r="D15" s="946">
        <f>(C47*C38)+(C48*C39)</f>
        <v>0.092023346303501952</v>
      </c>
      <c r="E15" s="981" t="s">
        <v>168</v>
      </c>
      <c r="F15" s="981">
        <v>178</v>
      </c>
      <c r="G15" s="982" t="s">
        <v>167</v>
      </c>
    </row>
    <row r="16" spans="2:7" ht="14.4">
      <c r="B16" s="254" t="s">
        <v>166</v>
      </c>
      <c r="C16" s="254" t="s">
        <v>165</v>
      </c>
      <c r="D16" s="253">
        <f>((D4-D7)/1000)*D15*D11</f>
        <v>0.0029760350194552535</v>
      </c>
      <c r="E16" s="981" t="s">
        <v>141</v>
      </c>
      <c r="F16" s="981"/>
      <c r="G16" s="981"/>
    </row>
    <row r="17" ht="14.4"/>
    <row r="18" spans="2:4" ht="14.4">
      <c r="B18" s="980" t="s">
        <v>164</v>
      </c>
      <c r="C18" s="980" t="s">
        <v>163</v>
      </c>
      <c r="D18" s="980" t="s">
        <v>1648</v>
      </c>
    </row>
    <row r="19" spans="2:4" ht="14.4">
      <c r="B19" s="982" t="s">
        <v>1649</v>
      </c>
      <c r="C19" s="983">
        <v>0.98</v>
      </c>
      <c r="D19" s="983">
        <v>0.98</v>
      </c>
    </row>
    <row r="20" ht="14.4">
      <c r="B20" s="977" t="s">
        <v>1650</v>
      </c>
    </row>
    <row r="21" ht="14.4"/>
    <row r="22" ht="14.4">
      <c r="B22" s="977" t="s">
        <v>1659</v>
      </c>
    </row>
    <row r="23" spans="2:4" ht="14.4">
      <c r="B23" s="980" t="s">
        <v>701</v>
      </c>
      <c r="C23" s="980" t="s">
        <v>700</v>
      </c>
      <c r="D23" s="980" t="s">
        <v>699</v>
      </c>
    </row>
    <row r="24" spans="2:4" ht="14.4">
      <c r="B24" s="984">
        <v>8000</v>
      </c>
      <c r="C24" s="985">
        <v>7</v>
      </c>
      <c r="D24" s="985">
        <v>7</v>
      </c>
    </row>
    <row r="25" spans="2:4" ht="14.4">
      <c r="B25" s="984">
        <v>10000</v>
      </c>
      <c r="C25" s="985">
        <v>8</v>
      </c>
      <c r="D25" s="985">
        <v>8</v>
      </c>
    </row>
    <row r="26" spans="2:4" ht="14.4">
      <c r="B26" s="984">
        <v>12000</v>
      </c>
      <c r="C26" s="985">
        <v>8</v>
      </c>
      <c r="D26" s="985">
        <v>8</v>
      </c>
    </row>
    <row r="27" spans="2:4" ht="14.4">
      <c r="B27" s="984">
        <v>15000</v>
      </c>
      <c r="C27" s="985">
        <v>8</v>
      </c>
      <c r="D27" s="985">
        <v>8</v>
      </c>
    </row>
    <row r="28" ht="14.4">
      <c r="B28" s="977" t="s">
        <v>1660</v>
      </c>
    </row>
    <row r="29" ht="14.4">
      <c r="B29" s="986" t="s">
        <v>698</v>
      </c>
    </row>
    <row r="30" ht="14.4"/>
    <row r="31" ht="14.4">
      <c r="B31" s="977" t="s">
        <v>162</v>
      </c>
    </row>
    <row r="32" spans="2:3" ht="14.4">
      <c r="B32" s="980" t="s">
        <v>157</v>
      </c>
      <c r="C32" s="981" t="s">
        <v>161</v>
      </c>
    </row>
    <row r="33" spans="2:3" ht="14.4">
      <c r="B33" s="981" t="s">
        <v>160</v>
      </c>
      <c r="C33" s="981">
        <v>4.0999999999999996</v>
      </c>
    </row>
    <row r="34" spans="2:3" ht="14.4">
      <c r="B34" s="981" t="s">
        <v>159</v>
      </c>
      <c r="C34" s="981">
        <v>51.40</v>
      </c>
    </row>
    <row r="35" ht="14.4">
      <c r="B35" s="977" t="s">
        <v>158</v>
      </c>
    </row>
    <row r="36" ht="14.4"/>
    <row r="37" ht="14.4">
      <c r="B37" s="977" t="s">
        <v>157</v>
      </c>
    </row>
    <row r="38" spans="2:3" ht="14.4">
      <c r="B38" s="981" t="s">
        <v>156</v>
      </c>
      <c r="C38" s="983">
        <f>1-C39</f>
        <v>0.92023346303501952</v>
      </c>
    </row>
    <row r="39" spans="2:3" ht="14.4">
      <c r="B39" s="981" t="s">
        <v>155</v>
      </c>
      <c r="C39" s="983">
        <f>C33/C34</f>
        <v>0.079766536964980539</v>
      </c>
    </row>
    <row r="40" ht="14.4"/>
    <row r="41" spans="2:4" ht="14.4">
      <c r="B41" s="980" t="s">
        <v>154</v>
      </c>
      <c r="C41" s="980" t="s">
        <v>1653</v>
      </c>
      <c r="D41" s="980" t="s">
        <v>1654</v>
      </c>
    </row>
    <row r="42" spans="2:4" ht="14.4">
      <c r="B42" s="982" t="s">
        <v>1655</v>
      </c>
      <c r="C42" s="947">
        <v>803.61419999999998</v>
      </c>
      <c r="D42" s="947">
        <v>792.60</v>
      </c>
    </row>
    <row r="43" ht="14.4">
      <c r="B43" s="977" t="s">
        <v>1656</v>
      </c>
    </row>
    <row r="44" ht="14.4"/>
    <row r="45" ht="14.4">
      <c r="B45" s="977" t="s">
        <v>1661</v>
      </c>
    </row>
    <row r="46" spans="2:3" ht="14.4">
      <c r="B46" s="980" t="s">
        <v>152</v>
      </c>
      <c r="C46" s="980" t="s">
        <v>151</v>
      </c>
    </row>
    <row r="47" spans="2:3" ht="14.4">
      <c r="B47" s="981" t="s">
        <v>150</v>
      </c>
      <c r="C47" s="987">
        <v>0.10</v>
      </c>
    </row>
    <row r="48" spans="2:3" ht="14.4">
      <c r="B48" s="981" t="s">
        <v>149</v>
      </c>
      <c r="C48" s="987">
        <v>0</v>
      </c>
    </row>
    <row r="49" ht="14.4">
      <c r="B49" s="252" t="s">
        <v>1658</v>
      </c>
    </row>
    <row r="50" ht="14.4"/>
    <row r="51" spans="2:4" ht="14.4">
      <c r="B51" s="988" t="s">
        <v>697</v>
      </c>
      <c r="C51" s="988" t="s">
        <v>144</v>
      </c>
      <c r="D51" s="988" t="s">
        <v>143</v>
      </c>
    </row>
    <row r="52" spans="2:4" ht="14.4">
      <c r="B52" s="989">
        <v>4.9000000000000004</v>
      </c>
      <c r="C52" s="990" t="s">
        <v>696</v>
      </c>
      <c r="D52" s="990" t="s">
        <v>695</v>
      </c>
    </row>
    <row r="53" spans="2:4" ht="14.4">
      <c r="B53" s="991" t="s">
        <v>694</v>
      </c>
      <c r="C53" s="992"/>
      <c r="D53" s="993"/>
    </row>
  </sheetData>
  <pageMargins left="0.7" right="0.7" top="0.75" bottom="0.75" header="0.3" footer="0.3"/>
  <pageSetup orientation="portrait" r:id="rId2"/>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7" tint="0.39998"/>
  </sheetPr>
  <dimension ref="A1:K97"/>
  <sheetViews>
    <sheetView zoomScale="70" zoomScaleNormal="70" workbookViewId="0" topLeftCell="A1"/>
  </sheetViews>
  <sheetFormatPr defaultColWidth="8.77734375" defaultRowHeight="14.4"/>
  <cols>
    <col min="1" max="1" width="8.77777777777778" style="865"/>
    <col min="2" max="2" width="30.7777777777778" style="865" customWidth="1"/>
    <col min="3" max="3" width="39.2222222222222" style="865" bestFit="1" customWidth="1"/>
    <col min="4" max="4" width="43.7777777777778" style="865" bestFit="1" customWidth="1"/>
    <col min="5" max="5" width="46" style="865" bestFit="1" customWidth="1"/>
    <col min="6" max="6" width="78.5555555555556" style="1054" bestFit="1" customWidth="1"/>
    <col min="7" max="7" width="8.77777777777778" style="865"/>
    <col min="8" max="8" width="10.5555555555556" style="865" customWidth="1"/>
    <col min="9" max="9" width="31.7777777777778" style="865" bestFit="1" customWidth="1"/>
    <col min="10" max="10" width="21.4444444444444" style="865" bestFit="1" customWidth="1"/>
    <col min="11" max="11" width="23.7777777777778" style="865" bestFit="1" customWidth="1"/>
    <col min="12" max="16384" width="8.77777777777778" style="865"/>
  </cols>
  <sheetData>
    <row r="1" ht="14.4">
      <c r="B1" s="1032" t="s">
        <v>1739</v>
      </c>
    </row>
    <row r="2" spans="1:8" ht="14.4">
      <c r="A2" s="1033" t="s">
        <v>789</v>
      </c>
      <c r="B2" s="1033" t="s">
        <v>788</v>
      </c>
      <c r="C2" s="1033" t="s">
        <v>192</v>
      </c>
      <c r="D2" s="1033" t="s">
        <v>195</v>
      </c>
      <c r="E2" s="1033" t="s">
        <v>194</v>
      </c>
      <c r="F2" s="1055" t="s">
        <v>78</v>
      </c>
      <c r="H2" s="1033" t="s">
        <v>787</v>
      </c>
    </row>
    <row r="3" spans="1:8" ht="14.4">
      <c r="A3" s="865">
        <v>1</v>
      </c>
      <c r="B3" s="865" t="s">
        <v>793</v>
      </c>
      <c r="C3" s="865" t="s">
        <v>786</v>
      </c>
      <c r="D3" s="865" t="s">
        <v>185</v>
      </c>
      <c r="E3" s="865">
        <v>100</v>
      </c>
      <c r="H3" s="1034">
        <f>1-EXP(-$E$10/$E$14)</f>
        <v>0.30188942913059769</v>
      </c>
    </row>
    <row r="4" spans="1:11" ht="14.4">
      <c r="A4" s="865">
        <v>2</v>
      </c>
      <c r="B4" s="865" t="s">
        <v>793</v>
      </c>
      <c r="C4" s="865" t="s">
        <v>785</v>
      </c>
      <c r="D4" s="865" t="s">
        <v>185</v>
      </c>
      <c r="E4" s="865">
        <v>38</v>
      </c>
      <c r="H4" s="1035" t="s">
        <v>784</v>
      </c>
      <c r="I4" s="1035" t="s">
        <v>783</v>
      </c>
      <c r="J4" s="1036" t="s">
        <v>782</v>
      </c>
      <c r="K4" s="1035" t="s">
        <v>775</v>
      </c>
    </row>
    <row r="5" spans="1:11" ht="14.4">
      <c r="A5" s="865">
        <v>3</v>
      </c>
      <c r="B5" s="865" t="s">
        <v>793</v>
      </c>
      <c r="C5" s="865" t="s">
        <v>781</v>
      </c>
      <c r="D5" s="865" t="s">
        <v>185</v>
      </c>
      <c r="E5" s="865">
        <f>SUM(E3:E4)</f>
        <v>138</v>
      </c>
      <c r="F5" s="1054" t="s">
        <v>1737</v>
      </c>
      <c r="H5" s="1014">
        <v>1</v>
      </c>
      <c r="I5" s="1037">
        <f>IF(H5*$H$3&gt;=100%,100%,H5*$H$3)</f>
        <v>0.30188942913059769</v>
      </c>
      <c r="J5" s="1038">
        <f t="shared" si="0" ref="J5:J19">1-I5</f>
        <v>0.69811057086940231</v>
      </c>
      <c r="K5" s="1039">
        <f>IF($H5&gt;=$E$12,0,$E$9+($E$21*$I5))</f>
        <v>197.9145500412067</v>
      </c>
    </row>
    <row r="6" spans="1:11" ht="14.4">
      <c r="A6" s="865">
        <v>4</v>
      </c>
      <c r="B6" s="865" t="s">
        <v>793</v>
      </c>
      <c r="C6" s="865" t="s">
        <v>780</v>
      </c>
      <c r="D6" s="865" t="s">
        <v>740</v>
      </c>
      <c r="E6" s="1040">
        <v>78</v>
      </c>
      <c r="F6" s="1054" t="s">
        <v>779</v>
      </c>
      <c r="H6" s="1014">
        <v>2</v>
      </c>
      <c r="I6" s="1037">
        <f t="shared" si="1" ref="I6:I19">IF(H6*$H$3&gt;=100%,100%,H6*$H$3)</f>
        <v>0.60377885826119537</v>
      </c>
      <c r="J6" s="1038">
        <f t="shared" si="0"/>
        <v>0.39622114173880463</v>
      </c>
      <c r="K6" s="1039">
        <f>IF($H6&gt;=$E$12,0,$E$9+($E$21*$I6))</f>
        <v>239.28910008241337</v>
      </c>
    </row>
    <row r="7" spans="1:11" ht="14.4">
      <c r="A7" s="865">
        <v>5</v>
      </c>
      <c r="B7" s="865" t="s">
        <v>793</v>
      </c>
      <c r="C7" s="865" t="s">
        <v>778</v>
      </c>
      <c r="D7" s="865" t="s">
        <v>183</v>
      </c>
      <c r="E7" s="1041">
        <v>1</v>
      </c>
      <c r="H7" s="1014">
        <v>3</v>
      </c>
      <c r="I7" s="1037">
        <f t="shared" si="1"/>
        <v>0.90566828739179306</v>
      </c>
      <c r="J7" s="1038">
        <f t="shared" si="0"/>
        <v>0.094331712608206941</v>
      </c>
      <c r="K7" s="1039">
        <f>IF($H7&gt;=$E$12,0,$E$9+($E$21*$I7))</f>
        <v>280.66365012362002</v>
      </c>
    </row>
    <row r="8" spans="1:11" ht="14.4">
      <c r="A8" s="865">
        <v>6</v>
      </c>
      <c r="B8" s="865" t="s">
        <v>793</v>
      </c>
      <c r="C8" s="865" t="s">
        <v>776</v>
      </c>
      <c r="D8" s="865" t="s">
        <v>740</v>
      </c>
      <c r="E8" s="1040">
        <f>E7*$E$60</f>
        <v>78.540000000000006</v>
      </c>
      <c r="H8" s="1014">
        <v>4</v>
      </c>
      <c r="I8" s="1037">
        <f t="shared" si="1"/>
        <v>1</v>
      </c>
      <c r="J8" s="1038">
        <f t="shared" si="0"/>
        <v>0</v>
      </c>
      <c r="K8" s="1039">
        <f t="shared" si="2" ref="K8:K19">IF($H8&gt;=$E$12,0,$E$9+($E$21*$I8))</f>
        <v>0</v>
      </c>
    </row>
    <row r="9" spans="1:11" ht="14.4">
      <c r="A9" s="865">
        <v>7</v>
      </c>
      <c r="B9" s="865" t="s">
        <v>793</v>
      </c>
      <c r="C9" s="865" t="s">
        <v>775</v>
      </c>
      <c r="D9" s="865" t="s">
        <v>740</v>
      </c>
      <c r="E9" s="1040">
        <f>SUM(E8,E6)</f>
        <v>156.54000000000002</v>
      </c>
      <c r="H9" s="1014">
        <v>5</v>
      </c>
      <c r="I9" s="1037">
        <f t="shared" si="1"/>
        <v>1</v>
      </c>
      <c r="J9" s="1038">
        <f t="shared" si="0"/>
        <v>0</v>
      </c>
      <c r="K9" s="1039">
        <f t="shared" si="2"/>
        <v>0</v>
      </c>
    </row>
    <row r="10" spans="1:11" ht="14.4">
      <c r="A10" s="865">
        <v>8</v>
      </c>
      <c r="B10" s="865" t="s">
        <v>793</v>
      </c>
      <c r="C10" s="865" t="s">
        <v>774</v>
      </c>
      <c r="D10" s="865" t="s">
        <v>773</v>
      </c>
      <c r="E10" s="865">
        <v>4043</v>
      </c>
      <c r="H10" s="1014">
        <v>6</v>
      </c>
      <c r="I10" s="1037">
        <f t="shared" si="1"/>
        <v>1</v>
      </c>
      <c r="J10" s="1038">
        <f t="shared" si="0"/>
        <v>0</v>
      </c>
      <c r="K10" s="1039">
        <f t="shared" si="2"/>
        <v>0</v>
      </c>
    </row>
    <row r="11" spans="1:11" ht="14.4">
      <c r="A11" s="865">
        <v>9</v>
      </c>
      <c r="B11" s="865" t="s">
        <v>793</v>
      </c>
      <c r="C11" s="865" t="s">
        <v>262</v>
      </c>
      <c r="D11" s="865" t="s">
        <v>183</v>
      </c>
      <c r="E11" s="865">
        <v>15000</v>
      </c>
      <c r="H11" s="1014">
        <v>7</v>
      </c>
      <c r="I11" s="1037">
        <f t="shared" si="1"/>
        <v>1</v>
      </c>
      <c r="J11" s="1038">
        <f t="shared" si="0"/>
        <v>0</v>
      </c>
      <c r="K11" s="1039">
        <f t="shared" si="2"/>
        <v>0</v>
      </c>
    </row>
    <row r="12" spans="1:11" ht="14.4">
      <c r="A12" s="865">
        <v>10</v>
      </c>
      <c r="B12" s="865" t="s">
        <v>793</v>
      </c>
      <c r="C12" s="865" t="s">
        <v>262</v>
      </c>
      <c r="D12" s="865" t="s">
        <v>174</v>
      </c>
      <c r="E12" s="1042">
        <f>E11/E10</f>
        <v>3.7101162503091762</v>
      </c>
      <c r="H12" s="1014">
        <v>8</v>
      </c>
      <c r="I12" s="1037">
        <f t="shared" si="1"/>
        <v>1</v>
      </c>
      <c r="J12" s="1038">
        <f t="shared" si="0"/>
        <v>0</v>
      </c>
      <c r="K12" s="1039">
        <f t="shared" si="2"/>
        <v>0</v>
      </c>
    </row>
    <row r="13" spans="1:11" ht="14.4">
      <c r="A13" s="865">
        <v>11</v>
      </c>
      <c r="B13" s="865" t="s">
        <v>793</v>
      </c>
      <c r="C13" s="865" t="s">
        <v>772</v>
      </c>
      <c r="D13" s="865" t="s">
        <v>169</v>
      </c>
      <c r="E13" s="1043">
        <v>0.75</v>
      </c>
      <c r="F13" s="1054" t="s">
        <v>797</v>
      </c>
      <c r="H13" s="1014">
        <v>9</v>
      </c>
      <c r="I13" s="1037">
        <f t="shared" si="1"/>
        <v>1</v>
      </c>
      <c r="J13" s="1038">
        <f t="shared" si="0"/>
        <v>0</v>
      </c>
      <c r="K13" s="1039">
        <f t="shared" si="2"/>
        <v>0</v>
      </c>
    </row>
    <row r="14" spans="1:11" ht="14.4">
      <c r="A14" s="865">
        <v>12</v>
      </c>
      <c r="B14" s="865" t="s">
        <v>793</v>
      </c>
      <c r="C14" s="865" t="s">
        <v>770</v>
      </c>
      <c r="D14" s="865" t="s">
        <v>183</v>
      </c>
      <c r="E14" s="1044">
        <f>E15*E10</f>
        <v>11249.999999999998</v>
      </c>
      <c r="H14" s="1014">
        <v>10</v>
      </c>
      <c r="I14" s="1037">
        <f t="shared" si="1"/>
        <v>1</v>
      </c>
      <c r="J14" s="1038">
        <f t="shared" si="0"/>
        <v>0</v>
      </c>
      <c r="K14" s="1039">
        <f t="shared" si="2"/>
        <v>0</v>
      </c>
    </row>
    <row r="15" spans="1:11" ht="14.4">
      <c r="A15" s="865">
        <v>13</v>
      </c>
      <c r="B15" s="865" t="s">
        <v>793</v>
      </c>
      <c r="C15" s="865" t="s">
        <v>769</v>
      </c>
      <c r="D15" s="865" t="s">
        <v>174</v>
      </c>
      <c r="E15" s="1042">
        <f>E13*E12</f>
        <v>2.782587187731882</v>
      </c>
      <c r="H15" s="1014">
        <v>11</v>
      </c>
      <c r="I15" s="1037">
        <f t="shared" si="1"/>
        <v>1</v>
      </c>
      <c r="J15" s="1038">
        <f t="shared" si="0"/>
        <v>0</v>
      </c>
      <c r="K15" s="1039">
        <f t="shared" si="2"/>
        <v>0</v>
      </c>
    </row>
    <row r="16" spans="1:11" ht="14.4">
      <c r="A16" s="865">
        <v>14</v>
      </c>
      <c r="B16" s="865" t="s">
        <v>793</v>
      </c>
      <c r="C16" s="865" t="s">
        <v>768</v>
      </c>
      <c r="D16" s="865" t="s">
        <v>174</v>
      </c>
      <c r="E16" s="1045" t="s">
        <v>200</v>
      </c>
      <c r="H16" s="1014">
        <v>12</v>
      </c>
      <c r="I16" s="1037">
        <f t="shared" si="1"/>
        <v>1</v>
      </c>
      <c r="J16" s="1038">
        <f t="shared" si="0"/>
        <v>0</v>
      </c>
      <c r="K16" s="1039">
        <f t="shared" si="2"/>
        <v>0</v>
      </c>
    </row>
    <row r="17" spans="1:11" ht="14.4">
      <c r="A17" s="865">
        <v>15</v>
      </c>
      <c r="B17" s="865" t="s">
        <v>793</v>
      </c>
      <c r="C17" s="865" t="s">
        <v>767</v>
      </c>
      <c r="D17" s="865" t="s">
        <v>169</v>
      </c>
      <c r="E17" s="1046">
        <v>0.40</v>
      </c>
      <c r="H17" s="1014">
        <v>13</v>
      </c>
      <c r="I17" s="1037">
        <f t="shared" si="1"/>
        <v>1</v>
      </c>
      <c r="J17" s="1038">
        <f t="shared" si="0"/>
        <v>0</v>
      </c>
      <c r="K17" s="1039">
        <f t="shared" si="2"/>
        <v>0</v>
      </c>
    </row>
    <row r="18" spans="1:11" ht="14.4">
      <c r="A18" s="865">
        <v>16</v>
      </c>
      <c r="B18" s="865" t="s">
        <v>793</v>
      </c>
      <c r="C18" s="865" t="s">
        <v>766</v>
      </c>
      <c r="D18" s="865" t="s">
        <v>183</v>
      </c>
      <c r="E18" s="1047">
        <f>$B$86</f>
        <v>1.2999999999999998</v>
      </c>
      <c r="H18" s="1014">
        <v>14</v>
      </c>
      <c r="I18" s="1037">
        <f t="shared" si="1"/>
        <v>1</v>
      </c>
      <c r="J18" s="1038">
        <f t="shared" si="0"/>
        <v>0</v>
      </c>
      <c r="K18" s="1039">
        <f t="shared" si="2"/>
        <v>0</v>
      </c>
    </row>
    <row r="19" spans="1:11" ht="14.4">
      <c r="A19" s="865">
        <v>17</v>
      </c>
      <c r="B19" s="865" t="s">
        <v>793</v>
      </c>
      <c r="C19" s="865" t="str">
        <f>"Early Failure "&amp;C8</f>
        <v>Early Failure Labor Cost to Install</v>
      </c>
      <c r="D19" s="865" t="s">
        <v>740</v>
      </c>
      <c r="E19" s="1048">
        <f>E18*$E$60</f>
        <v>102.10199999999999</v>
      </c>
      <c r="H19" s="1014">
        <v>15</v>
      </c>
      <c r="I19" s="1037">
        <f t="shared" si="1"/>
        <v>1</v>
      </c>
      <c r="J19" s="1038">
        <f t="shared" si="0"/>
        <v>0</v>
      </c>
      <c r="K19" s="1039">
        <f t="shared" si="2"/>
        <v>0</v>
      </c>
    </row>
    <row r="20" spans="1:11" ht="14.4">
      <c r="A20" s="865">
        <v>18</v>
      </c>
      <c r="B20" s="865" t="s">
        <v>793</v>
      </c>
      <c r="C20" s="865" t="s">
        <v>764</v>
      </c>
      <c r="D20" s="865" t="s">
        <v>740</v>
      </c>
      <c r="E20" s="1048">
        <f>$C$91</f>
        <v>34.949999999999996</v>
      </c>
      <c r="H20" s="1636" t="s">
        <v>763</v>
      </c>
      <c r="I20" s="1636"/>
      <c r="J20" s="1636"/>
      <c r="K20" s="1049">
        <f>AVERAGEIFS($K$5:$K$19,$K$5:$K$19,"&gt;0")</f>
        <v>239.28910008241337</v>
      </c>
    </row>
    <row r="21" spans="1:5" ht="14.4">
      <c r="A21" s="865">
        <v>19</v>
      </c>
      <c r="B21" s="865" t="s">
        <v>793</v>
      </c>
      <c r="C21" s="865" t="str">
        <f>"Early Failure "&amp;C9</f>
        <v>Early Failure Total Installed Cost</v>
      </c>
      <c r="D21" s="865" t="s">
        <v>740</v>
      </c>
      <c r="E21" s="1048">
        <f>SUM(E19:E20)</f>
        <v>137.05199999999999</v>
      </c>
    </row>
    <row r="22" spans="1:5" ht="14.4">
      <c r="A22" s="865">
        <v>20</v>
      </c>
      <c r="B22" s="865" t="s">
        <v>793</v>
      </c>
      <c r="C22" s="865" t="s">
        <v>762</v>
      </c>
      <c r="D22" s="865" t="s">
        <v>740</v>
      </c>
      <c r="E22" s="1048">
        <f>($E$9*(1-$E$17))+($K$20*$E$17)</f>
        <v>189.63964003296536</v>
      </c>
    </row>
    <row r="23" spans="1:6" ht="14.4">
      <c r="A23" s="865">
        <v>21</v>
      </c>
      <c r="B23" s="865" t="s">
        <v>793</v>
      </c>
      <c r="C23" s="865" t="s">
        <v>796</v>
      </c>
      <c r="D23" s="865" t="s">
        <v>795</v>
      </c>
      <c r="E23" s="1048">
        <f>(E40/E12)*E22</f>
        <v>632.13213344321787</v>
      </c>
      <c r="F23" s="1054" t="s">
        <v>794</v>
      </c>
    </row>
    <row r="24" spans="1:5" ht="14.4">
      <c r="A24" s="865">
        <v>22</v>
      </c>
      <c r="B24" s="865" t="s">
        <v>793</v>
      </c>
      <c r="C24" s="865" t="s">
        <v>761</v>
      </c>
      <c r="D24" s="865" t="s">
        <v>760</v>
      </c>
      <c r="E24" s="865">
        <f>E5*E10*10^-3</f>
        <v>557.93399999999997</v>
      </c>
    </row>
    <row r="25" spans="1:5" ht="14.4">
      <c r="A25" s="865">
        <v>23</v>
      </c>
      <c r="B25" s="865" t="s">
        <v>793</v>
      </c>
      <c r="C25" s="865" t="s">
        <v>759</v>
      </c>
      <c r="D25" s="865" t="s">
        <v>758</v>
      </c>
      <c r="E25" s="865">
        <f>E24*E12</f>
        <v>2070</v>
      </c>
    </row>
    <row r="26" spans="1:5" ht="14.4">
      <c r="A26" s="865">
        <v>24</v>
      </c>
      <c r="B26" s="865" t="s">
        <v>793</v>
      </c>
      <c r="C26" s="865" t="s">
        <v>757</v>
      </c>
      <c r="D26" s="865" t="s">
        <v>756</v>
      </c>
      <c r="E26" s="1050">
        <f>E24/12</f>
        <v>46.494499999999995</v>
      </c>
    </row>
    <row r="27" spans="1:5" ht="14.4">
      <c r="A27" s="865">
        <v>25</v>
      </c>
      <c r="B27" s="865" t="s">
        <v>793</v>
      </c>
      <c r="C27" s="865" t="s">
        <v>754</v>
      </c>
      <c r="D27" s="865" t="s">
        <v>753</v>
      </c>
      <c r="E27" s="1040">
        <v>6.90</v>
      </c>
    </row>
    <row r="28" spans="1:6" ht="14.4">
      <c r="A28" s="865">
        <v>26</v>
      </c>
      <c r="B28" s="865" t="s">
        <v>793</v>
      </c>
      <c r="C28" s="865" t="s">
        <v>792</v>
      </c>
      <c r="D28" s="865" t="s">
        <v>791</v>
      </c>
      <c r="E28" s="1053">
        <f>E27/E26</f>
        <v>0.14840465001236708</v>
      </c>
      <c r="F28" s="1054" t="s">
        <v>790</v>
      </c>
    </row>
    <row r="29" ht="14.4"/>
    <row r="30" spans="1:8" s="1033" customFormat="1" ht="14.4">
      <c r="A30" s="1033" t="s">
        <v>789</v>
      </c>
      <c r="B30" s="1033" t="s">
        <v>788</v>
      </c>
      <c r="C30" s="1033" t="s">
        <v>192</v>
      </c>
      <c r="D30" s="1033" t="s">
        <v>195</v>
      </c>
      <c r="E30" s="1033" t="s">
        <v>194</v>
      </c>
      <c r="F30" s="1055" t="s">
        <v>78</v>
      </c>
      <c r="H30" s="1033" t="s">
        <v>787</v>
      </c>
    </row>
    <row r="31" spans="1:8" ht="14.4">
      <c r="A31" s="865">
        <v>1</v>
      </c>
      <c r="B31" s="865" t="s">
        <v>755</v>
      </c>
      <c r="C31" s="865" t="s">
        <v>786</v>
      </c>
      <c r="D31" s="865" t="s">
        <v>185</v>
      </c>
      <c r="E31" s="865">
        <v>40</v>
      </c>
      <c r="H31" s="1034">
        <f>1-EXP(-$E$38/$E$42)</f>
        <v>0.10220483077859088</v>
      </c>
    </row>
    <row r="32" spans="1:11" ht="14.4">
      <c r="A32" s="865">
        <v>2</v>
      </c>
      <c r="B32" s="865" t="s">
        <v>755</v>
      </c>
      <c r="C32" s="865" t="s">
        <v>785</v>
      </c>
      <c r="D32" s="865" t="s">
        <v>185</v>
      </c>
      <c r="E32" s="865" t="s">
        <v>200</v>
      </c>
      <c r="H32" s="1035" t="s">
        <v>784</v>
      </c>
      <c r="I32" s="1035" t="s">
        <v>783</v>
      </c>
      <c r="J32" s="1036" t="s">
        <v>782</v>
      </c>
      <c r="K32" s="1035" t="s">
        <v>775</v>
      </c>
    </row>
    <row r="33" spans="1:11" ht="14.4">
      <c r="A33" s="865">
        <v>3</v>
      </c>
      <c r="B33" s="865" t="s">
        <v>755</v>
      </c>
      <c r="C33" s="865" t="s">
        <v>781</v>
      </c>
      <c r="D33" s="865" t="s">
        <v>185</v>
      </c>
      <c r="E33" s="865">
        <f>SUM(E31:E32)</f>
        <v>40</v>
      </c>
      <c r="H33" s="1014">
        <v>1</v>
      </c>
      <c r="I33" s="1037">
        <f t="shared" si="3" ref="I33:I47">IF($H33&lt;=5,0%,IF((H33-5)*$H$31&gt;=100%,100%,(H33-5)*$H$31))</f>
        <v>0</v>
      </c>
      <c r="J33" s="1038">
        <f t="shared" si="4" ref="J33:J47">1-I33</f>
        <v>1</v>
      </c>
      <c r="K33" s="1039">
        <f t="shared" si="5" ref="K33:K47">IF(OR($H33&gt;=$E$40,$H33&lt;=$E$44),0,$E$37+($E$49*$I33))</f>
        <v>0</v>
      </c>
    </row>
    <row r="34" spans="1:11" ht="14.4">
      <c r="A34" s="865">
        <v>4</v>
      </c>
      <c r="B34" s="865" t="s">
        <v>755</v>
      </c>
      <c r="C34" s="865" t="s">
        <v>780</v>
      </c>
      <c r="D34" s="865" t="s">
        <v>740</v>
      </c>
      <c r="E34" s="1040">
        <f>$C$69</f>
        <v>120.50</v>
      </c>
      <c r="F34" s="1054" t="s">
        <v>779</v>
      </c>
      <c r="H34" s="1014">
        <v>2</v>
      </c>
      <c r="I34" s="1037">
        <f t="shared" si="3"/>
        <v>0</v>
      </c>
      <c r="J34" s="1038">
        <f t="shared" si="4"/>
        <v>1</v>
      </c>
      <c r="K34" s="1039">
        <f t="shared" si="5"/>
        <v>0</v>
      </c>
    </row>
    <row r="35" spans="1:11" ht="14.4">
      <c r="A35" s="865">
        <v>5</v>
      </c>
      <c r="B35" s="865" t="s">
        <v>755</v>
      </c>
      <c r="C35" s="865" t="s">
        <v>778</v>
      </c>
      <c r="D35" s="865" t="s">
        <v>183</v>
      </c>
      <c r="E35" s="1041">
        <v>1</v>
      </c>
      <c r="F35" s="1054" t="s">
        <v>777</v>
      </c>
      <c r="H35" s="1014">
        <v>3</v>
      </c>
      <c r="I35" s="1037">
        <f t="shared" si="3"/>
        <v>0</v>
      </c>
      <c r="J35" s="1038">
        <f t="shared" si="4"/>
        <v>1</v>
      </c>
      <c r="K35" s="1039">
        <f t="shared" si="5"/>
        <v>0</v>
      </c>
    </row>
    <row r="36" spans="1:11" ht="14.4">
      <c r="A36" s="865">
        <v>6</v>
      </c>
      <c r="B36" s="865" t="s">
        <v>755</v>
      </c>
      <c r="C36" s="865" t="s">
        <v>776</v>
      </c>
      <c r="D36" s="865" t="s">
        <v>740</v>
      </c>
      <c r="E36" s="1040">
        <f>E35*$E$60</f>
        <v>78.540000000000006</v>
      </c>
      <c r="H36" s="1014">
        <v>4</v>
      </c>
      <c r="I36" s="1037">
        <f t="shared" si="3"/>
        <v>0</v>
      </c>
      <c r="J36" s="1038">
        <f t="shared" si="4"/>
        <v>1</v>
      </c>
      <c r="K36" s="1039">
        <f t="shared" si="5"/>
        <v>0</v>
      </c>
    </row>
    <row r="37" spans="1:11" ht="14.4">
      <c r="A37" s="865">
        <v>7</v>
      </c>
      <c r="B37" s="865" t="s">
        <v>755</v>
      </c>
      <c r="C37" s="865" t="s">
        <v>775</v>
      </c>
      <c r="D37" s="865" t="s">
        <v>740</v>
      </c>
      <c r="E37" s="1040">
        <f>SUM(E36,E34)</f>
        <v>199.04000000000002</v>
      </c>
      <c r="H37" s="1014">
        <v>5</v>
      </c>
      <c r="I37" s="1037">
        <f t="shared" si="3"/>
        <v>0</v>
      </c>
      <c r="J37" s="1038">
        <f t="shared" si="4"/>
        <v>1</v>
      </c>
      <c r="K37" s="1039">
        <f t="shared" si="5"/>
        <v>0</v>
      </c>
    </row>
    <row r="38" spans="1:11" ht="14.4">
      <c r="A38" s="865">
        <v>8</v>
      </c>
      <c r="B38" s="865" t="s">
        <v>755</v>
      </c>
      <c r="C38" s="865" t="s">
        <v>774</v>
      </c>
      <c r="D38" s="865" t="s">
        <v>773</v>
      </c>
      <c r="E38" s="865">
        <v>4043</v>
      </c>
      <c r="H38" s="1014">
        <v>6</v>
      </c>
      <c r="I38" s="1037">
        <f t="shared" si="3"/>
        <v>0.10220483077859088</v>
      </c>
      <c r="J38" s="1038">
        <f t="shared" si="4"/>
        <v>0.89779516922140912</v>
      </c>
      <c r="K38" s="1039">
        <f t="shared" si="5"/>
        <v>227.41001692752127</v>
      </c>
    </row>
    <row r="39" spans="1:11" ht="14.4">
      <c r="A39" s="865">
        <v>9</v>
      </c>
      <c r="B39" s="865" t="s">
        <v>755</v>
      </c>
      <c r="C39" s="865" t="s">
        <v>262</v>
      </c>
      <c r="D39" s="865" t="s">
        <v>183</v>
      </c>
      <c r="E39" s="865">
        <v>50000</v>
      </c>
      <c r="H39" s="1014">
        <v>7</v>
      </c>
      <c r="I39" s="1037">
        <f t="shared" si="3"/>
        <v>0.20440966155718177</v>
      </c>
      <c r="J39" s="1038">
        <f t="shared" si="4"/>
        <v>0.79559033844281823</v>
      </c>
      <c r="K39" s="1039">
        <f t="shared" si="5"/>
        <v>255.78003385504255</v>
      </c>
    </row>
    <row r="40" spans="1:11" ht="14.4">
      <c r="A40" s="865">
        <v>10</v>
      </c>
      <c r="B40" s="865" t="s">
        <v>755</v>
      </c>
      <c r="C40" s="865" t="s">
        <v>262</v>
      </c>
      <c r="D40" s="865" t="s">
        <v>174</v>
      </c>
      <c r="E40" s="1042">
        <f>E39/E38</f>
        <v>12.367054167697255</v>
      </c>
      <c r="H40" s="1014">
        <v>8</v>
      </c>
      <c r="I40" s="1037">
        <f t="shared" si="3"/>
        <v>0.30661449233577265</v>
      </c>
      <c r="J40" s="1038">
        <f t="shared" si="4"/>
        <v>0.69338550766422735</v>
      </c>
      <c r="K40" s="1039">
        <f t="shared" si="5"/>
        <v>284.15005078256382</v>
      </c>
    </row>
    <row r="41" spans="1:11" ht="14.4">
      <c r="A41" s="865">
        <v>11</v>
      </c>
      <c r="B41" s="865" t="s">
        <v>755</v>
      </c>
      <c r="C41" s="865" t="s">
        <v>772</v>
      </c>
      <c r="D41" s="865" t="s">
        <v>169</v>
      </c>
      <c r="E41" s="1043">
        <v>0.75</v>
      </c>
      <c r="F41" s="1054" t="s">
        <v>771</v>
      </c>
      <c r="H41" s="1014">
        <v>9</v>
      </c>
      <c r="I41" s="1037">
        <f t="shared" si="3"/>
        <v>0.40881932311436353</v>
      </c>
      <c r="J41" s="1038">
        <f t="shared" si="4"/>
        <v>0.59118067688563647</v>
      </c>
      <c r="K41" s="1039">
        <f t="shared" si="5"/>
        <v>312.52006771008507</v>
      </c>
    </row>
    <row r="42" spans="1:11" ht="14.4">
      <c r="A42" s="865">
        <v>12</v>
      </c>
      <c r="B42" s="865" t="s">
        <v>755</v>
      </c>
      <c r="C42" s="865" t="s">
        <v>770</v>
      </c>
      <c r="D42" s="865" t="s">
        <v>183</v>
      </c>
      <c r="E42" s="1044">
        <f>E43*E38</f>
        <v>37500</v>
      </c>
      <c r="H42" s="1014">
        <v>10</v>
      </c>
      <c r="I42" s="1037">
        <f t="shared" si="3"/>
        <v>0.51102415389295441</v>
      </c>
      <c r="J42" s="1038">
        <f t="shared" si="4"/>
        <v>0.48897584610704559</v>
      </c>
      <c r="K42" s="1039">
        <f t="shared" si="5"/>
        <v>340.89008463760632</v>
      </c>
    </row>
    <row r="43" spans="1:11" ht="14.4">
      <c r="A43" s="865">
        <v>13</v>
      </c>
      <c r="B43" s="865" t="s">
        <v>755</v>
      </c>
      <c r="C43" s="865" t="s">
        <v>769</v>
      </c>
      <c r="D43" s="865" t="s">
        <v>174</v>
      </c>
      <c r="E43" s="1042">
        <f>E41*E40</f>
        <v>9.2752906257729411</v>
      </c>
      <c r="H43" s="1014">
        <v>11</v>
      </c>
      <c r="I43" s="1037">
        <f t="shared" si="3"/>
        <v>0.6132289846715453</v>
      </c>
      <c r="J43" s="1038">
        <f t="shared" si="4"/>
        <v>0.3867710153284547</v>
      </c>
      <c r="K43" s="1039">
        <f t="shared" si="5"/>
        <v>369.26010156512757</v>
      </c>
    </row>
    <row r="44" spans="1:11" ht="14.4">
      <c r="A44" s="865">
        <v>14</v>
      </c>
      <c r="B44" s="865" t="s">
        <v>755</v>
      </c>
      <c r="C44" s="865" t="s">
        <v>768</v>
      </c>
      <c r="D44" s="865" t="s">
        <v>174</v>
      </c>
      <c r="E44" s="865">
        <v>5</v>
      </c>
      <c r="H44" s="1014">
        <v>12</v>
      </c>
      <c r="I44" s="1037">
        <f t="shared" si="3"/>
        <v>0.71543381545013618</v>
      </c>
      <c r="J44" s="1038">
        <f t="shared" si="4"/>
        <v>0.28456618454986382</v>
      </c>
      <c r="K44" s="1039">
        <f t="shared" si="5"/>
        <v>397.63011849264888</v>
      </c>
    </row>
    <row r="45" spans="1:11" ht="28.8">
      <c r="A45" s="865">
        <v>15</v>
      </c>
      <c r="B45" s="865" t="s">
        <v>755</v>
      </c>
      <c r="C45" s="865" t="s">
        <v>767</v>
      </c>
      <c r="D45" s="865" t="s">
        <v>169</v>
      </c>
      <c r="E45" s="1046">
        <v>0.10</v>
      </c>
      <c r="F45" s="1054" t="s">
        <v>1738</v>
      </c>
      <c r="H45" s="1014">
        <v>13</v>
      </c>
      <c r="I45" s="1037">
        <f t="shared" si="3"/>
        <v>0.81763864622872706</v>
      </c>
      <c r="J45" s="1038">
        <f t="shared" si="4"/>
        <v>0.18236135377127294</v>
      </c>
      <c r="K45" s="1039">
        <f t="shared" si="5"/>
        <v>0</v>
      </c>
    </row>
    <row r="46" spans="1:11" ht="14.4">
      <c r="A46" s="865">
        <v>16</v>
      </c>
      <c r="B46" s="865" t="s">
        <v>755</v>
      </c>
      <c r="C46" s="865" t="s">
        <v>766</v>
      </c>
      <c r="D46" s="865" t="s">
        <v>183</v>
      </c>
      <c r="E46" s="865">
        <v>2</v>
      </c>
      <c r="F46" s="1054" t="s">
        <v>765</v>
      </c>
      <c r="H46" s="1014">
        <v>14</v>
      </c>
      <c r="I46" s="1037">
        <f t="shared" si="3"/>
        <v>0.91984347700731794</v>
      </c>
      <c r="J46" s="1038">
        <f t="shared" si="4"/>
        <v>0.080156522992682055</v>
      </c>
      <c r="K46" s="1039">
        <f t="shared" si="5"/>
        <v>0</v>
      </c>
    </row>
    <row r="47" spans="1:11" ht="14.4">
      <c r="A47" s="865">
        <v>17</v>
      </c>
      <c r="B47" s="865" t="s">
        <v>755</v>
      </c>
      <c r="C47" s="865" t="str">
        <f>"Early Failure "&amp;C36</f>
        <v>Early Failure Labor Cost to Install</v>
      </c>
      <c r="D47" s="865" t="s">
        <v>740</v>
      </c>
      <c r="E47" s="1048">
        <f>E46*$E$60</f>
        <v>157.08000000000001</v>
      </c>
      <c r="H47" s="1014">
        <v>15</v>
      </c>
      <c r="I47" s="1037">
        <f t="shared" si="3"/>
        <v>1</v>
      </c>
      <c r="J47" s="1038">
        <f t="shared" si="4"/>
        <v>0</v>
      </c>
      <c r="K47" s="1039">
        <f t="shared" si="5"/>
        <v>0</v>
      </c>
    </row>
    <row r="48" spans="1:11" ht="14.4">
      <c r="A48" s="865">
        <v>18</v>
      </c>
      <c r="B48" s="865" t="s">
        <v>755</v>
      </c>
      <c r="C48" s="865" t="s">
        <v>764</v>
      </c>
      <c r="D48" s="865" t="s">
        <v>740</v>
      </c>
      <c r="E48" s="1048">
        <f>$D$80</f>
        <v>120.50</v>
      </c>
      <c r="H48" s="1649" t="s">
        <v>763</v>
      </c>
      <c r="I48" s="1650"/>
      <c r="J48" s="1651"/>
      <c r="K48" s="1049">
        <f>AVERAGEIFS($K$33:$K$47,$K$33:$K$47,"&gt;0")</f>
        <v>312.52006771008507</v>
      </c>
    </row>
    <row r="49" spans="1:5" ht="14.4">
      <c r="A49" s="865">
        <v>19</v>
      </c>
      <c r="B49" s="865" t="s">
        <v>755</v>
      </c>
      <c r="C49" s="865" t="str">
        <f>"Early Failure "&amp;C37</f>
        <v>Early Failure Total Installed Cost</v>
      </c>
      <c r="D49" s="865" t="s">
        <v>740</v>
      </c>
      <c r="E49" s="1048">
        <f>SUM(E47:E48)</f>
        <v>277.58000000000004</v>
      </c>
    </row>
    <row r="50" spans="1:5" ht="14.4">
      <c r="A50" s="865">
        <v>20</v>
      </c>
      <c r="B50" s="865" t="s">
        <v>755</v>
      </c>
      <c r="C50" s="865" t="s">
        <v>762</v>
      </c>
      <c r="D50" s="865" t="s">
        <v>740</v>
      </c>
      <c r="E50" s="1048">
        <f>($E$37*(1-$E$45))+($K$48*$E$45)</f>
        <v>210.38800677100852</v>
      </c>
    </row>
    <row r="51" spans="1:5" ht="14.4">
      <c r="A51" s="865">
        <v>21</v>
      </c>
      <c r="B51" s="865" t="s">
        <v>755</v>
      </c>
      <c r="C51" s="865" t="s">
        <v>761</v>
      </c>
      <c r="D51" s="865" t="s">
        <v>760</v>
      </c>
      <c r="E51" s="865">
        <f>E33*E38*10^-3</f>
        <v>161.72</v>
      </c>
    </row>
    <row r="52" spans="1:5" ht="14.4">
      <c r="A52" s="865">
        <v>22</v>
      </c>
      <c r="B52" s="865" t="s">
        <v>755</v>
      </c>
      <c r="C52" s="865" t="s">
        <v>759</v>
      </c>
      <c r="D52" s="865" t="s">
        <v>758</v>
      </c>
      <c r="E52" s="865">
        <f>E51*E40</f>
        <v>2000</v>
      </c>
    </row>
    <row r="53" spans="1:5" ht="14.4">
      <c r="A53" s="865">
        <v>23</v>
      </c>
      <c r="B53" s="865" t="s">
        <v>755</v>
      </c>
      <c r="C53" s="865" t="s">
        <v>757</v>
      </c>
      <c r="D53" s="865" t="s">
        <v>756</v>
      </c>
      <c r="E53" s="1050">
        <f>E51/12</f>
        <v>13.476666666666667</v>
      </c>
    </row>
    <row r="54" spans="1:5" ht="14.4">
      <c r="A54" s="865">
        <v>24</v>
      </c>
      <c r="B54" s="865" t="s">
        <v>755</v>
      </c>
      <c r="C54" s="865" t="s">
        <v>754</v>
      </c>
      <c r="D54" s="865" t="s">
        <v>753</v>
      </c>
      <c r="E54" s="1040">
        <v>6.90</v>
      </c>
    </row>
    <row r="55" ht="14.4"/>
    <row r="56" spans="3:5" ht="14.4">
      <c r="C56" s="865" t="s">
        <v>697</v>
      </c>
      <c r="D56" s="865" t="s">
        <v>752</v>
      </c>
      <c r="E56" s="1048">
        <f>E50-E22</f>
        <v>20.74836673804316</v>
      </c>
    </row>
    <row r="57" spans="3:5" ht="14.4">
      <c r="C57" s="865" t="s">
        <v>751</v>
      </c>
      <c r="D57" s="865" t="s">
        <v>750</v>
      </c>
      <c r="E57" s="1048">
        <f>E50-E23</f>
        <v>-421.74412667220935</v>
      </c>
    </row>
    <row r="58" ht="14.4"/>
    <row r="59" spans="2:5" ht="14.4">
      <c r="B59" s="865" t="s">
        <v>745</v>
      </c>
      <c r="C59" s="865" t="s">
        <v>749</v>
      </c>
      <c r="D59" s="865" t="s">
        <v>748</v>
      </c>
      <c r="E59" s="865">
        <v>2000</v>
      </c>
    </row>
    <row r="60" spans="2:5" ht="14.4">
      <c r="B60" s="865" t="s">
        <v>745</v>
      </c>
      <c r="C60" s="865" t="s">
        <v>747</v>
      </c>
      <c r="D60" s="865" t="s">
        <v>746</v>
      </c>
      <c r="E60" s="1040">
        <v>78.540000000000006</v>
      </c>
    </row>
    <row r="61" spans="2:5" ht="14.4">
      <c r="B61" s="865" t="s">
        <v>745</v>
      </c>
      <c r="C61" s="865" t="s">
        <v>744</v>
      </c>
      <c r="D61" s="865" t="s">
        <v>743</v>
      </c>
      <c r="E61" s="1041">
        <v>1</v>
      </c>
    </row>
    <row r="62" ht="14.4"/>
    <row r="63" spans="2:6" ht="14.4">
      <c r="B63" s="865" t="s">
        <v>742</v>
      </c>
      <c r="C63" s="865" t="s">
        <v>741</v>
      </c>
      <c r="D63" s="865" t="s">
        <v>740</v>
      </c>
      <c r="E63" s="1040">
        <v>35</v>
      </c>
      <c r="F63" s="1054" t="s">
        <v>739</v>
      </c>
    </row>
    <row r="64" ht="14.4"/>
    <row r="65" ht="14.4">
      <c r="B65" s="865" t="s">
        <v>738</v>
      </c>
    </row>
    <row r="66" spans="2:3" ht="14.4">
      <c r="B66" s="865" t="s">
        <v>737</v>
      </c>
      <c r="C66" s="1040">
        <v>115</v>
      </c>
    </row>
    <row r="67" spans="2:3" ht="14.4">
      <c r="B67" s="865" t="s">
        <v>736</v>
      </c>
      <c r="C67" s="1040">
        <v>15</v>
      </c>
    </row>
    <row r="68" spans="2:3" ht="14.4">
      <c r="B68" s="865" t="s">
        <v>735</v>
      </c>
      <c r="C68" s="1040">
        <v>5.50</v>
      </c>
    </row>
    <row r="69" spans="2:3" ht="14.4">
      <c r="B69" s="865" t="s">
        <v>734</v>
      </c>
      <c r="C69" s="1048">
        <f>SUM(C66,C68)</f>
        <v>120.50</v>
      </c>
    </row>
    <row r="70" ht="14.4"/>
    <row r="71" ht="14.4">
      <c r="B71" s="865" t="s">
        <v>733</v>
      </c>
    </row>
    <row r="72" spans="2:4" ht="14.4">
      <c r="B72" s="865" t="s">
        <v>718</v>
      </c>
      <c r="C72" s="1046">
        <v>0.30</v>
      </c>
      <c r="D72" s="865" t="s">
        <v>717</v>
      </c>
    </row>
    <row r="73" spans="2:4" ht="14.4">
      <c r="B73" s="865" t="s">
        <v>716</v>
      </c>
      <c r="C73" s="1046">
        <v>0.70</v>
      </c>
      <c r="D73" s="865" t="s">
        <v>715</v>
      </c>
    </row>
    <row r="74" ht="14.4"/>
    <row r="75" spans="2:4" ht="14.4">
      <c r="B75" s="865" t="s">
        <v>732</v>
      </c>
      <c r="C75" s="865" t="s">
        <v>731</v>
      </c>
      <c r="D75" s="865" t="s">
        <v>723</v>
      </c>
    </row>
    <row r="76" spans="2:5" ht="14.4">
      <c r="B76" s="865" t="s">
        <v>730</v>
      </c>
      <c r="C76" s="865" t="s">
        <v>721</v>
      </c>
      <c r="D76" s="865" t="s">
        <v>721</v>
      </c>
      <c r="E76" s="865" t="s">
        <v>78</v>
      </c>
    </row>
    <row r="77" spans="2:4" ht="14.4">
      <c r="B77" s="865" t="s">
        <v>729</v>
      </c>
      <c r="C77" s="1040">
        <f>C80-SUM(C78:C79)</f>
        <v>61.50</v>
      </c>
      <c r="D77" s="1040" t="s">
        <v>200</v>
      </c>
    </row>
    <row r="78" spans="2:5" ht="14.4">
      <c r="B78" s="865" t="s">
        <v>116</v>
      </c>
      <c r="C78" s="1040">
        <v>11</v>
      </c>
      <c r="D78" s="1040">
        <f>$C$66</f>
        <v>115</v>
      </c>
      <c r="E78" s="865" t="s">
        <v>728</v>
      </c>
    </row>
    <row r="79" spans="2:5" ht="14.4">
      <c r="B79" s="865" t="s">
        <v>727</v>
      </c>
      <c r="C79" s="1040">
        <v>5.50</v>
      </c>
      <c r="D79" s="1040">
        <f>$C$68</f>
        <v>5.50</v>
      </c>
      <c r="E79" s="865" t="s">
        <v>726</v>
      </c>
    </row>
    <row r="80" spans="2:4" ht="14.4">
      <c r="B80" s="865" t="s">
        <v>131</v>
      </c>
      <c r="C80" s="1040">
        <f>$E$6</f>
        <v>78</v>
      </c>
      <c r="D80" s="1040">
        <f>SUM(D77:D79)</f>
        <v>120.50</v>
      </c>
    </row>
    <row r="81" ht="14.4"/>
    <row r="82" spans="2:4" ht="14.4">
      <c r="B82" s="865" t="s">
        <v>725</v>
      </c>
      <c r="C82" s="865" t="s">
        <v>724</v>
      </c>
      <c r="D82" s="865" t="s">
        <v>723</v>
      </c>
    </row>
    <row r="83" spans="2:5" ht="14.4">
      <c r="B83" s="865" t="s">
        <v>722</v>
      </c>
      <c r="C83" s="865" t="s">
        <v>721</v>
      </c>
      <c r="D83" s="865" t="s">
        <v>721</v>
      </c>
      <c r="E83" s="865" t="s">
        <v>192</v>
      </c>
    </row>
    <row r="84" spans="2:5" ht="14.4">
      <c r="B84" s="865">
        <v>2</v>
      </c>
      <c r="C84" s="1048">
        <f>B84*$E$60</f>
        <v>157.08000000000001</v>
      </c>
      <c r="E84" s="865" t="s">
        <v>717</v>
      </c>
    </row>
    <row r="85" spans="2:5" ht="14.4">
      <c r="B85" s="865">
        <v>1</v>
      </c>
      <c r="C85" s="1048">
        <f>B85*$E$60</f>
        <v>78.540000000000006</v>
      </c>
      <c r="E85" s="865" t="s">
        <v>715</v>
      </c>
    </row>
    <row r="86" spans="2:5" ht="14.4">
      <c r="B86" s="1041">
        <f>(B84*$C$72)+(B85*$C$73)</f>
        <v>1.2999999999999998</v>
      </c>
      <c r="C86" s="1048">
        <f>(C84*$C$72)+(C85*$C$73)</f>
        <v>102.102</v>
      </c>
      <c r="E86" s="865" t="s">
        <v>720</v>
      </c>
    </row>
    <row r="87" ht="14.4"/>
    <row r="88" ht="14.4">
      <c r="B88" s="865" t="s">
        <v>719</v>
      </c>
    </row>
    <row r="89" spans="2:4" ht="14.4">
      <c r="B89" s="865" t="s">
        <v>718</v>
      </c>
      <c r="C89" s="1048">
        <f>SUM(C80)</f>
        <v>78</v>
      </c>
      <c r="D89" s="865" t="s">
        <v>717</v>
      </c>
    </row>
    <row r="90" spans="2:4" ht="14.4">
      <c r="B90" s="865" t="s">
        <v>716</v>
      </c>
      <c r="C90" s="1048">
        <f>SUM(C78:C79)</f>
        <v>16.50</v>
      </c>
      <c r="D90" s="865" t="s">
        <v>715</v>
      </c>
    </row>
    <row r="91" spans="2:4" ht="14.4">
      <c r="B91" s="865" t="s">
        <v>714</v>
      </c>
      <c r="C91" s="1048">
        <f>(C89*$C$72)+(C90*$C$73)</f>
        <v>34.949999999999996</v>
      </c>
      <c r="D91" s="865" t="s">
        <v>713</v>
      </c>
    </row>
    <row r="92" ht="14.4"/>
    <row r="93" ht="14.4">
      <c r="C93" s="1052"/>
    </row>
    <row r="94" ht="14.4">
      <c r="C94" s="865" t="s">
        <v>712</v>
      </c>
    </row>
    <row r="95" ht="14.4">
      <c r="B95" s="1033" t="s">
        <v>859</v>
      </c>
    </row>
    <row r="96" spans="2:3" ht="14.4">
      <c r="B96" s="1040">
        <v>6.64</v>
      </c>
      <c r="C96" s="865" t="s">
        <v>711</v>
      </c>
    </row>
    <row r="97" spans="2:3" ht="14.4">
      <c r="B97" s="1040">
        <f>B96*12</f>
        <v>79.679999999999993</v>
      </c>
      <c r="C97" s="865" t="s">
        <v>710</v>
      </c>
    </row>
  </sheetData>
  <mergeCells count="2">
    <mergeCell ref="H20:J20"/>
    <mergeCell ref="H48:J48"/>
  </mergeCells>
  <pageMargins left="0.7" right="0.7" top="0.75" bottom="0.75" header="0.3" footer="0.3"/>
  <pageSetup orientation="portrait"/>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7" tint="0.39998"/>
  </sheetPr>
  <dimension ref="A1:K97"/>
  <sheetViews>
    <sheetView zoomScale="70" zoomScaleNormal="70" workbookViewId="0" topLeftCell="A1"/>
  </sheetViews>
  <sheetFormatPr defaultColWidth="8.77734375" defaultRowHeight="14.4"/>
  <cols>
    <col min="1" max="1" width="8.77777777777778" style="865"/>
    <col min="2" max="2" width="30.7777777777778" style="865" customWidth="1"/>
    <col min="3" max="3" width="39.2222222222222" style="865" bestFit="1" customWidth="1"/>
    <col min="4" max="4" width="43.7777777777778" style="865" bestFit="1" customWidth="1"/>
    <col min="5" max="5" width="46" style="865" bestFit="1" customWidth="1"/>
    <col min="6" max="6" width="78.5555555555556" style="865" bestFit="1" customWidth="1"/>
    <col min="7" max="7" width="8.77777777777778" style="865"/>
    <col min="8" max="8" width="10.5555555555556" style="865" customWidth="1"/>
    <col min="9" max="9" width="31.7777777777778" style="865" bestFit="1" customWidth="1"/>
    <col min="10" max="10" width="19.5555555555556" style="865" bestFit="1" customWidth="1"/>
    <col min="11" max="11" width="23.7777777777778" style="865" bestFit="1" customWidth="1"/>
    <col min="12" max="16384" width="8.77777777777778" style="865"/>
  </cols>
  <sheetData>
    <row r="1" ht="14.4">
      <c r="B1" s="1032" t="s">
        <v>1739</v>
      </c>
    </row>
    <row r="2" spans="1:8" ht="14.4">
      <c r="A2" s="1033" t="s">
        <v>789</v>
      </c>
      <c r="B2" s="1033" t="s">
        <v>788</v>
      </c>
      <c r="C2" s="1033" t="s">
        <v>192</v>
      </c>
      <c r="D2" s="1033" t="s">
        <v>195</v>
      </c>
      <c r="E2" s="1033" t="s">
        <v>194</v>
      </c>
      <c r="F2" s="1033" t="s">
        <v>78</v>
      </c>
      <c r="H2" s="1033" t="s">
        <v>787</v>
      </c>
    </row>
    <row r="3" spans="1:8" ht="14.4">
      <c r="A3" s="865">
        <v>1</v>
      </c>
      <c r="B3" s="865" t="s">
        <v>793</v>
      </c>
      <c r="C3" s="865" t="s">
        <v>786</v>
      </c>
      <c r="D3" s="865" t="s">
        <v>185</v>
      </c>
      <c r="E3" s="865">
        <v>100</v>
      </c>
      <c r="H3" s="1034">
        <f>1-EXP(-$E$10/$E$14)</f>
        <v>0.30188942913059769</v>
      </c>
    </row>
    <row r="4" spans="1:11" ht="14.4">
      <c r="A4" s="865">
        <v>2</v>
      </c>
      <c r="B4" s="865" t="s">
        <v>793</v>
      </c>
      <c r="C4" s="865" t="s">
        <v>785</v>
      </c>
      <c r="D4" s="865" t="s">
        <v>185</v>
      </c>
      <c r="E4" s="865">
        <v>38</v>
      </c>
      <c r="H4" s="1035" t="s">
        <v>784</v>
      </c>
      <c r="I4" s="1035" t="s">
        <v>783</v>
      </c>
      <c r="J4" s="1036" t="s">
        <v>782</v>
      </c>
      <c r="K4" s="1035" t="s">
        <v>775</v>
      </c>
    </row>
    <row r="5" spans="1:11" ht="14.4">
      <c r="A5" s="865">
        <v>3</v>
      </c>
      <c r="B5" s="865" t="s">
        <v>793</v>
      </c>
      <c r="C5" s="865" t="s">
        <v>781</v>
      </c>
      <c r="D5" s="865" t="s">
        <v>185</v>
      </c>
      <c r="E5" s="865">
        <f>SUM(E3:E4)</f>
        <v>138</v>
      </c>
      <c r="F5" s="865" t="s">
        <v>1737</v>
      </c>
      <c r="H5" s="1014">
        <v>1</v>
      </c>
      <c r="I5" s="1037">
        <f t="shared" si="0" ref="I5:I19">IF(H5*$H$3&gt;=100%,100%,H5*$H$3)</f>
        <v>0.30188942913059769</v>
      </c>
      <c r="J5" s="1038">
        <f t="shared" si="1" ref="J5:J19">1-I5</f>
        <v>0.69811057086940231</v>
      </c>
      <c r="K5" s="1039">
        <f t="shared" si="2" ref="K5:K19">IF($H5&gt;=$E$12,0,$E$9+($E$21*$I5))</f>
        <v>197.9145500412067</v>
      </c>
    </row>
    <row r="6" spans="1:11" ht="14.4">
      <c r="A6" s="865">
        <v>4</v>
      </c>
      <c r="B6" s="865" t="s">
        <v>793</v>
      </c>
      <c r="C6" s="865" t="s">
        <v>780</v>
      </c>
      <c r="D6" s="865" t="s">
        <v>740</v>
      </c>
      <c r="E6" s="1040">
        <v>78</v>
      </c>
      <c r="F6" s="865" t="s">
        <v>779</v>
      </c>
      <c r="H6" s="1014">
        <v>2</v>
      </c>
      <c r="I6" s="1037">
        <f t="shared" si="0"/>
        <v>0.60377885826119537</v>
      </c>
      <c r="J6" s="1038">
        <f t="shared" si="1"/>
        <v>0.39622114173880463</v>
      </c>
      <c r="K6" s="1039">
        <f t="shared" si="2"/>
        <v>239.28910008241337</v>
      </c>
    </row>
    <row r="7" spans="1:11" ht="14.4">
      <c r="A7" s="865">
        <v>5</v>
      </c>
      <c r="B7" s="865" t="s">
        <v>793</v>
      </c>
      <c r="C7" s="865" t="s">
        <v>778</v>
      </c>
      <c r="D7" s="865" t="s">
        <v>183</v>
      </c>
      <c r="E7" s="1041">
        <v>1</v>
      </c>
      <c r="H7" s="1014">
        <v>3</v>
      </c>
      <c r="I7" s="1037">
        <f t="shared" si="0"/>
        <v>0.90566828739179306</v>
      </c>
      <c r="J7" s="1038">
        <f t="shared" si="1"/>
        <v>0.094331712608206941</v>
      </c>
      <c r="K7" s="1039">
        <f t="shared" si="2"/>
        <v>280.66365012362002</v>
      </c>
    </row>
    <row r="8" spans="1:11" ht="14.4">
      <c r="A8" s="865">
        <v>6</v>
      </c>
      <c r="B8" s="865" t="s">
        <v>793</v>
      </c>
      <c r="C8" s="865" t="s">
        <v>776</v>
      </c>
      <c r="D8" s="865" t="s">
        <v>740</v>
      </c>
      <c r="E8" s="1040">
        <f>E7*$E$60</f>
        <v>78.540000000000006</v>
      </c>
      <c r="H8" s="1014">
        <v>4</v>
      </c>
      <c r="I8" s="1037">
        <f t="shared" si="0"/>
        <v>1</v>
      </c>
      <c r="J8" s="1038">
        <f t="shared" si="1"/>
        <v>0</v>
      </c>
      <c r="K8" s="1039">
        <f t="shared" si="2"/>
        <v>0</v>
      </c>
    </row>
    <row r="9" spans="1:11" ht="14.4">
      <c r="A9" s="865">
        <v>7</v>
      </c>
      <c r="B9" s="865" t="s">
        <v>793</v>
      </c>
      <c r="C9" s="865" t="s">
        <v>775</v>
      </c>
      <c r="D9" s="865" t="s">
        <v>740</v>
      </c>
      <c r="E9" s="1040">
        <f>SUM(E8,E6)</f>
        <v>156.54000000000002</v>
      </c>
      <c r="H9" s="1014">
        <v>5</v>
      </c>
      <c r="I9" s="1037">
        <f t="shared" si="0"/>
        <v>1</v>
      </c>
      <c r="J9" s="1038">
        <f t="shared" si="1"/>
        <v>0</v>
      </c>
      <c r="K9" s="1039">
        <f t="shared" si="2"/>
        <v>0</v>
      </c>
    </row>
    <row r="10" spans="1:11" ht="14.4">
      <c r="A10" s="865">
        <v>8</v>
      </c>
      <c r="B10" s="865" t="s">
        <v>793</v>
      </c>
      <c r="C10" s="865" t="s">
        <v>774</v>
      </c>
      <c r="D10" s="865" t="s">
        <v>773</v>
      </c>
      <c r="E10" s="865">
        <v>4043</v>
      </c>
      <c r="H10" s="1014">
        <v>6</v>
      </c>
      <c r="I10" s="1037">
        <f t="shared" si="0"/>
        <v>1</v>
      </c>
      <c r="J10" s="1038">
        <f t="shared" si="1"/>
        <v>0</v>
      </c>
      <c r="K10" s="1039">
        <f t="shared" si="2"/>
        <v>0</v>
      </c>
    </row>
    <row r="11" spans="1:11" ht="14.4">
      <c r="A11" s="865">
        <v>9</v>
      </c>
      <c r="B11" s="865" t="s">
        <v>793</v>
      </c>
      <c r="C11" s="865" t="s">
        <v>262</v>
      </c>
      <c r="D11" s="865" t="s">
        <v>183</v>
      </c>
      <c r="E11" s="865">
        <v>15000</v>
      </c>
      <c r="H11" s="1014">
        <v>7</v>
      </c>
      <c r="I11" s="1037">
        <f t="shared" si="0"/>
        <v>1</v>
      </c>
      <c r="J11" s="1038">
        <f t="shared" si="1"/>
        <v>0</v>
      </c>
      <c r="K11" s="1039">
        <f t="shared" si="2"/>
        <v>0</v>
      </c>
    </row>
    <row r="12" spans="1:11" ht="14.4">
      <c r="A12" s="865">
        <v>10</v>
      </c>
      <c r="B12" s="865" t="s">
        <v>793</v>
      </c>
      <c r="C12" s="865" t="s">
        <v>262</v>
      </c>
      <c r="D12" s="865" t="s">
        <v>174</v>
      </c>
      <c r="E12" s="1042">
        <f>E11/E10</f>
        <v>3.7101162503091762</v>
      </c>
      <c r="H12" s="1014">
        <v>8</v>
      </c>
      <c r="I12" s="1037">
        <f t="shared" si="0"/>
        <v>1</v>
      </c>
      <c r="J12" s="1038">
        <f t="shared" si="1"/>
        <v>0</v>
      </c>
      <c r="K12" s="1039">
        <f t="shared" si="2"/>
        <v>0</v>
      </c>
    </row>
    <row r="13" spans="1:11" ht="14.4">
      <c r="A13" s="865">
        <v>11</v>
      </c>
      <c r="B13" s="865" t="s">
        <v>793</v>
      </c>
      <c r="C13" s="865" t="s">
        <v>772</v>
      </c>
      <c r="D13" s="865" t="s">
        <v>169</v>
      </c>
      <c r="E13" s="1043">
        <v>0.75</v>
      </c>
      <c r="F13" s="865" t="s">
        <v>797</v>
      </c>
      <c r="H13" s="1014">
        <v>9</v>
      </c>
      <c r="I13" s="1037">
        <f t="shared" si="0"/>
        <v>1</v>
      </c>
      <c r="J13" s="1038">
        <f t="shared" si="1"/>
        <v>0</v>
      </c>
      <c r="K13" s="1039">
        <f t="shared" si="2"/>
        <v>0</v>
      </c>
    </row>
    <row r="14" spans="1:11" ht="14.4">
      <c r="A14" s="865">
        <v>12</v>
      </c>
      <c r="B14" s="865" t="s">
        <v>793</v>
      </c>
      <c r="C14" s="865" t="s">
        <v>770</v>
      </c>
      <c r="D14" s="865" t="s">
        <v>183</v>
      </c>
      <c r="E14" s="1044">
        <f>E15*E10</f>
        <v>11249.999999999998</v>
      </c>
      <c r="H14" s="1014">
        <v>10</v>
      </c>
      <c r="I14" s="1037">
        <f t="shared" si="0"/>
        <v>1</v>
      </c>
      <c r="J14" s="1038">
        <f t="shared" si="1"/>
        <v>0</v>
      </c>
      <c r="K14" s="1039">
        <f t="shared" si="2"/>
        <v>0</v>
      </c>
    </row>
    <row r="15" spans="1:11" ht="14.4">
      <c r="A15" s="865">
        <v>13</v>
      </c>
      <c r="B15" s="865" t="s">
        <v>793</v>
      </c>
      <c r="C15" s="865" t="s">
        <v>769</v>
      </c>
      <c r="D15" s="865" t="s">
        <v>174</v>
      </c>
      <c r="E15" s="1042">
        <f>E13*E12</f>
        <v>2.782587187731882</v>
      </c>
      <c r="H15" s="1014">
        <v>11</v>
      </c>
      <c r="I15" s="1037">
        <f t="shared" si="0"/>
        <v>1</v>
      </c>
      <c r="J15" s="1038">
        <f t="shared" si="1"/>
        <v>0</v>
      </c>
      <c r="K15" s="1039">
        <f t="shared" si="2"/>
        <v>0</v>
      </c>
    </row>
    <row r="16" spans="1:11" ht="14.4">
      <c r="A16" s="865">
        <v>14</v>
      </c>
      <c r="B16" s="865" t="s">
        <v>793</v>
      </c>
      <c r="C16" s="865" t="s">
        <v>768</v>
      </c>
      <c r="D16" s="865" t="s">
        <v>174</v>
      </c>
      <c r="E16" s="1045" t="s">
        <v>200</v>
      </c>
      <c r="H16" s="1014">
        <v>12</v>
      </c>
      <c r="I16" s="1037">
        <f t="shared" si="0"/>
        <v>1</v>
      </c>
      <c r="J16" s="1038">
        <f t="shared" si="1"/>
        <v>0</v>
      </c>
      <c r="K16" s="1039">
        <f t="shared" si="2"/>
        <v>0</v>
      </c>
    </row>
    <row r="17" spans="1:11" ht="14.4">
      <c r="A17" s="865">
        <v>15</v>
      </c>
      <c r="B17" s="865" t="s">
        <v>793</v>
      </c>
      <c r="C17" s="865" t="s">
        <v>767</v>
      </c>
      <c r="D17" s="865" t="s">
        <v>169</v>
      </c>
      <c r="E17" s="1046">
        <v>0.40</v>
      </c>
      <c r="H17" s="1014">
        <v>13</v>
      </c>
      <c r="I17" s="1037">
        <f t="shared" si="0"/>
        <v>1</v>
      </c>
      <c r="J17" s="1038">
        <f t="shared" si="1"/>
        <v>0</v>
      </c>
      <c r="K17" s="1039">
        <f t="shared" si="2"/>
        <v>0</v>
      </c>
    </row>
    <row r="18" spans="1:11" ht="14.4">
      <c r="A18" s="865">
        <v>16</v>
      </c>
      <c r="B18" s="865" t="s">
        <v>793</v>
      </c>
      <c r="C18" s="865" t="s">
        <v>766</v>
      </c>
      <c r="D18" s="865" t="s">
        <v>183</v>
      </c>
      <c r="E18" s="1047">
        <f>$B$86</f>
        <v>1.2999999999999998</v>
      </c>
      <c r="H18" s="1014">
        <v>14</v>
      </c>
      <c r="I18" s="1037">
        <f t="shared" si="0"/>
        <v>1</v>
      </c>
      <c r="J18" s="1038">
        <f t="shared" si="1"/>
        <v>0</v>
      </c>
      <c r="K18" s="1039">
        <f t="shared" si="2"/>
        <v>0</v>
      </c>
    </row>
    <row r="19" spans="1:11" ht="14.4">
      <c r="A19" s="865">
        <v>17</v>
      </c>
      <c r="B19" s="865" t="s">
        <v>793</v>
      </c>
      <c r="C19" s="865" t="str">
        <f>"Early Failure "&amp;C8</f>
        <v>Early Failure Labor Cost to Install</v>
      </c>
      <c r="D19" s="865" t="s">
        <v>740</v>
      </c>
      <c r="E19" s="1048">
        <f>E18*$E$60</f>
        <v>102.10199999999999</v>
      </c>
      <c r="H19" s="1014">
        <v>15</v>
      </c>
      <c r="I19" s="1037">
        <f t="shared" si="0"/>
        <v>1</v>
      </c>
      <c r="J19" s="1038">
        <f t="shared" si="1"/>
        <v>0</v>
      </c>
      <c r="K19" s="1039">
        <f t="shared" si="2"/>
        <v>0</v>
      </c>
    </row>
    <row r="20" spans="1:11" ht="14.4">
      <c r="A20" s="865">
        <v>18</v>
      </c>
      <c r="B20" s="865" t="s">
        <v>793</v>
      </c>
      <c r="C20" s="865" t="s">
        <v>764</v>
      </c>
      <c r="D20" s="865" t="s">
        <v>740</v>
      </c>
      <c r="E20" s="1048">
        <f>$C$91</f>
        <v>34.949999999999996</v>
      </c>
      <c r="H20" s="1636" t="s">
        <v>763</v>
      </c>
      <c r="I20" s="1636"/>
      <c r="J20" s="1636"/>
      <c r="K20" s="1049">
        <f>AVERAGEIFS($K$5:$K$19,$K$5:$K$19,"&gt;0")</f>
        <v>239.28910008241337</v>
      </c>
    </row>
    <row r="21" spans="1:5" ht="14.4">
      <c r="A21" s="865">
        <v>19</v>
      </c>
      <c r="B21" s="865" t="s">
        <v>793</v>
      </c>
      <c r="C21" s="865" t="str">
        <f>"Early Failure "&amp;C9</f>
        <v>Early Failure Total Installed Cost</v>
      </c>
      <c r="D21" s="865" t="s">
        <v>740</v>
      </c>
      <c r="E21" s="1048">
        <f>SUM(E19:E20)</f>
        <v>137.05199999999999</v>
      </c>
    </row>
    <row r="22" spans="1:5" ht="14.4">
      <c r="A22" s="865">
        <v>20</v>
      </c>
      <c r="B22" s="865" t="s">
        <v>793</v>
      </c>
      <c r="C22" s="865" t="s">
        <v>762</v>
      </c>
      <c r="D22" s="865" t="s">
        <v>740</v>
      </c>
      <c r="E22" s="1048">
        <f>($E$9*(1-$E$17))+($K$20*$E$17)</f>
        <v>189.63964003296536</v>
      </c>
    </row>
    <row r="23" spans="1:6" ht="14.4">
      <c r="A23" s="865">
        <v>21</v>
      </c>
      <c r="B23" s="865" t="s">
        <v>793</v>
      </c>
      <c r="C23" s="865" t="s">
        <v>796</v>
      </c>
      <c r="D23" s="865" t="s">
        <v>795</v>
      </c>
      <c r="E23" s="1048">
        <f>(E40/E12)*E22</f>
        <v>632.13213344321787</v>
      </c>
      <c r="F23" s="865" t="s">
        <v>794</v>
      </c>
    </row>
    <row r="24" spans="1:5" ht="14.4">
      <c r="A24" s="865">
        <v>22</v>
      </c>
      <c r="B24" s="865" t="s">
        <v>793</v>
      </c>
      <c r="C24" s="865" t="s">
        <v>761</v>
      </c>
      <c r="D24" s="865" t="s">
        <v>760</v>
      </c>
      <c r="E24" s="865">
        <f>E5*E10*10^-3</f>
        <v>557.93399999999997</v>
      </c>
    </row>
    <row r="25" spans="1:5" ht="14.4">
      <c r="A25" s="865">
        <v>23</v>
      </c>
      <c r="B25" s="865" t="s">
        <v>793</v>
      </c>
      <c r="C25" s="865" t="s">
        <v>759</v>
      </c>
      <c r="D25" s="865" t="s">
        <v>758</v>
      </c>
      <c r="E25" s="865">
        <f>E24*E12</f>
        <v>2070</v>
      </c>
    </row>
    <row r="26" spans="1:5" ht="14.4">
      <c r="A26" s="865">
        <v>24</v>
      </c>
      <c r="B26" s="865" t="s">
        <v>793</v>
      </c>
      <c r="C26" s="865" t="s">
        <v>757</v>
      </c>
      <c r="D26" s="865" t="s">
        <v>756</v>
      </c>
      <c r="E26" s="1050">
        <f>E24/12</f>
        <v>46.494499999999995</v>
      </c>
    </row>
    <row r="27" spans="1:5" ht="14.4">
      <c r="A27" s="865">
        <v>25</v>
      </c>
      <c r="B27" s="865" t="s">
        <v>793</v>
      </c>
      <c r="C27" s="865" t="s">
        <v>754</v>
      </c>
      <c r="D27" s="865" t="s">
        <v>753</v>
      </c>
      <c r="E27" s="1040">
        <v>6.90</v>
      </c>
    </row>
    <row r="28" spans="1:6" ht="14.4">
      <c r="A28" s="865">
        <v>26</v>
      </c>
      <c r="B28" s="865" t="s">
        <v>793</v>
      </c>
      <c r="C28" s="865" t="s">
        <v>792</v>
      </c>
      <c r="D28" s="865" t="s">
        <v>791</v>
      </c>
      <c r="E28" s="1053">
        <f>E27/E26</f>
        <v>0.14840465001236708</v>
      </c>
      <c r="F28" s="865" t="s">
        <v>790</v>
      </c>
    </row>
    <row r="29" ht="14.4"/>
    <row r="30" spans="1:8" s="1033" customFormat="1" ht="14.4">
      <c r="A30" s="1033" t="s">
        <v>789</v>
      </c>
      <c r="B30" s="1033" t="s">
        <v>788</v>
      </c>
      <c r="C30" s="1033" t="s">
        <v>192</v>
      </c>
      <c r="D30" s="1033" t="s">
        <v>195</v>
      </c>
      <c r="E30" s="1033" t="s">
        <v>194</v>
      </c>
      <c r="F30" s="1033" t="s">
        <v>78</v>
      </c>
      <c r="H30" s="1033" t="s">
        <v>787</v>
      </c>
    </row>
    <row r="31" spans="1:8" ht="14.4">
      <c r="A31" s="865">
        <v>1</v>
      </c>
      <c r="B31" s="865" t="s">
        <v>723</v>
      </c>
      <c r="C31" s="865" t="s">
        <v>786</v>
      </c>
      <c r="D31" s="865" t="s">
        <v>185</v>
      </c>
      <c r="E31" s="865">
        <v>48</v>
      </c>
      <c r="H31" s="1034">
        <f>1-EXP(-$E$38/$E$42)</f>
        <v>0.10220483077859088</v>
      </c>
    </row>
    <row r="32" spans="1:11" ht="14.4">
      <c r="A32" s="865">
        <v>2</v>
      </c>
      <c r="B32" s="865" t="s">
        <v>723</v>
      </c>
      <c r="C32" s="865" t="s">
        <v>785</v>
      </c>
      <c r="D32" s="865" t="s">
        <v>185</v>
      </c>
      <c r="E32" s="865" t="s">
        <v>200</v>
      </c>
      <c r="H32" s="1035" t="s">
        <v>784</v>
      </c>
      <c r="I32" s="1035" t="s">
        <v>783</v>
      </c>
      <c r="J32" s="1036" t="s">
        <v>782</v>
      </c>
      <c r="K32" s="1035" t="s">
        <v>775</v>
      </c>
    </row>
    <row r="33" spans="1:11" ht="14.4">
      <c r="A33" s="865">
        <v>3</v>
      </c>
      <c r="B33" s="865" t="s">
        <v>723</v>
      </c>
      <c r="C33" s="865" t="s">
        <v>781</v>
      </c>
      <c r="D33" s="865" t="s">
        <v>185</v>
      </c>
      <c r="E33" s="865">
        <f>SUM(E31:E32)</f>
        <v>48</v>
      </c>
      <c r="H33" s="1014">
        <v>1</v>
      </c>
      <c r="I33" s="1037">
        <f t="shared" si="3" ref="I33:I47">IF($H33&lt;=5,0%,IF((H33-5)*$H$31&gt;=100%,100%,(H33-5)*$H$31))</f>
        <v>0</v>
      </c>
      <c r="J33" s="1038">
        <f t="shared" si="4" ref="J33:J47">1-I33</f>
        <v>1</v>
      </c>
      <c r="K33" s="1039">
        <f t="shared" si="5" ref="K33:K47">IF(OR($H33&gt;=$E$40,$H33&lt;=$E$44),0,$E$37+($E$49*$I33))</f>
        <v>0</v>
      </c>
    </row>
    <row r="34" spans="1:11" ht="14.4">
      <c r="A34" s="865">
        <v>4</v>
      </c>
      <c r="B34" s="865" t="s">
        <v>723</v>
      </c>
      <c r="C34" s="865" t="s">
        <v>780</v>
      </c>
      <c r="D34" s="865" t="s">
        <v>740</v>
      </c>
      <c r="E34" s="1040">
        <f>$C$69</f>
        <v>120.50</v>
      </c>
      <c r="F34" s="865" t="s">
        <v>779</v>
      </c>
      <c r="H34" s="1014">
        <v>2</v>
      </c>
      <c r="I34" s="1037">
        <f t="shared" si="3"/>
        <v>0</v>
      </c>
      <c r="J34" s="1038">
        <f t="shared" si="4"/>
        <v>1</v>
      </c>
      <c r="K34" s="1039">
        <f t="shared" si="5"/>
        <v>0</v>
      </c>
    </row>
    <row r="35" spans="1:11" ht="14.4">
      <c r="A35" s="865">
        <v>5</v>
      </c>
      <c r="B35" s="865" t="s">
        <v>723</v>
      </c>
      <c r="C35" s="865" t="s">
        <v>778</v>
      </c>
      <c r="D35" s="865" t="s">
        <v>183</v>
      </c>
      <c r="E35" s="1041">
        <v>1</v>
      </c>
      <c r="F35" s="865" t="s">
        <v>777</v>
      </c>
      <c r="H35" s="1014">
        <v>3</v>
      </c>
      <c r="I35" s="1037">
        <f t="shared" si="3"/>
        <v>0</v>
      </c>
      <c r="J35" s="1038">
        <f t="shared" si="4"/>
        <v>1</v>
      </c>
      <c r="K35" s="1039">
        <f t="shared" si="5"/>
        <v>0</v>
      </c>
    </row>
    <row r="36" spans="1:11" ht="14.4">
      <c r="A36" s="865">
        <v>6</v>
      </c>
      <c r="B36" s="865" t="s">
        <v>723</v>
      </c>
      <c r="C36" s="865" t="s">
        <v>776</v>
      </c>
      <c r="D36" s="865" t="s">
        <v>740</v>
      </c>
      <c r="E36" s="1040">
        <f>E35*$E$60</f>
        <v>78.540000000000006</v>
      </c>
      <c r="H36" s="1014">
        <v>4</v>
      </c>
      <c r="I36" s="1037">
        <f t="shared" si="3"/>
        <v>0</v>
      </c>
      <c r="J36" s="1038">
        <f t="shared" si="4"/>
        <v>1</v>
      </c>
      <c r="K36" s="1039">
        <f t="shared" si="5"/>
        <v>0</v>
      </c>
    </row>
    <row r="37" spans="1:11" ht="14.4">
      <c r="A37" s="865">
        <v>7</v>
      </c>
      <c r="B37" s="865" t="s">
        <v>723</v>
      </c>
      <c r="C37" s="865" t="s">
        <v>775</v>
      </c>
      <c r="D37" s="865" t="s">
        <v>740</v>
      </c>
      <c r="E37" s="1040">
        <f>SUM(E36,E34)</f>
        <v>199.04000000000002</v>
      </c>
      <c r="H37" s="1014">
        <v>5</v>
      </c>
      <c r="I37" s="1037">
        <f t="shared" si="3"/>
        <v>0</v>
      </c>
      <c r="J37" s="1038">
        <f t="shared" si="4"/>
        <v>1</v>
      </c>
      <c r="K37" s="1039">
        <f t="shared" si="5"/>
        <v>0</v>
      </c>
    </row>
    <row r="38" spans="1:11" ht="14.4">
      <c r="A38" s="865">
        <v>8</v>
      </c>
      <c r="B38" s="865" t="s">
        <v>723</v>
      </c>
      <c r="C38" s="865" t="s">
        <v>774</v>
      </c>
      <c r="D38" s="865" t="s">
        <v>773</v>
      </c>
      <c r="E38" s="865">
        <v>4043</v>
      </c>
      <c r="H38" s="1014">
        <v>6</v>
      </c>
      <c r="I38" s="1037">
        <f t="shared" si="3"/>
        <v>0.10220483077859088</v>
      </c>
      <c r="J38" s="1038">
        <f t="shared" si="4"/>
        <v>0.89779516922140912</v>
      </c>
      <c r="K38" s="1039">
        <f t="shared" si="5"/>
        <v>227.41001692752127</v>
      </c>
    </row>
    <row r="39" spans="1:11" ht="14.4">
      <c r="A39" s="865">
        <v>9</v>
      </c>
      <c r="B39" s="865" t="s">
        <v>723</v>
      </c>
      <c r="C39" s="865" t="s">
        <v>262</v>
      </c>
      <c r="D39" s="865" t="s">
        <v>183</v>
      </c>
      <c r="E39" s="865">
        <v>50000</v>
      </c>
      <c r="H39" s="1014">
        <v>7</v>
      </c>
      <c r="I39" s="1037">
        <f t="shared" si="3"/>
        <v>0.20440966155718177</v>
      </c>
      <c r="J39" s="1038">
        <f t="shared" si="4"/>
        <v>0.79559033844281823</v>
      </c>
      <c r="K39" s="1039">
        <f t="shared" si="5"/>
        <v>255.78003385504255</v>
      </c>
    </row>
    <row r="40" spans="1:11" ht="14.4">
      <c r="A40" s="865">
        <v>10</v>
      </c>
      <c r="B40" s="865" t="s">
        <v>723</v>
      </c>
      <c r="C40" s="865" t="s">
        <v>262</v>
      </c>
      <c r="D40" s="865" t="s">
        <v>174</v>
      </c>
      <c r="E40" s="1042">
        <f>E39/E38</f>
        <v>12.367054167697255</v>
      </c>
      <c r="H40" s="1014">
        <v>8</v>
      </c>
      <c r="I40" s="1037">
        <f t="shared" si="3"/>
        <v>0.30661449233577265</v>
      </c>
      <c r="J40" s="1038">
        <f t="shared" si="4"/>
        <v>0.69338550766422735</v>
      </c>
      <c r="K40" s="1039">
        <f t="shared" si="5"/>
        <v>284.15005078256382</v>
      </c>
    </row>
    <row r="41" spans="1:11" ht="14.4">
      <c r="A41" s="865">
        <v>11</v>
      </c>
      <c r="B41" s="865" t="s">
        <v>723</v>
      </c>
      <c r="C41" s="865" t="s">
        <v>772</v>
      </c>
      <c r="D41" s="865" t="s">
        <v>169</v>
      </c>
      <c r="E41" s="1043">
        <v>0.75</v>
      </c>
      <c r="F41" s="865" t="s">
        <v>771</v>
      </c>
      <c r="H41" s="1014">
        <v>9</v>
      </c>
      <c r="I41" s="1037">
        <f t="shared" si="3"/>
        <v>0.40881932311436353</v>
      </c>
      <c r="J41" s="1038">
        <f t="shared" si="4"/>
        <v>0.59118067688563647</v>
      </c>
      <c r="K41" s="1039">
        <f t="shared" si="5"/>
        <v>312.52006771008507</v>
      </c>
    </row>
    <row r="42" spans="1:11" ht="14.4">
      <c r="A42" s="865">
        <v>12</v>
      </c>
      <c r="B42" s="865" t="s">
        <v>723</v>
      </c>
      <c r="C42" s="865" t="s">
        <v>770</v>
      </c>
      <c r="D42" s="865" t="s">
        <v>183</v>
      </c>
      <c r="E42" s="1044">
        <f>E43*E38</f>
        <v>37500</v>
      </c>
      <c r="H42" s="1014">
        <v>10</v>
      </c>
      <c r="I42" s="1037">
        <f t="shared" si="3"/>
        <v>0.51102415389295441</v>
      </c>
      <c r="J42" s="1038">
        <f t="shared" si="4"/>
        <v>0.48897584610704559</v>
      </c>
      <c r="K42" s="1039">
        <f t="shared" si="5"/>
        <v>340.89008463760632</v>
      </c>
    </row>
    <row r="43" spans="1:11" ht="14.4">
      <c r="A43" s="865">
        <v>13</v>
      </c>
      <c r="B43" s="865" t="s">
        <v>723</v>
      </c>
      <c r="C43" s="865" t="s">
        <v>769</v>
      </c>
      <c r="D43" s="865" t="s">
        <v>174</v>
      </c>
      <c r="E43" s="1042">
        <f>E41*E40</f>
        <v>9.2752906257729411</v>
      </c>
      <c r="H43" s="1014">
        <v>11</v>
      </c>
      <c r="I43" s="1037">
        <f t="shared" si="3"/>
        <v>0.6132289846715453</v>
      </c>
      <c r="J43" s="1038">
        <f t="shared" si="4"/>
        <v>0.3867710153284547</v>
      </c>
      <c r="K43" s="1039">
        <f t="shared" si="5"/>
        <v>369.26010156512757</v>
      </c>
    </row>
    <row r="44" spans="1:11" ht="14.4">
      <c r="A44" s="865">
        <v>14</v>
      </c>
      <c r="B44" s="865" t="s">
        <v>723</v>
      </c>
      <c r="C44" s="865" t="s">
        <v>768</v>
      </c>
      <c r="D44" s="865" t="s">
        <v>174</v>
      </c>
      <c r="E44" s="865">
        <v>5</v>
      </c>
      <c r="H44" s="1014">
        <v>12</v>
      </c>
      <c r="I44" s="1037">
        <f t="shared" si="3"/>
        <v>0.71543381545013618</v>
      </c>
      <c r="J44" s="1038">
        <f t="shared" si="4"/>
        <v>0.28456618454986382</v>
      </c>
      <c r="K44" s="1039">
        <f t="shared" si="5"/>
        <v>397.63011849264888</v>
      </c>
    </row>
    <row r="45" spans="1:11" ht="14.4">
      <c r="A45" s="865">
        <v>15</v>
      </c>
      <c r="B45" s="865" t="s">
        <v>723</v>
      </c>
      <c r="C45" s="865" t="s">
        <v>767</v>
      </c>
      <c r="D45" s="865" t="s">
        <v>169</v>
      </c>
      <c r="E45" s="1046">
        <v>0.10</v>
      </c>
      <c r="F45" s="865" t="s">
        <v>1738</v>
      </c>
      <c r="H45" s="1014">
        <v>13</v>
      </c>
      <c r="I45" s="1037">
        <f t="shared" si="3"/>
        <v>0.81763864622872706</v>
      </c>
      <c r="J45" s="1038">
        <f t="shared" si="4"/>
        <v>0.18236135377127294</v>
      </c>
      <c r="K45" s="1039">
        <f t="shared" si="5"/>
        <v>0</v>
      </c>
    </row>
    <row r="46" spans="1:11" ht="14.4">
      <c r="A46" s="865">
        <v>16</v>
      </c>
      <c r="B46" s="865" t="s">
        <v>723</v>
      </c>
      <c r="C46" s="865" t="s">
        <v>766</v>
      </c>
      <c r="D46" s="865" t="s">
        <v>183</v>
      </c>
      <c r="E46" s="865">
        <v>2</v>
      </c>
      <c r="F46" s="865" t="s">
        <v>765</v>
      </c>
      <c r="H46" s="1014">
        <v>14</v>
      </c>
      <c r="I46" s="1037">
        <f t="shared" si="3"/>
        <v>0.91984347700731794</v>
      </c>
      <c r="J46" s="1038">
        <f t="shared" si="4"/>
        <v>0.080156522992682055</v>
      </c>
      <c r="K46" s="1039">
        <f t="shared" si="5"/>
        <v>0</v>
      </c>
    </row>
    <row r="47" spans="1:11" ht="14.4">
      <c r="A47" s="865">
        <v>17</v>
      </c>
      <c r="B47" s="865" t="s">
        <v>723</v>
      </c>
      <c r="C47" s="865" t="str">
        <f>"Early Failure "&amp;C36</f>
        <v>Early Failure Labor Cost to Install</v>
      </c>
      <c r="D47" s="865" t="s">
        <v>740</v>
      </c>
      <c r="E47" s="1048">
        <f>E46*$E$60</f>
        <v>157.08000000000001</v>
      </c>
      <c r="H47" s="1014">
        <v>15</v>
      </c>
      <c r="I47" s="1037">
        <f t="shared" si="3"/>
        <v>1</v>
      </c>
      <c r="J47" s="1038">
        <f t="shared" si="4"/>
        <v>0</v>
      </c>
      <c r="K47" s="1039">
        <f t="shared" si="5"/>
        <v>0</v>
      </c>
    </row>
    <row r="48" spans="1:11" ht="14.4">
      <c r="A48" s="865">
        <v>18</v>
      </c>
      <c r="B48" s="865" t="s">
        <v>723</v>
      </c>
      <c r="C48" s="865" t="s">
        <v>764</v>
      </c>
      <c r="D48" s="865" t="s">
        <v>740</v>
      </c>
      <c r="E48" s="1048">
        <f>$D$80</f>
        <v>120.50</v>
      </c>
      <c r="H48" s="1649" t="s">
        <v>763</v>
      </c>
      <c r="I48" s="1650"/>
      <c r="J48" s="1651"/>
      <c r="K48" s="1049">
        <f>AVERAGEIFS($K$33:$K$47,$K$33:$K$47,"&gt;0")</f>
        <v>312.52006771008507</v>
      </c>
    </row>
    <row r="49" spans="1:5" ht="14.4">
      <c r="A49" s="865">
        <v>19</v>
      </c>
      <c r="B49" s="865" t="s">
        <v>723</v>
      </c>
      <c r="C49" s="865" t="str">
        <f>"Early Failure "&amp;C37</f>
        <v>Early Failure Total Installed Cost</v>
      </c>
      <c r="D49" s="865" t="s">
        <v>740</v>
      </c>
      <c r="E49" s="1048">
        <f>SUM(E47:E48)</f>
        <v>277.58000000000004</v>
      </c>
    </row>
    <row r="50" spans="1:5" ht="14.4">
      <c r="A50" s="865">
        <v>20</v>
      </c>
      <c r="B50" s="865" t="s">
        <v>723</v>
      </c>
      <c r="C50" s="865" t="s">
        <v>762</v>
      </c>
      <c r="D50" s="865" t="s">
        <v>740</v>
      </c>
      <c r="E50" s="1048">
        <f>($E$37*(1-$E$45))+($K$48*$E$45)</f>
        <v>210.38800677100852</v>
      </c>
    </row>
    <row r="51" spans="1:5" ht="14.4">
      <c r="A51" s="865">
        <v>21</v>
      </c>
      <c r="B51" s="865" t="s">
        <v>723</v>
      </c>
      <c r="C51" s="865" t="s">
        <v>761</v>
      </c>
      <c r="D51" s="865" t="s">
        <v>760</v>
      </c>
      <c r="E51" s="865">
        <f>E33*E38*10^-3</f>
        <v>194.06399999999999</v>
      </c>
    </row>
    <row r="52" spans="1:5" ht="14.4">
      <c r="A52" s="865">
        <v>22</v>
      </c>
      <c r="B52" s="865" t="s">
        <v>723</v>
      </c>
      <c r="C52" s="865" t="s">
        <v>759</v>
      </c>
      <c r="D52" s="865" t="s">
        <v>758</v>
      </c>
      <c r="E52" s="865">
        <f>E51*E40</f>
        <v>2400</v>
      </c>
    </row>
    <row r="53" spans="1:5" ht="14.4">
      <c r="A53" s="865">
        <v>23</v>
      </c>
      <c r="B53" s="865" t="s">
        <v>723</v>
      </c>
      <c r="C53" s="865" t="s">
        <v>757</v>
      </c>
      <c r="D53" s="865" t="s">
        <v>756</v>
      </c>
      <c r="E53" s="1050">
        <f>E51/12</f>
        <v>16.172000000000001</v>
      </c>
    </row>
    <row r="54" spans="1:5" ht="14.4">
      <c r="A54" s="865">
        <v>24</v>
      </c>
      <c r="B54" s="865" t="s">
        <v>723</v>
      </c>
      <c r="C54" s="865" t="s">
        <v>754</v>
      </c>
      <c r="D54" s="865" t="s">
        <v>753</v>
      </c>
      <c r="E54" s="1040">
        <v>6.90</v>
      </c>
    </row>
    <row r="55" ht="14.4"/>
    <row r="56" spans="3:5" ht="14.4">
      <c r="C56" s="865" t="s">
        <v>697</v>
      </c>
      <c r="D56" s="865" t="s">
        <v>752</v>
      </c>
      <c r="E56" s="1048">
        <f>E50-E22</f>
        <v>20.74836673804316</v>
      </c>
    </row>
    <row r="57" spans="3:5" ht="14.4">
      <c r="C57" s="865" t="s">
        <v>751</v>
      </c>
      <c r="D57" s="865" t="s">
        <v>750</v>
      </c>
      <c r="E57" s="1048">
        <f>E50-E23</f>
        <v>-421.74412667220935</v>
      </c>
    </row>
    <row r="58" ht="14.4"/>
    <row r="59" spans="2:5" ht="14.4">
      <c r="B59" s="865" t="s">
        <v>745</v>
      </c>
      <c r="C59" s="865" t="s">
        <v>749</v>
      </c>
      <c r="D59" s="865" t="s">
        <v>748</v>
      </c>
      <c r="E59" s="865">
        <v>2000</v>
      </c>
    </row>
    <row r="60" spans="2:5" ht="14.4">
      <c r="B60" s="865" t="s">
        <v>745</v>
      </c>
      <c r="C60" s="865" t="s">
        <v>747</v>
      </c>
      <c r="D60" s="865" t="s">
        <v>746</v>
      </c>
      <c r="E60" s="1040">
        <v>78.540000000000006</v>
      </c>
    </row>
    <row r="61" spans="2:5" ht="14.4">
      <c r="B61" s="865" t="s">
        <v>745</v>
      </c>
      <c r="C61" s="865" t="s">
        <v>744</v>
      </c>
      <c r="D61" s="865" t="s">
        <v>743</v>
      </c>
      <c r="E61" s="1041">
        <v>1</v>
      </c>
    </row>
    <row r="62" ht="14.4"/>
    <row r="63" spans="2:6" ht="14.4">
      <c r="B63" s="865" t="s">
        <v>742</v>
      </c>
      <c r="C63" s="865" t="s">
        <v>741</v>
      </c>
      <c r="D63" s="865" t="s">
        <v>740</v>
      </c>
      <c r="E63" s="1040">
        <v>35</v>
      </c>
      <c r="F63" s="865" t="s">
        <v>739</v>
      </c>
    </row>
    <row r="64" ht="14.4"/>
    <row r="65" ht="14.4">
      <c r="B65" s="865" t="s">
        <v>738</v>
      </c>
    </row>
    <row r="66" spans="2:3" ht="14.4">
      <c r="B66" s="865" t="s">
        <v>737</v>
      </c>
      <c r="C66" s="1040">
        <v>115</v>
      </c>
    </row>
    <row r="67" spans="2:3" ht="14.4">
      <c r="B67" s="865" t="s">
        <v>736</v>
      </c>
      <c r="C67" s="1040">
        <v>15</v>
      </c>
    </row>
    <row r="68" spans="2:3" ht="14.4">
      <c r="B68" s="865" t="s">
        <v>735</v>
      </c>
      <c r="C68" s="1040">
        <v>5.50</v>
      </c>
    </row>
    <row r="69" spans="2:3" ht="14.4">
      <c r="B69" s="865" t="s">
        <v>734</v>
      </c>
      <c r="C69" s="1048">
        <f>SUM(C66,C68)</f>
        <v>120.50</v>
      </c>
    </row>
    <row r="70" ht="14.4"/>
    <row r="71" ht="14.4">
      <c r="B71" s="865" t="s">
        <v>733</v>
      </c>
    </row>
    <row r="72" spans="2:4" ht="14.4">
      <c r="B72" s="865" t="s">
        <v>718</v>
      </c>
      <c r="C72" s="1046">
        <v>0.30</v>
      </c>
      <c r="D72" s="865" t="s">
        <v>717</v>
      </c>
    </row>
    <row r="73" spans="2:4" ht="14.4">
      <c r="B73" s="865" t="s">
        <v>716</v>
      </c>
      <c r="C73" s="1046">
        <v>0.70</v>
      </c>
      <c r="D73" s="865" t="s">
        <v>715</v>
      </c>
    </row>
    <row r="74" ht="14.4"/>
    <row r="75" spans="2:4" ht="14.4">
      <c r="B75" s="865" t="s">
        <v>732</v>
      </c>
      <c r="C75" s="865" t="s">
        <v>731</v>
      </c>
      <c r="D75" s="865" t="s">
        <v>723</v>
      </c>
    </row>
    <row r="76" spans="2:5" ht="14.4">
      <c r="B76" s="865" t="s">
        <v>730</v>
      </c>
      <c r="C76" s="865" t="s">
        <v>721</v>
      </c>
      <c r="D76" s="865" t="s">
        <v>721</v>
      </c>
      <c r="E76" s="865" t="s">
        <v>78</v>
      </c>
    </row>
    <row r="77" spans="2:4" ht="14.4">
      <c r="B77" s="865" t="s">
        <v>729</v>
      </c>
      <c r="C77" s="1040">
        <f>C80-SUM(C78:C79)</f>
        <v>61.50</v>
      </c>
      <c r="D77" s="1040" t="s">
        <v>200</v>
      </c>
    </row>
    <row r="78" spans="2:5" ht="14.4">
      <c r="B78" s="865" t="s">
        <v>116</v>
      </c>
      <c r="C78" s="1040">
        <v>11</v>
      </c>
      <c r="D78" s="1040">
        <f>$C$66</f>
        <v>115</v>
      </c>
      <c r="E78" s="865" t="s">
        <v>728</v>
      </c>
    </row>
    <row r="79" spans="2:5" ht="14.4">
      <c r="B79" s="865" t="s">
        <v>727</v>
      </c>
      <c r="C79" s="1040">
        <v>5.50</v>
      </c>
      <c r="D79" s="1040">
        <f>$C$68</f>
        <v>5.50</v>
      </c>
      <c r="E79" s="865" t="s">
        <v>726</v>
      </c>
    </row>
    <row r="80" spans="2:4" ht="14.4">
      <c r="B80" s="865" t="s">
        <v>131</v>
      </c>
      <c r="C80" s="1040">
        <f>$E$6</f>
        <v>78</v>
      </c>
      <c r="D80" s="1040">
        <f>SUM(D77:D79)</f>
        <v>120.50</v>
      </c>
    </row>
    <row r="81" ht="14.4"/>
    <row r="82" spans="2:4" ht="14.4">
      <c r="B82" s="865" t="s">
        <v>725</v>
      </c>
      <c r="C82" s="865" t="s">
        <v>724</v>
      </c>
      <c r="D82" s="865" t="s">
        <v>723</v>
      </c>
    </row>
    <row r="83" spans="2:5" ht="14.4">
      <c r="B83" s="865" t="s">
        <v>722</v>
      </c>
      <c r="C83" s="865" t="s">
        <v>721</v>
      </c>
      <c r="D83" s="865" t="s">
        <v>721</v>
      </c>
      <c r="E83" s="865" t="s">
        <v>192</v>
      </c>
    </row>
    <row r="84" spans="2:5" ht="14.4">
      <c r="B84" s="865">
        <v>2</v>
      </c>
      <c r="C84" s="1048">
        <f>B84*$E$60</f>
        <v>157.08000000000001</v>
      </c>
      <c r="E84" s="865" t="s">
        <v>717</v>
      </c>
    </row>
    <row r="85" spans="2:5" ht="14.4">
      <c r="B85" s="865">
        <v>1</v>
      </c>
      <c r="C85" s="1048">
        <f>B85*$E$60</f>
        <v>78.540000000000006</v>
      </c>
      <c r="E85" s="865" t="s">
        <v>715</v>
      </c>
    </row>
    <row r="86" spans="2:5" ht="14.4">
      <c r="B86" s="1041">
        <f>(B84*$C$72)+(B85*$C$73)</f>
        <v>1.2999999999999998</v>
      </c>
      <c r="C86" s="1048">
        <f>(C84*$C$72)+(C85*$C$73)</f>
        <v>102.102</v>
      </c>
      <c r="E86" s="865" t="s">
        <v>720</v>
      </c>
    </row>
    <row r="87" ht="14.4"/>
    <row r="88" ht="14.4">
      <c r="B88" s="865" t="s">
        <v>719</v>
      </c>
    </row>
    <row r="89" spans="2:4" ht="14.4">
      <c r="B89" s="865" t="s">
        <v>718</v>
      </c>
      <c r="C89" s="1048">
        <f>SUM(C80)</f>
        <v>78</v>
      </c>
      <c r="D89" s="865" t="s">
        <v>717</v>
      </c>
    </row>
    <row r="90" spans="2:4" ht="14.4">
      <c r="B90" s="865" t="s">
        <v>716</v>
      </c>
      <c r="C90" s="1048">
        <f>SUM(C78:C79)</f>
        <v>16.50</v>
      </c>
      <c r="D90" s="865" t="s">
        <v>715</v>
      </c>
    </row>
    <row r="91" spans="2:4" ht="14.4">
      <c r="B91" s="865" t="s">
        <v>714</v>
      </c>
      <c r="C91" s="1048">
        <f>(C89*$C$72)+(C90*$C$73)</f>
        <v>34.949999999999996</v>
      </c>
      <c r="D91" s="865" t="s">
        <v>713</v>
      </c>
    </row>
    <row r="92" ht="14.4"/>
    <row r="93" ht="14.4">
      <c r="C93" s="1052"/>
    </row>
    <row r="94" ht="14.4">
      <c r="C94" s="865" t="s">
        <v>712</v>
      </c>
    </row>
    <row r="95" ht="14.4">
      <c r="B95" s="1033" t="s">
        <v>859</v>
      </c>
    </row>
    <row r="96" spans="2:3" ht="14.4">
      <c r="B96" s="1040">
        <v>6.64</v>
      </c>
      <c r="C96" s="865" t="s">
        <v>711</v>
      </c>
    </row>
    <row r="97" spans="2:3" ht="14.4">
      <c r="B97" s="1040">
        <f>B96*12</f>
        <v>79.679999999999993</v>
      </c>
      <c r="C97" s="865" t="s">
        <v>710</v>
      </c>
    </row>
  </sheetData>
  <mergeCells count="2">
    <mergeCell ref="H20:J20"/>
    <mergeCell ref="H48:J48"/>
  </mergeCells>
  <pageMargins left="0.7" right="0.7" top="0.75" bottom="0.75" header="0.3" footer="0.3"/>
  <pageSetup orientation="portrait"/>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7" tint="0.39998"/>
  </sheetPr>
  <dimension ref="A1:K97"/>
  <sheetViews>
    <sheetView zoomScale="70" zoomScaleNormal="70" workbookViewId="0" topLeftCell="D1">
      <selection pane="topLeft" activeCell="A1" sqref="A1"/>
    </sheetView>
  </sheetViews>
  <sheetFormatPr defaultColWidth="8.77734375" defaultRowHeight="14.4"/>
  <cols>
    <col min="1" max="1" width="8.77777777777778" style="865"/>
    <col min="2" max="2" width="40.7777777777778" style="865" customWidth="1"/>
    <col min="3" max="3" width="39.2222222222222" style="865" bestFit="1" customWidth="1"/>
    <col min="4" max="4" width="51" style="865" bestFit="1" customWidth="1"/>
    <col min="5" max="5" width="46" style="865" bestFit="1" customWidth="1"/>
    <col min="6" max="6" width="78.5555555555556" style="865" bestFit="1" customWidth="1"/>
    <col min="7" max="7" width="8.77777777777778" style="865"/>
    <col min="8" max="8" width="10.5555555555556" style="865" customWidth="1"/>
    <col min="9" max="9" width="31.7777777777778" style="865" bestFit="1" customWidth="1"/>
    <col min="10" max="10" width="21.4444444444444" style="865" bestFit="1" customWidth="1"/>
    <col min="11" max="11" width="23.7777777777778" style="865" bestFit="1" customWidth="1"/>
    <col min="12" max="16384" width="8.77777777777778" style="865"/>
  </cols>
  <sheetData>
    <row r="1" ht="14.4">
      <c r="B1" s="1032" t="s">
        <v>1739</v>
      </c>
    </row>
    <row r="2" spans="1:8" ht="14.4">
      <c r="A2" s="1033" t="s">
        <v>789</v>
      </c>
      <c r="B2" s="1033" t="s">
        <v>788</v>
      </c>
      <c r="C2" s="1033" t="s">
        <v>192</v>
      </c>
      <c r="D2" s="1033" t="s">
        <v>195</v>
      </c>
      <c r="E2" s="1033" t="s">
        <v>194</v>
      </c>
      <c r="F2" s="1033" t="s">
        <v>78</v>
      </c>
      <c r="H2" s="1033" t="s">
        <v>787</v>
      </c>
    </row>
    <row r="3" spans="1:8" ht="14.4">
      <c r="A3" s="865">
        <v>1</v>
      </c>
      <c r="B3" s="865" t="s">
        <v>799</v>
      </c>
      <c r="C3" s="865" t="s">
        <v>786</v>
      </c>
      <c r="D3" s="865" t="s">
        <v>185</v>
      </c>
      <c r="E3" s="865">
        <v>150</v>
      </c>
      <c r="H3" s="1034">
        <f>1-EXP(-$E$10/$E$14)</f>
        <v>0.30188942913059769</v>
      </c>
    </row>
    <row r="4" spans="1:11" ht="14.4">
      <c r="A4" s="865">
        <v>2</v>
      </c>
      <c r="B4" s="865" t="s">
        <v>799</v>
      </c>
      <c r="C4" s="865" t="s">
        <v>785</v>
      </c>
      <c r="D4" s="865" t="s">
        <v>185</v>
      </c>
      <c r="E4" s="865">
        <v>38</v>
      </c>
      <c r="H4" s="1035" t="s">
        <v>784</v>
      </c>
      <c r="I4" s="1035" t="s">
        <v>783</v>
      </c>
      <c r="J4" s="1036" t="s">
        <v>782</v>
      </c>
      <c r="K4" s="1035" t="s">
        <v>775</v>
      </c>
    </row>
    <row r="5" spans="1:11" ht="14.4">
      <c r="A5" s="865">
        <v>3</v>
      </c>
      <c r="B5" s="865" t="s">
        <v>799</v>
      </c>
      <c r="C5" s="865" t="s">
        <v>781</v>
      </c>
      <c r="D5" s="865" t="s">
        <v>185</v>
      </c>
      <c r="E5" s="865">
        <f>SUM(E3:E4)</f>
        <v>188</v>
      </c>
      <c r="F5" s="865" t="s">
        <v>1737</v>
      </c>
      <c r="H5" s="1014">
        <v>1</v>
      </c>
      <c r="I5" s="1037">
        <f t="shared" si="0" ref="I5:I19">IF(H5*$H$3&gt;=100%,100%,H5*$H$3)</f>
        <v>0.30188942913059769</v>
      </c>
      <c r="J5" s="1038">
        <f t="shared" si="1" ref="J5:J19">1-I5</f>
        <v>0.69811057086940231</v>
      </c>
      <c r="K5" s="1039">
        <f t="shared" si="2" ref="K5:K19">IF($H5&gt;=$E$12,0,$E$9+($E$21*$I5))</f>
        <v>197.9145500412067</v>
      </c>
    </row>
    <row r="6" spans="1:11" ht="14.4">
      <c r="A6" s="865">
        <v>4</v>
      </c>
      <c r="B6" s="865" t="s">
        <v>799</v>
      </c>
      <c r="C6" s="865" t="s">
        <v>780</v>
      </c>
      <c r="D6" s="865" t="s">
        <v>740</v>
      </c>
      <c r="E6" s="1040">
        <v>78</v>
      </c>
      <c r="F6" s="865" t="s">
        <v>779</v>
      </c>
      <c r="H6" s="1014">
        <v>2</v>
      </c>
      <c r="I6" s="1037">
        <f t="shared" si="0"/>
        <v>0.60377885826119537</v>
      </c>
      <c r="J6" s="1038">
        <f t="shared" si="1"/>
        <v>0.39622114173880463</v>
      </c>
      <c r="K6" s="1039">
        <f t="shared" si="2"/>
        <v>239.28910008241337</v>
      </c>
    </row>
    <row r="7" spans="1:11" ht="14.4">
      <c r="A7" s="865">
        <v>5</v>
      </c>
      <c r="B7" s="865" t="s">
        <v>799</v>
      </c>
      <c r="C7" s="865" t="s">
        <v>778</v>
      </c>
      <c r="D7" s="865" t="s">
        <v>183</v>
      </c>
      <c r="E7" s="1041">
        <v>1</v>
      </c>
      <c r="H7" s="1014">
        <v>3</v>
      </c>
      <c r="I7" s="1037">
        <f t="shared" si="0"/>
        <v>0.90566828739179306</v>
      </c>
      <c r="J7" s="1038">
        <f t="shared" si="1"/>
        <v>0.094331712608206941</v>
      </c>
      <c r="K7" s="1039">
        <f t="shared" si="2"/>
        <v>280.66365012362002</v>
      </c>
    </row>
    <row r="8" spans="1:11" ht="14.4">
      <c r="A8" s="865">
        <v>6</v>
      </c>
      <c r="B8" s="865" t="s">
        <v>799</v>
      </c>
      <c r="C8" s="865" t="s">
        <v>776</v>
      </c>
      <c r="D8" s="865" t="s">
        <v>740</v>
      </c>
      <c r="E8" s="1040">
        <f>E7*$E$60</f>
        <v>78.540000000000006</v>
      </c>
      <c r="H8" s="1014">
        <v>4</v>
      </c>
      <c r="I8" s="1037">
        <f t="shared" si="0"/>
        <v>1</v>
      </c>
      <c r="J8" s="1038">
        <f t="shared" si="1"/>
        <v>0</v>
      </c>
      <c r="K8" s="1039">
        <f t="shared" si="2"/>
        <v>0</v>
      </c>
    </row>
    <row r="9" spans="1:11" ht="14.4">
      <c r="A9" s="865">
        <v>7</v>
      </c>
      <c r="B9" s="865" t="s">
        <v>799</v>
      </c>
      <c r="C9" s="865" t="s">
        <v>775</v>
      </c>
      <c r="D9" s="865" t="s">
        <v>740</v>
      </c>
      <c r="E9" s="1040">
        <f>SUM(E8,E6)</f>
        <v>156.54000000000002</v>
      </c>
      <c r="H9" s="1014">
        <v>5</v>
      </c>
      <c r="I9" s="1037">
        <f t="shared" si="0"/>
        <v>1</v>
      </c>
      <c r="J9" s="1038">
        <f t="shared" si="1"/>
        <v>0</v>
      </c>
      <c r="K9" s="1039">
        <f t="shared" si="2"/>
        <v>0</v>
      </c>
    </row>
    <row r="10" spans="1:11" ht="14.4">
      <c r="A10" s="865">
        <v>8</v>
      </c>
      <c r="B10" s="865" t="s">
        <v>799</v>
      </c>
      <c r="C10" s="865" t="s">
        <v>774</v>
      </c>
      <c r="D10" s="865" t="s">
        <v>773</v>
      </c>
      <c r="E10" s="865">
        <v>4043</v>
      </c>
      <c r="H10" s="1014">
        <v>6</v>
      </c>
      <c r="I10" s="1037">
        <f t="shared" si="0"/>
        <v>1</v>
      </c>
      <c r="J10" s="1038">
        <f t="shared" si="1"/>
        <v>0</v>
      </c>
      <c r="K10" s="1039">
        <f t="shared" si="2"/>
        <v>0</v>
      </c>
    </row>
    <row r="11" spans="1:11" ht="14.4">
      <c r="A11" s="865">
        <v>9</v>
      </c>
      <c r="B11" s="865" t="s">
        <v>799</v>
      </c>
      <c r="C11" s="865" t="s">
        <v>262</v>
      </c>
      <c r="D11" s="865" t="s">
        <v>183</v>
      </c>
      <c r="E11" s="865">
        <v>15000</v>
      </c>
      <c r="H11" s="1014">
        <v>7</v>
      </c>
      <c r="I11" s="1037">
        <f t="shared" si="0"/>
        <v>1</v>
      </c>
      <c r="J11" s="1038">
        <f t="shared" si="1"/>
        <v>0</v>
      </c>
      <c r="K11" s="1039">
        <f t="shared" si="2"/>
        <v>0</v>
      </c>
    </row>
    <row r="12" spans="1:11" ht="14.4">
      <c r="A12" s="865">
        <v>10</v>
      </c>
      <c r="B12" s="865" t="s">
        <v>799</v>
      </c>
      <c r="C12" s="865" t="s">
        <v>262</v>
      </c>
      <c r="D12" s="865" t="s">
        <v>174</v>
      </c>
      <c r="E12" s="1042">
        <f>E11/E10</f>
        <v>3.7101162503091762</v>
      </c>
      <c r="H12" s="1014">
        <v>8</v>
      </c>
      <c r="I12" s="1037">
        <f t="shared" si="0"/>
        <v>1</v>
      </c>
      <c r="J12" s="1038">
        <f t="shared" si="1"/>
        <v>0</v>
      </c>
      <c r="K12" s="1039">
        <f t="shared" si="2"/>
        <v>0</v>
      </c>
    </row>
    <row r="13" spans="1:11" ht="14.4">
      <c r="A13" s="865">
        <v>11</v>
      </c>
      <c r="B13" s="865" t="s">
        <v>799</v>
      </c>
      <c r="C13" s="865" t="s">
        <v>772</v>
      </c>
      <c r="D13" s="865" t="s">
        <v>169</v>
      </c>
      <c r="E13" s="1043">
        <v>0.75</v>
      </c>
      <c r="F13" s="865" t="s">
        <v>797</v>
      </c>
      <c r="H13" s="1014">
        <v>9</v>
      </c>
      <c r="I13" s="1037">
        <f t="shared" si="0"/>
        <v>1</v>
      </c>
      <c r="J13" s="1038">
        <f t="shared" si="1"/>
        <v>0</v>
      </c>
      <c r="K13" s="1039">
        <f t="shared" si="2"/>
        <v>0</v>
      </c>
    </row>
    <row r="14" spans="1:11" ht="14.4">
      <c r="A14" s="865">
        <v>12</v>
      </c>
      <c r="B14" s="865" t="s">
        <v>799</v>
      </c>
      <c r="C14" s="865" t="s">
        <v>770</v>
      </c>
      <c r="D14" s="865" t="s">
        <v>183</v>
      </c>
      <c r="E14" s="1044">
        <f>E15*E10</f>
        <v>11249.999999999998</v>
      </c>
      <c r="H14" s="1014">
        <v>10</v>
      </c>
      <c r="I14" s="1037">
        <f t="shared" si="0"/>
        <v>1</v>
      </c>
      <c r="J14" s="1038">
        <f t="shared" si="1"/>
        <v>0</v>
      </c>
      <c r="K14" s="1039">
        <f t="shared" si="2"/>
        <v>0</v>
      </c>
    </row>
    <row r="15" spans="1:11" ht="14.4">
      <c r="A15" s="865">
        <v>13</v>
      </c>
      <c r="B15" s="865" t="s">
        <v>799</v>
      </c>
      <c r="C15" s="865" t="s">
        <v>769</v>
      </c>
      <c r="D15" s="865" t="s">
        <v>174</v>
      </c>
      <c r="E15" s="1042">
        <f>E13*E12</f>
        <v>2.782587187731882</v>
      </c>
      <c r="H15" s="1014">
        <v>11</v>
      </c>
      <c r="I15" s="1037">
        <f t="shared" si="0"/>
        <v>1</v>
      </c>
      <c r="J15" s="1038">
        <f t="shared" si="1"/>
        <v>0</v>
      </c>
      <c r="K15" s="1039">
        <f t="shared" si="2"/>
        <v>0</v>
      </c>
    </row>
    <row r="16" spans="1:11" ht="14.4">
      <c r="A16" s="865">
        <v>14</v>
      </c>
      <c r="B16" s="865" t="s">
        <v>799</v>
      </c>
      <c r="C16" s="865" t="s">
        <v>768</v>
      </c>
      <c r="D16" s="865" t="s">
        <v>174</v>
      </c>
      <c r="E16" s="1045" t="s">
        <v>200</v>
      </c>
      <c r="H16" s="1014">
        <v>12</v>
      </c>
      <c r="I16" s="1037">
        <f t="shared" si="0"/>
        <v>1</v>
      </c>
      <c r="J16" s="1038">
        <f t="shared" si="1"/>
        <v>0</v>
      </c>
      <c r="K16" s="1039">
        <f t="shared" si="2"/>
        <v>0</v>
      </c>
    </row>
    <row r="17" spans="1:11" ht="14.4">
      <c r="A17" s="865">
        <v>15</v>
      </c>
      <c r="B17" s="865" t="s">
        <v>799</v>
      </c>
      <c r="C17" s="865" t="s">
        <v>767</v>
      </c>
      <c r="D17" s="865" t="s">
        <v>169</v>
      </c>
      <c r="E17" s="1046">
        <v>0.40</v>
      </c>
      <c r="H17" s="1014">
        <v>13</v>
      </c>
      <c r="I17" s="1037">
        <f t="shared" si="0"/>
        <v>1</v>
      </c>
      <c r="J17" s="1038">
        <f t="shared" si="1"/>
        <v>0</v>
      </c>
      <c r="K17" s="1039">
        <f t="shared" si="2"/>
        <v>0</v>
      </c>
    </row>
    <row r="18" spans="1:11" ht="14.4">
      <c r="A18" s="865">
        <v>16</v>
      </c>
      <c r="B18" s="865" t="s">
        <v>799</v>
      </c>
      <c r="C18" s="865" t="s">
        <v>766</v>
      </c>
      <c r="D18" s="865" t="s">
        <v>183</v>
      </c>
      <c r="E18" s="1047">
        <f>$B$86</f>
        <v>1.2999999999999998</v>
      </c>
      <c r="H18" s="1014">
        <v>14</v>
      </c>
      <c r="I18" s="1037">
        <f t="shared" si="0"/>
        <v>1</v>
      </c>
      <c r="J18" s="1038">
        <f t="shared" si="1"/>
        <v>0</v>
      </c>
      <c r="K18" s="1039">
        <f t="shared" si="2"/>
        <v>0</v>
      </c>
    </row>
    <row r="19" spans="1:11" ht="14.4">
      <c r="A19" s="865">
        <v>17</v>
      </c>
      <c r="B19" s="865" t="s">
        <v>799</v>
      </c>
      <c r="C19" s="865" t="str">
        <f>"Early Failure "&amp;C8</f>
        <v>Early Failure Labor Cost to Install</v>
      </c>
      <c r="D19" s="865" t="s">
        <v>740</v>
      </c>
      <c r="E19" s="1048">
        <f>E18*$E$60</f>
        <v>102.10199999999999</v>
      </c>
      <c r="H19" s="1014">
        <v>15</v>
      </c>
      <c r="I19" s="1037">
        <f t="shared" si="0"/>
        <v>1</v>
      </c>
      <c r="J19" s="1038">
        <f t="shared" si="1"/>
        <v>0</v>
      </c>
      <c r="K19" s="1039">
        <f t="shared" si="2"/>
        <v>0</v>
      </c>
    </row>
    <row r="20" spans="1:11" ht="14.4">
      <c r="A20" s="865">
        <v>18</v>
      </c>
      <c r="B20" s="865" t="s">
        <v>799</v>
      </c>
      <c r="C20" s="865" t="s">
        <v>764</v>
      </c>
      <c r="D20" s="865" t="s">
        <v>740</v>
      </c>
      <c r="E20" s="1048">
        <f>$C$91</f>
        <v>34.949999999999996</v>
      </c>
      <c r="H20" s="1636" t="s">
        <v>763</v>
      </c>
      <c r="I20" s="1636"/>
      <c r="J20" s="1636"/>
      <c r="K20" s="1049">
        <f>AVERAGEIFS($K$5:$K$19,$K$5:$K$19,"&gt;0")</f>
        <v>239.28910008241337</v>
      </c>
    </row>
    <row r="21" spans="1:5" ht="14.4">
      <c r="A21" s="865">
        <v>19</v>
      </c>
      <c r="B21" s="865" t="s">
        <v>799</v>
      </c>
      <c r="C21" s="865" t="str">
        <f>"Early Failure "&amp;C9</f>
        <v>Early Failure Total Installed Cost</v>
      </c>
      <c r="D21" s="865" t="s">
        <v>740</v>
      </c>
      <c r="E21" s="1048">
        <f>SUM(E19:E20)</f>
        <v>137.05199999999999</v>
      </c>
    </row>
    <row r="22" spans="1:5" ht="14.4">
      <c r="A22" s="865">
        <v>20</v>
      </c>
      <c r="B22" s="865" t="s">
        <v>799</v>
      </c>
      <c r="C22" s="865" t="s">
        <v>762</v>
      </c>
      <c r="D22" s="865" t="s">
        <v>740</v>
      </c>
      <c r="E22" s="1048">
        <f>($E$9*(1-$E$17))+($K$20*$E$17)</f>
        <v>189.63964003296536</v>
      </c>
    </row>
    <row r="23" spans="1:6" ht="14.4">
      <c r="A23" s="865">
        <v>21</v>
      </c>
      <c r="B23" s="865" t="s">
        <v>799</v>
      </c>
      <c r="C23" s="865" t="s">
        <v>796</v>
      </c>
      <c r="D23" s="865" t="s">
        <v>795</v>
      </c>
      <c r="E23" s="1048">
        <f>(E40/E12)*E22</f>
        <v>632.13213344321787</v>
      </c>
      <c r="F23" s="865" t="s">
        <v>794</v>
      </c>
    </row>
    <row r="24" spans="1:5" ht="14.4">
      <c r="A24" s="865">
        <v>22</v>
      </c>
      <c r="B24" s="865" t="s">
        <v>799</v>
      </c>
      <c r="C24" s="865" t="s">
        <v>761</v>
      </c>
      <c r="D24" s="865" t="s">
        <v>760</v>
      </c>
      <c r="E24" s="865">
        <f>E5*E10*10^-3</f>
        <v>760.08400000000006</v>
      </c>
    </row>
    <row r="25" spans="1:5" ht="14.4">
      <c r="A25" s="865">
        <v>23</v>
      </c>
      <c r="B25" s="865" t="s">
        <v>799</v>
      </c>
      <c r="C25" s="865" t="s">
        <v>759</v>
      </c>
      <c r="D25" s="865" t="s">
        <v>758</v>
      </c>
      <c r="E25" s="865">
        <f>E24*E12</f>
        <v>2820</v>
      </c>
    </row>
    <row r="26" spans="1:5" ht="14.4">
      <c r="A26" s="865">
        <v>24</v>
      </c>
      <c r="B26" s="865" t="s">
        <v>799</v>
      </c>
      <c r="C26" s="865" t="s">
        <v>757</v>
      </c>
      <c r="D26" s="865" t="s">
        <v>756</v>
      </c>
      <c r="E26" s="1050">
        <f>E24/12</f>
        <v>63.340333333333341</v>
      </c>
    </row>
    <row r="27" spans="1:5" ht="14.4">
      <c r="A27" s="865">
        <v>25</v>
      </c>
      <c r="B27" s="865" t="s">
        <v>799</v>
      </c>
      <c r="C27" s="865" t="s">
        <v>754</v>
      </c>
      <c r="D27" s="865" t="s">
        <v>753</v>
      </c>
      <c r="E27" s="1040">
        <v>6.90</v>
      </c>
    </row>
    <row r="28" spans="1:6" ht="14.4">
      <c r="A28" s="865">
        <v>26</v>
      </c>
      <c r="B28" s="865" t="s">
        <v>799</v>
      </c>
      <c r="C28" s="865" t="s">
        <v>792</v>
      </c>
      <c r="D28" s="865" t="s">
        <v>791</v>
      </c>
      <c r="E28" s="1053">
        <f>E27/E26</f>
        <v>0.1089353282005673</v>
      </c>
      <c r="F28" s="865" t="s">
        <v>790</v>
      </c>
    </row>
    <row r="29" ht="14.4"/>
    <row r="30" spans="1:8" s="1033" customFormat="1" ht="14.4">
      <c r="A30" s="1033" t="s">
        <v>789</v>
      </c>
      <c r="B30" s="1033" t="s">
        <v>788</v>
      </c>
      <c r="C30" s="1033" t="s">
        <v>192</v>
      </c>
      <c r="D30" s="1033" t="s">
        <v>195</v>
      </c>
      <c r="E30" s="1033" t="s">
        <v>194</v>
      </c>
      <c r="F30" s="1033" t="s">
        <v>78</v>
      </c>
      <c r="H30" s="1033" t="s">
        <v>787</v>
      </c>
    </row>
    <row r="31" spans="1:8" ht="14.4">
      <c r="A31" s="865">
        <v>1</v>
      </c>
      <c r="B31" s="865" t="s">
        <v>798</v>
      </c>
      <c r="C31" s="865" t="s">
        <v>786</v>
      </c>
      <c r="D31" s="865" t="s">
        <v>185</v>
      </c>
      <c r="E31" s="865">
        <v>70</v>
      </c>
      <c r="H31" s="1034">
        <f>1-EXP(-$E$38/$E$42)</f>
        <v>0.10220483077859088</v>
      </c>
    </row>
    <row r="32" spans="1:11" ht="14.4">
      <c r="A32" s="865">
        <v>2</v>
      </c>
      <c r="B32" s="865" t="s">
        <v>798</v>
      </c>
      <c r="C32" s="865" t="s">
        <v>785</v>
      </c>
      <c r="D32" s="865" t="s">
        <v>185</v>
      </c>
      <c r="E32" s="865" t="s">
        <v>200</v>
      </c>
      <c r="H32" s="1035" t="s">
        <v>784</v>
      </c>
      <c r="I32" s="1035" t="s">
        <v>783</v>
      </c>
      <c r="J32" s="1036" t="s">
        <v>782</v>
      </c>
      <c r="K32" s="1035" t="s">
        <v>775</v>
      </c>
    </row>
    <row r="33" spans="1:11" ht="14.4">
      <c r="A33" s="865">
        <v>3</v>
      </c>
      <c r="B33" s="865" t="s">
        <v>798</v>
      </c>
      <c r="C33" s="865" t="s">
        <v>781</v>
      </c>
      <c r="D33" s="865" t="s">
        <v>185</v>
      </c>
      <c r="E33" s="865">
        <f>SUM(E31:E32)</f>
        <v>70</v>
      </c>
      <c r="H33" s="1014">
        <v>1</v>
      </c>
      <c r="I33" s="1037">
        <f t="shared" si="3" ref="I33:I47">IF($H33&lt;=5,0%,IF((H33-5)*$H$31&gt;=100%,100%,(H33-5)*$H$31))</f>
        <v>0</v>
      </c>
      <c r="J33" s="1038">
        <f t="shared" si="4" ref="J33:J47">1-I33</f>
        <v>1</v>
      </c>
      <c r="K33" s="1039">
        <f t="shared" si="5" ref="K33:K47">IF(OR($H33&gt;=$E$40,$H33&lt;=$E$44),0,$E$37+($E$49*$I33))</f>
        <v>0</v>
      </c>
    </row>
    <row r="34" spans="1:11" ht="14.4">
      <c r="A34" s="865">
        <v>4</v>
      </c>
      <c r="B34" s="865" t="s">
        <v>798</v>
      </c>
      <c r="C34" s="865" t="s">
        <v>780</v>
      </c>
      <c r="D34" s="865" t="s">
        <v>740</v>
      </c>
      <c r="E34" s="1040">
        <f>$C$69</f>
        <v>120.50</v>
      </c>
      <c r="F34" s="865" t="s">
        <v>779</v>
      </c>
      <c r="H34" s="1014">
        <v>2</v>
      </c>
      <c r="I34" s="1037">
        <f t="shared" si="3"/>
        <v>0</v>
      </c>
      <c r="J34" s="1038">
        <f t="shared" si="4"/>
        <v>1</v>
      </c>
      <c r="K34" s="1039">
        <f t="shared" si="5"/>
        <v>0</v>
      </c>
    </row>
    <row r="35" spans="1:11" ht="14.4">
      <c r="A35" s="865">
        <v>5</v>
      </c>
      <c r="B35" s="865" t="s">
        <v>798</v>
      </c>
      <c r="C35" s="865" t="s">
        <v>778</v>
      </c>
      <c r="D35" s="865" t="s">
        <v>183</v>
      </c>
      <c r="E35" s="1041">
        <v>1</v>
      </c>
      <c r="F35" s="865" t="s">
        <v>777</v>
      </c>
      <c r="H35" s="1014">
        <v>3</v>
      </c>
      <c r="I35" s="1037">
        <f t="shared" si="3"/>
        <v>0</v>
      </c>
      <c r="J35" s="1038">
        <f t="shared" si="4"/>
        <v>1</v>
      </c>
      <c r="K35" s="1039">
        <f t="shared" si="5"/>
        <v>0</v>
      </c>
    </row>
    <row r="36" spans="1:11" ht="14.4">
      <c r="A36" s="865">
        <v>6</v>
      </c>
      <c r="B36" s="865" t="s">
        <v>798</v>
      </c>
      <c r="C36" s="865" t="s">
        <v>776</v>
      </c>
      <c r="D36" s="865" t="s">
        <v>740</v>
      </c>
      <c r="E36" s="1040">
        <f>E35*$E$60</f>
        <v>78.540000000000006</v>
      </c>
      <c r="H36" s="1014">
        <v>4</v>
      </c>
      <c r="I36" s="1037">
        <f t="shared" si="3"/>
        <v>0</v>
      </c>
      <c r="J36" s="1038">
        <f t="shared" si="4"/>
        <v>1</v>
      </c>
      <c r="K36" s="1039">
        <f t="shared" si="5"/>
        <v>0</v>
      </c>
    </row>
    <row r="37" spans="1:11" ht="14.4">
      <c r="A37" s="865">
        <v>7</v>
      </c>
      <c r="B37" s="865" t="s">
        <v>798</v>
      </c>
      <c r="C37" s="865" t="s">
        <v>775</v>
      </c>
      <c r="D37" s="865" t="s">
        <v>740</v>
      </c>
      <c r="E37" s="1040">
        <f>SUM(E36,E34)</f>
        <v>199.04000000000002</v>
      </c>
      <c r="H37" s="1014">
        <v>5</v>
      </c>
      <c r="I37" s="1037">
        <f t="shared" si="3"/>
        <v>0</v>
      </c>
      <c r="J37" s="1038">
        <f t="shared" si="4"/>
        <v>1</v>
      </c>
      <c r="K37" s="1039">
        <f t="shared" si="5"/>
        <v>0</v>
      </c>
    </row>
    <row r="38" spans="1:11" ht="14.4">
      <c r="A38" s="865">
        <v>8</v>
      </c>
      <c r="B38" s="865" t="s">
        <v>798</v>
      </c>
      <c r="C38" s="865" t="s">
        <v>774</v>
      </c>
      <c r="D38" s="865" t="s">
        <v>773</v>
      </c>
      <c r="E38" s="865">
        <v>4043</v>
      </c>
      <c r="H38" s="1014">
        <v>6</v>
      </c>
      <c r="I38" s="1037">
        <f t="shared" si="3"/>
        <v>0.10220483077859088</v>
      </c>
      <c r="J38" s="1038">
        <f t="shared" si="4"/>
        <v>0.89779516922140912</v>
      </c>
      <c r="K38" s="1039">
        <f t="shared" si="5"/>
        <v>227.41001692752127</v>
      </c>
    </row>
    <row r="39" spans="1:11" ht="14.4">
      <c r="A39" s="865">
        <v>9</v>
      </c>
      <c r="B39" s="865" t="s">
        <v>798</v>
      </c>
      <c r="C39" s="865" t="s">
        <v>262</v>
      </c>
      <c r="D39" s="865" t="s">
        <v>183</v>
      </c>
      <c r="E39" s="865">
        <v>50000</v>
      </c>
      <c r="H39" s="1014">
        <v>7</v>
      </c>
      <c r="I39" s="1037">
        <f t="shared" si="3"/>
        <v>0.20440966155718177</v>
      </c>
      <c r="J39" s="1038">
        <f t="shared" si="4"/>
        <v>0.79559033844281823</v>
      </c>
      <c r="K39" s="1039">
        <f t="shared" si="5"/>
        <v>255.78003385504255</v>
      </c>
    </row>
    <row r="40" spans="1:11" ht="14.4">
      <c r="A40" s="865">
        <v>10</v>
      </c>
      <c r="B40" s="865" t="s">
        <v>798</v>
      </c>
      <c r="C40" s="865" t="s">
        <v>262</v>
      </c>
      <c r="D40" s="865" t="s">
        <v>174</v>
      </c>
      <c r="E40" s="1042">
        <f>E39/E38</f>
        <v>12.367054167697255</v>
      </c>
      <c r="H40" s="1014">
        <v>8</v>
      </c>
      <c r="I40" s="1037">
        <f t="shared" si="3"/>
        <v>0.30661449233577265</v>
      </c>
      <c r="J40" s="1038">
        <f t="shared" si="4"/>
        <v>0.69338550766422735</v>
      </c>
      <c r="K40" s="1039">
        <f t="shared" si="5"/>
        <v>284.15005078256382</v>
      </c>
    </row>
    <row r="41" spans="1:11" ht="14.4">
      <c r="A41" s="865">
        <v>11</v>
      </c>
      <c r="B41" s="865" t="s">
        <v>798</v>
      </c>
      <c r="C41" s="865" t="s">
        <v>772</v>
      </c>
      <c r="D41" s="865" t="s">
        <v>169</v>
      </c>
      <c r="E41" s="1043">
        <v>0.75</v>
      </c>
      <c r="F41" s="865" t="s">
        <v>771</v>
      </c>
      <c r="H41" s="1014">
        <v>9</v>
      </c>
      <c r="I41" s="1037">
        <f t="shared" si="3"/>
        <v>0.40881932311436353</v>
      </c>
      <c r="J41" s="1038">
        <f t="shared" si="4"/>
        <v>0.59118067688563647</v>
      </c>
      <c r="K41" s="1039">
        <f t="shared" si="5"/>
        <v>312.52006771008507</v>
      </c>
    </row>
    <row r="42" spans="1:11" ht="14.4">
      <c r="A42" s="865">
        <v>12</v>
      </c>
      <c r="B42" s="865" t="s">
        <v>798</v>
      </c>
      <c r="C42" s="865" t="s">
        <v>770</v>
      </c>
      <c r="D42" s="865" t="s">
        <v>183</v>
      </c>
      <c r="E42" s="1044">
        <f>E43*E38</f>
        <v>37500</v>
      </c>
      <c r="H42" s="1014">
        <v>10</v>
      </c>
      <c r="I42" s="1037">
        <f t="shared" si="3"/>
        <v>0.51102415389295441</v>
      </c>
      <c r="J42" s="1038">
        <f t="shared" si="4"/>
        <v>0.48897584610704559</v>
      </c>
      <c r="K42" s="1039">
        <f t="shared" si="5"/>
        <v>340.89008463760632</v>
      </c>
    </row>
    <row r="43" spans="1:11" ht="14.4">
      <c r="A43" s="865">
        <v>13</v>
      </c>
      <c r="B43" s="865" t="s">
        <v>798</v>
      </c>
      <c r="C43" s="865" t="s">
        <v>769</v>
      </c>
      <c r="D43" s="865" t="s">
        <v>174</v>
      </c>
      <c r="E43" s="1042">
        <f>E41*E40</f>
        <v>9.2752906257729411</v>
      </c>
      <c r="H43" s="1014">
        <v>11</v>
      </c>
      <c r="I43" s="1037">
        <f t="shared" si="3"/>
        <v>0.6132289846715453</v>
      </c>
      <c r="J43" s="1038">
        <f t="shared" si="4"/>
        <v>0.3867710153284547</v>
      </c>
      <c r="K43" s="1039">
        <f t="shared" si="5"/>
        <v>369.26010156512757</v>
      </c>
    </row>
    <row r="44" spans="1:11" ht="14.4">
      <c r="A44" s="865">
        <v>14</v>
      </c>
      <c r="B44" s="865" t="s">
        <v>798</v>
      </c>
      <c r="C44" s="865" t="s">
        <v>768</v>
      </c>
      <c r="D44" s="865" t="s">
        <v>174</v>
      </c>
      <c r="E44" s="865">
        <v>5</v>
      </c>
      <c r="H44" s="1014">
        <v>12</v>
      </c>
      <c r="I44" s="1037">
        <f t="shared" si="3"/>
        <v>0.71543381545013618</v>
      </c>
      <c r="J44" s="1038">
        <f t="shared" si="4"/>
        <v>0.28456618454986382</v>
      </c>
      <c r="K44" s="1039">
        <f t="shared" si="5"/>
        <v>397.63011849264888</v>
      </c>
    </row>
    <row r="45" spans="1:11" ht="14.4">
      <c r="A45" s="865">
        <v>15</v>
      </c>
      <c r="B45" s="865" t="s">
        <v>798</v>
      </c>
      <c r="C45" s="865" t="s">
        <v>767</v>
      </c>
      <c r="D45" s="865" t="s">
        <v>169</v>
      </c>
      <c r="E45" s="1046">
        <v>0.10</v>
      </c>
      <c r="F45" s="865" t="s">
        <v>1738</v>
      </c>
      <c r="H45" s="1014">
        <v>13</v>
      </c>
      <c r="I45" s="1037">
        <f t="shared" si="3"/>
        <v>0.81763864622872706</v>
      </c>
      <c r="J45" s="1038">
        <f t="shared" si="4"/>
        <v>0.18236135377127294</v>
      </c>
      <c r="K45" s="1039">
        <f t="shared" si="5"/>
        <v>0</v>
      </c>
    </row>
    <row r="46" spans="1:11" ht="14.4">
      <c r="A46" s="865">
        <v>16</v>
      </c>
      <c r="B46" s="865" t="s">
        <v>798</v>
      </c>
      <c r="C46" s="865" t="s">
        <v>766</v>
      </c>
      <c r="D46" s="865" t="s">
        <v>183</v>
      </c>
      <c r="E46" s="865">
        <v>2</v>
      </c>
      <c r="F46" s="865" t="s">
        <v>765</v>
      </c>
      <c r="H46" s="1014">
        <v>14</v>
      </c>
      <c r="I46" s="1037">
        <f t="shared" si="3"/>
        <v>0.91984347700731794</v>
      </c>
      <c r="J46" s="1038">
        <f t="shared" si="4"/>
        <v>0.080156522992682055</v>
      </c>
      <c r="K46" s="1039">
        <f t="shared" si="5"/>
        <v>0</v>
      </c>
    </row>
    <row r="47" spans="1:11" ht="14.4">
      <c r="A47" s="865">
        <v>17</v>
      </c>
      <c r="B47" s="865" t="s">
        <v>798</v>
      </c>
      <c r="C47" s="865" t="str">
        <f>"Early Failure "&amp;C36</f>
        <v>Early Failure Labor Cost to Install</v>
      </c>
      <c r="D47" s="865" t="s">
        <v>740</v>
      </c>
      <c r="E47" s="1048">
        <f>E46*$E$60</f>
        <v>157.08000000000001</v>
      </c>
      <c r="H47" s="1014">
        <v>15</v>
      </c>
      <c r="I47" s="1037">
        <f t="shared" si="3"/>
        <v>1</v>
      </c>
      <c r="J47" s="1038">
        <f t="shared" si="4"/>
        <v>0</v>
      </c>
      <c r="K47" s="1039">
        <f t="shared" si="5"/>
        <v>0</v>
      </c>
    </row>
    <row r="48" spans="1:11" ht="14.4">
      <c r="A48" s="865">
        <v>18</v>
      </c>
      <c r="B48" s="865" t="s">
        <v>798</v>
      </c>
      <c r="C48" s="865" t="s">
        <v>764</v>
      </c>
      <c r="D48" s="865" t="s">
        <v>740</v>
      </c>
      <c r="E48" s="1048">
        <f>$D$80</f>
        <v>120.50</v>
      </c>
      <c r="H48" s="1649" t="s">
        <v>763</v>
      </c>
      <c r="I48" s="1650"/>
      <c r="J48" s="1651"/>
      <c r="K48" s="1049">
        <f>AVERAGEIFS($K$33:$K$47,$K$33:$K$47,"&gt;0")</f>
        <v>312.52006771008507</v>
      </c>
    </row>
    <row r="49" spans="1:5" ht="14.4">
      <c r="A49" s="865">
        <v>19</v>
      </c>
      <c r="B49" s="865" t="s">
        <v>798</v>
      </c>
      <c r="C49" s="865" t="str">
        <f>"Early Failure "&amp;C37</f>
        <v>Early Failure Total Installed Cost</v>
      </c>
      <c r="D49" s="865" t="s">
        <v>740</v>
      </c>
      <c r="E49" s="1048">
        <f>SUM(E47:E48)</f>
        <v>277.58000000000004</v>
      </c>
    </row>
    <row r="50" spans="1:5" ht="14.4">
      <c r="A50" s="865">
        <v>20</v>
      </c>
      <c r="B50" s="865" t="s">
        <v>798</v>
      </c>
      <c r="C50" s="865" t="s">
        <v>762</v>
      </c>
      <c r="D50" s="865" t="s">
        <v>740</v>
      </c>
      <c r="E50" s="1048">
        <f>($E$37*(1-$E$45))+($K$48*$E$45)</f>
        <v>210.38800677100852</v>
      </c>
    </row>
    <row r="51" spans="1:5" ht="14.4">
      <c r="A51" s="865">
        <v>21</v>
      </c>
      <c r="B51" s="865" t="s">
        <v>798</v>
      </c>
      <c r="C51" s="865" t="s">
        <v>761</v>
      </c>
      <c r="D51" s="865" t="s">
        <v>760</v>
      </c>
      <c r="E51" s="865">
        <f>E33*E38*10^-3</f>
        <v>283.01</v>
      </c>
    </row>
    <row r="52" spans="1:5" ht="14.4">
      <c r="A52" s="865">
        <v>22</v>
      </c>
      <c r="B52" s="865" t="s">
        <v>798</v>
      </c>
      <c r="C52" s="865" t="s">
        <v>759</v>
      </c>
      <c r="D52" s="865" t="s">
        <v>758</v>
      </c>
      <c r="E52" s="865">
        <f>E51*E40</f>
        <v>3500</v>
      </c>
    </row>
    <row r="53" spans="1:5" ht="14.4">
      <c r="A53" s="865">
        <v>23</v>
      </c>
      <c r="B53" s="865" t="s">
        <v>798</v>
      </c>
      <c r="C53" s="865" t="s">
        <v>757</v>
      </c>
      <c r="D53" s="865" t="s">
        <v>756</v>
      </c>
      <c r="E53" s="1050">
        <f>E51/12</f>
        <v>23.584166666666665</v>
      </c>
    </row>
    <row r="54" spans="1:5" ht="14.4">
      <c r="A54" s="865">
        <v>24</v>
      </c>
      <c r="B54" s="865" t="s">
        <v>798</v>
      </c>
      <c r="C54" s="865" t="s">
        <v>754</v>
      </c>
      <c r="D54" s="865" t="s">
        <v>753</v>
      </c>
      <c r="E54" s="1040">
        <v>6.90</v>
      </c>
    </row>
    <row r="55" ht="14.4"/>
    <row r="56" spans="3:5" ht="14.4">
      <c r="C56" s="865" t="s">
        <v>697</v>
      </c>
      <c r="D56" s="865" t="s">
        <v>752</v>
      </c>
      <c r="E56" s="1048">
        <f>E50-E22</f>
        <v>20.74836673804316</v>
      </c>
    </row>
    <row r="57" spans="3:5" ht="14.4">
      <c r="C57" s="865" t="s">
        <v>751</v>
      </c>
      <c r="D57" s="865" t="s">
        <v>750</v>
      </c>
      <c r="E57" s="1048">
        <f>E50-E23</f>
        <v>-421.74412667220935</v>
      </c>
    </row>
    <row r="58" ht="14.4"/>
    <row r="59" spans="2:5" ht="14.4">
      <c r="B59" s="865" t="s">
        <v>745</v>
      </c>
      <c r="C59" s="865" t="s">
        <v>749</v>
      </c>
      <c r="D59" s="865" t="s">
        <v>748</v>
      </c>
      <c r="E59" s="865">
        <v>2000</v>
      </c>
    </row>
    <row r="60" spans="2:5" ht="14.4">
      <c r="B60" s="865" t="s">
        <v>745</v>
      </c>
      <c r="C60" s="865" t="s">
        <v>747</v>
      </c>
      <c r="D60" s="865" t="s">
        <v>746</v>
      </c>
      <c r="E60" s="1040">
        <v>78.540000000000006</v>
      </c>
    </row>
    <row r="61" spans="2:5" ht="14.4">
      <c r="B61" s="865" t="s">
        <v>745</v>
      </c>
      <c r="C61" s="865" t="s">
        <v>744</v>
      </c>
      <c r="D61" s="865" t="s">
        <v>743</v>
      </c>
      <c r="E61" s="1041">
        <v>1</v>
      </c>
    </row>
    <row r="62" ht="14.4"/>
    <row r="63" spans="2:6" ht="14.4">
      <c r="B63" s="865" t="s">
        <v>742</v>
      </c>
      <c r="C63" s="865" t="s">
        <v>741</v>
      </c>
      <c r="D63" s="865" t="s">
        <v>740</v>
      </c>
      <c r="E63" s="1040">
        <v>35</v>
      </c>
      <c r="F63" s="865" t="s">
        <v>739</v>
      </c>
    </row>
    <row r="64" ht="14.4"/>
    <row r="65" ht="14.4">
      <c r="B65" s="865" t="s">
        <v>738</v>
      </c>
    </row>
    <row r="66" spans="2:3" ht="14.4">
      <c r="B66" s="865" t="s">
        <v>737</v>
      </c>
      <c r="C66" s="1040">
        <v>115</v>
      </c>
    </row>
    <row r="67" spans="2:3" ht="14.4">
      <c r="B67" s="865" t="s">
        <v>736</v>
      </c>
      <c r="C67" s="1040">
        <v>15</v>
      </c>
    </row>
    <row r="68" spans="2:3" ht="14.4">
      <c r="B68" s="865" t="s">
        <v>735</v>
      </c>
      <c r="C68" s="1040">
        <v>5.50</v>
      </c>
    </row>
    <row r="69" spans="2:3" ht="14.4">
      <c r="B69" s="865" t="s">
        <v>734</v>
      </c>
      <c r="C69" s="1048">
        <f>SUM(C66,C68)</f>
        <v>120.50</v>
      </c>
    </row>
    <row r="70" ht="14.4"/>
    <row r="71" ht="14.4">
      <c r="B71" s="865" t="s">
        <v>1742</v>
      </c>
    </row>
    <row r="72" spans="2:4" ht="14.4">
      <c r="B72" s="865" t="s">
        <v>718</v>
      </c>
      <c r="C72" s="1046">
        <v>0.30</v>
      </c>
      <c r="D72" s="865" t="s">
        <v>717</v>
      </c>
    </row>
    <row r="73" spans="2:4" ht="14.4">
      <c r="B73" s="865" t="s">
        <v>716</v>
      </c>
      <c r="C73" s="1046">
        <v>0.70</v>
      </c>
      <c r="D73" s="865" t="s">
        <v>715</v>
      </c>
    </row>
    <row r="74" ht="14.4"/>
    <row r="75" spans="2:4" ht="14.4">
      <c r="B75" s="865" t="s">
        <v>732</v>
      </c>
      <c r="C75" s="865" t="s">
        <v>1743</v>
      </c>
      <c r="D75" s="865" t="s">
        <v>723</v>
      </c>
    </row>
    <row r="76" spans="2:5" ht="14.4">
      <c r="B76" s="865" t="s">
        <v>730</v>
      </c>
      <c r="C76" s="865" t="s">
        <v>721</v>
      </c>
      <c r="D76" s="865" t="s">
        <v>721</v>
      </c>
      <c r="E76" s="865" t="s">
        <v>78</v>
      </c>
    </row>
    <row r="77" spans="2:4" ht="14.4">
      <c r="B77" s="865" t="s">
        <v>729</v>
      </c>
      <c r="C77" s="1040">
        <f>C80-SUM(C78:C79)</f>
        <v>61.50</v>
      </c>
      <c r="D77" s="1040" t="s">
        <v>200</v>
      </c>
    </row>
    <row r="78" spans="2:5" ht="14.4">
      <c r="B78" s="865" t="s">
        <v>116</v>
      </c>
      <c r="C78" s="1040">
        <v>11</v>
      </c>
      <c r="D78" s="1040">
        <f>$C$66</f>
        <v>115</v>
      </c>
      <c r="E78" s="865" t="s">
        <v>728</v>
      </c>
    </row>
    <row r="79" spans="2:5" ht="14.4">
      <c r="B79" s="865" t="s">
        <v>727</v>
      </c>
      <c r="C79" s="1040">
        <v>5.50</v>
      </c>
      <c r="D79" s="1040">
        <f>$C$68</f>
        <v>5.50</v>
      </c>
      <c r="E79" s="865" t="s">
        <v>726</v>
      </c>
    </row>
    <row r="80" spans="2:4" ht="14.4">
      <c r="B80" s="865" t="s">
        <v>131</v>
      </c>
      <c r="C80" s="1040">
        <f>$E$6</f>
        <v>78</v>
      </c>
      <c r="D80" s="1040">
        <f>SUM(D77:D79)</f>
        <v>120.50</v>
      </c>
    </row>
    <row r="81" ht="14.4"/>
    <row r="82" spans="2:4" ht="14.4">
      <c r="B82" s="865" t="s">
        <v>725</v>
      </c>
      <c r="C82" s="865" t="s">
        <v>1744</v>
      </c>
      <c r="D82" s="865" t="s">
        <v>723</v>
      </c>
    </row>
    <row r="83" spans="2:5" ht="14.4">
      <c r="B83" s="865" t="s">
        <v>722</v>
      </c>
      <c r="C83" s="865" t="s">
        <v>721</v>
      </c>
      <c r="D83" s="865" t="s">
        <v>721</v>
      </c>
      <c r="E83" s="865" t="s">
        <v>192</v>
      </c>
    </row>
    <row r="84" spans="2:5" ht="14.4">
      <c r="B84" s="865">
        <v>2</v>
      </c>
      <c r="C84" s="1048">
        <f>B84*$E$60</f>
        <v>157.08000000000001</v>
      </c>
      <c r="E84" s="865" t="s">
        <v>717</v>
      </c>
    </row>
    <row r="85" spans="2:5" ht="14.4">
      <c r="B85" s="865">
        <v>1</v>
      </c>
      <c r="C85" s="1048">
        <f>B85*$E$60</f>
        <v>78.540000000000006</v>
      </c>
      <c r="E85" s="865" t="s">
        <v>715</v>
      </c>
    </row>
    <row r="86" spans="2:5" ht="14.4">
      <c r="B86" s="1041">
        <f>(B84*$C$72)+(B85*$C$73)</f>
        <v>1.2999999999999998</v>
      </c>
      <c r="C86" s="1048">
        <f>(C84*$C$72)+(C85*$C$73)</f>
        <v>102.102</v>
      </c>
      <c r="E86" s="865" t="s">
        <v>720</v>
      </c>
    </row>
    <row r="87" ht="14.4"/>
    <row r="88" ht="14.4">
      <c r="B88" s="865" t="s">
        <v>1745</v>
      </c>
    </row>
    <row r="89" spans="2:4" ht="14.4">
      <c r="B89" s="865" t="s">
        <v>718</v>
      </c>
      <c r="C89" s="1048">
        <f>SUM(C80)</f>
        <v>78</v>
      </c>
      <c r="D89" s="865" t="s">
        <v>717</v>
      </c>
    </row>
    <row r="90" spans="2:4" ht="14.4">
      <c r="B90" s="865" t="s">
        <v>716</v>
      </c>
      <c r="C90" s="1048">
        <f>SUM(C78:C79)</f>
        <v>16.50</v>
      </c>
      <c r="D90" s="865" t="s">
        <v>715</v>
      </c>
    </row>
    <row r="91" spans="2:4" ht="14.4">
      <c r="B91" s="865" t="s">
        <v>714</v>
      </c>
      <c r="C91" s="1048">
        <f>(C89*$C$72)+(C90*$C$73)</f>
        <v>34.949999999999996</v>
      </c>
      <c r="D91" s="865" t="s">
        <v>713</v>
      </c>
    </row>
    <row r="92" ht="14.4"/>
    <row r="93" ht="14.4">
      <c r="C93" s="1052"/>
    </row>
    <row r="94" ht="14.4"/>
    <row r="95" ht="14.4">
      <c r="B95" s="1033" t="s">
        <v>859</v>
      </c>
    </row>
    <row r="96" spans="2:3" ht="14.4">
      <c r="B96" s="1040">
        <v>6.64</v>
      </c>
      <c r="C96" s="865" t="s">
        <v>711</v>
      </c>
    </row>
    <row r="97" spans="2:3" ht="14.4">
      <c r="B97" s="1040">
        <f>B96*12</f>
        <v>79.679999999999993</v>
      </c>
      <c r="C97" s="865" t="s">
        <v>710</v>
      </c>
    </row>
  </sheetData>
  <mergeCells count="2">
    <mergeCell ref="H20:J20"/>
    <mergeCell ref="H48:J48"/>
  </mergeCells>
  <pageMargins left="0.7" right="0.7" top="0.75" bottom="0.75" header="0.3" footer="0.3"/>
  <pageSetup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7" tint="0.39998"/>
  </sheetPr>
  <dimension ref="A1:K97"/>
  <sheetViews>
    <sheetView zoomScale="70" zoomScaleNormal="70" workbookViewId="0" topLeftCell="A1">
      <selection pane="topLeft" activeCell="A1" sqref="A1"/>
    </sheetView>
  </sheetViews>
  <sheetFormatPr defaultColWidth="8.77734375" defaultRowHeight="14.4"/>
  <cols>
    <col min="1" max="1" width="8.77777777777778" style="865"/>
    <col min="2" max="2" width="30.7777777777778" style="865" customWidth="1"/>
    <col min="3" max="3" width="39.2222222222222" style="865" bestFit="1" customWidth="1"/>
    <col min="4" max="4" width="51" style="865" bestFit="1" customWidth="1"/>
    <col min="5" max="5" width="46" style="865" bestFit="1" customWidth="1"/>
    <col min="6" max="6" width="122.222222222222" style="865" bestFit="1" customWidth="1"/>
    <col min="7" max="7" width="8.77777777777778" style="865"/>
    <col min="8" max="8" width="10.5555555555556" style="865" customWidth="1"/>
    <col min="9" max="9" width="31.7777777777778" style="865" bestFit="1" customWidth="1"/>
    <col min="10" max="10" width="21.4444444444444" style="865" bestFit="1" customWidth="1"/>
    <col min="11" max="11" width="23.7777777777778" style="865" bestFit="1" customWidth="1"/>
    <col min="12" max="16384" width="8.77777777777778" style="865"/>
  </cols>
  <sheetData>
    <row r="1" ht="14.4">
      <c r="B1" s="1032" t="s">
        <v>1739</v>
      </c>
    </row>
    <row r="2" spans="1:8" ht="14.4">
      <c r="A2" s="1033" t="s">
        <v>789</v>
      </c>
      <c r="B2" s="1033" t="s">
        <v>788</v>
      </c>
      <c r="C2" s="1033" t="s">
        <v>192</v>
      </c>
      <c r="D2" s="1033" t="s">
        <v>195</v>
      </c>
      <c r="E2" s="1033" t="s">
        <v>194</v>
      </c>
      <c r="F2" s="1033" t="s">
        <v>78</v>
      </c>
      <c r="H2" s="1033" t="s">
        <v>787</v>
      </c>
    </row>
    <row r="3" spans="1:8" ht="14.4">
      <c r="A3" s="865">
        <v>1</v>
      </c>
      <c r="B3" s="865" t="s">
        <v>793</v>
      </c>
      <c r="C3" s="865" t="s">
        <v>786</v>
      </c>
      <c r="D3" s="865" t="s">
        <v>185</v>
      </c>
      <c r="E3" s="865">
        <v>100</v>
      </c>
      <c r="H3" s="1034">
        <f>1-EXP(-$E$10/$E$14)</f>
        <v>0.30188942913059769</v>
      </c>
    </row>
    <row r="4" spans="1:11" ht="14.4">
      <c r="A4" s="865">
        <v>2</v>
      </c>
      <c r="B4" s="865" t="s">
        <v>793</v>
      </c>
      <c r="C4" s="865" t="s">
        <v>785</v>
      </c>
      <c r="D4" s="865" t="s">
        <v>185</v>
      </c>
      <c r="E4" s="865">
        <v>38</v>
      </c>
      <c r="H4" s="1035" t="s">
        <v>784</v>
      </c>
      <c r="I4" s="1035" t="s">
        <v>783</v>
      </c>
      <c r="J4" s="1036" t="s">
        <v>782</v>
      </c>
      <c r="K4" s="1035" t="s">
        <v>775</v>
      </c>
    </row>
    <row r="5" spans="1:11" ht="14.4">
      <c r="A5" s="865">
        <v>3</v>
      </c>
      <c r="B5" s="865" t="s">
        <v>793</v>
      </c>
      <c r="C5" s="865" t="s">
        <v>781</v>
      </c>
      <c r="D5" s="865" t="s">
        <v>185</v>
      </c>
      <c r="E5" s="865">
        <f>SUM(E3:E4)</f>
        <v>138</v>
      </c>
      <c r="F5" s="865" t="s">
        <v>1737</v>
      </c>
      <c r="H5" s="1014">
        <v>1</v>
      </c>
      <c r="I5" s="1037">
        <f t="shared" si="0" ref="I5:I19">IF(H5*$H$3&gt;=100%,100%,H5*$H$3)</f>
        <v>0.30188942913059769</v>
      </c>
      <c r="J5" s="1038">
        <f t="shared" si="1" ref="J5:J19">1-I5</f>
        <v>0.69811057086940231</v>
      </c>
      <c r="K5" s="1039">
        <f t="shared" si="2" ref="K5:K19">IF($H5&gt;=$E$12,0,$E$9+($E$21*$I5))</f>
        <v>197.9145500412067</v>
      </c>
    </row>
    <row r="6" spans="1:11" ht="14.4">
      <c r="A6" s="865">
        <v>4</v>
      </c>
      <c r="B6" s="865" t="s">
        <v>793</v>
      </c>
      <c r="C6" s="865" t="s">
        <v>780</v>
      </c>
      <c r="D6" s="865" t="s">
        <v>740</v>
      </c>
      <c r="E6" s="1040">
        <v>78</v>
      </c>
      <c r="F6" s="865" t="s">
        <v>779</v>
      </c>
      <c r="H6" s="1014">
        <v>2</v>
      </c>
      <c r="I6" s="1037">
        <f t="shared" si="0"/>
        <v>0.60377885826119537</v>
      </c>
      <c r="J6" s="1038">
        <f t="shared" si="1"/>
        <v>0.39622114173880463</v>
      </c>
      <c r="K6" s="1039">
        <f t="shared" si="2"/>
        <v>239.28910008241337</v>
      </c>
    </row>
    <row r="7" spans="1:11" ht="14.4">
      <c r="A7" s="865">
        <v>5</v>
      </c>
      <c r="B7" s="865" t="s">
        <v>793</v>
      </c>
      <c r="C7" s="865" t="s">
        <v>778</v>
      </c>
      <c r="D7" s="865" t="s">
        <v>183</v>
      </c>
      <c r="E7" s="1041">
        <v>1</v>
      </c>
      <c r="H7" s="1014">
        <v>3</v>
      </c>
      <c r="I7" s="1037">
        <f t="shared" si="0"/>
        <v>0.90566828739179306</v>
      </c>
      <c r="J7" s="1038">
        <f t="shared" si="1"/>
        <v>0.094331712608206941</v>
      </c>
      <c r="K7" s="1039">
        <f t="shared" si="2"/>
        <v>280.66365012362002</v>
      </c>
    </row>
    <row r="8" spans="1:11" ht="14.4">
      <c r="A8" s="865">
        <v>6</v>
      </c>
      <c r="B8" s="865" t="s">
        <v>793</v>
      </c>
      <c r="C8" s="865" t="s">
        <v>776</v>
      </c>
      <c r="D8" s="865" t="s">
        <v>740</v>
      </c>
      <c r="E8" s="1040">
        <f>E7*$E$60</f>
        <v>78.540000000000006</v>
      </c>
      <c r="H8" s="1014">
        <v>4</v>
      </c>
      <c r="I8" s="1037">
        <f t="shared" si="0"/>
        <v>1</v>
      </c>
      <c r="J8" s="1038">
        <f t="shared" si="1"/>
        <v>0</v>
      </c>
      <c r="K8" s="1039">
        <f t="shared" si="2"/>
        <v>0</v>
      </c>
    </row>
    <row r="9" spans="1:11" ht="14.4">
      <c r="A9" s="865">
        <v>7</v>
      </c>
      <c r="B9" s="865" t="s">
        <v>793</v>
      </c>
      <c r="C9" s="865" t="s">
        <v>775</v>
      </c>
      <c r="D9" s="865" t="s">
        <v>740</v>
      </c>
      <c r="E9" s="1040">
        <f>SUM(E8,E6)</f>
        <v>156.54000000000002</v>
      </c>
      <c r="H9" s="1014">
        <v>5</v>
      </c>
      <c r="I9" s="1037">
        <f t="shared" si="0"/>
        <v>1</v>
      </c>
      <c r="J9" s="1038">
        <f t="shared" si="1"/>
        <v>0</v>
      </c>
      <c r="K9" s="1039">
        <f t="shared" si="2"/>
        <v>0</v>
      </c>
    </row>
    <row r="10" spans="1:11" ht="14.4">
      <c r="A10" s="865">
        <v>8</v>
      </c>
      <c r="B10" s="865" t="s">
        <v>793</v>
      </c>
      <c r="C10" s="865" t="s">
        <v>774</v>
      </c>
      <c r="D10" s="865" t="s">
        <v>773</v>
      </c>
      <c r="E10" s="865">
        <v>4043</v>
      </c>
      <c r="H10" s="1014">
        <v>6</v>
      </c>
      <c r="I10" s="1037">
        <f t="shared" si="0"/>
        <v>1</v>
      </c>
      <c r="J10" s="1038">
        <f t="shared" si="1"/>
        <v>0</v>
      </c>
      <c r="K10" s="1039">
        <f t="shared" si="2"/>
        <v>0</v>
      </c>
    </row>
    <row r="11" spans="1:11" ht="14.4">
      <c r="A11" s="865">
        <v>9</v>
      </c>
      <c r="B11" s="865" t="s">
        <v>793</v>
      </c>
      <c r="C11" s="865" t="s">
        <v>262</v>
      </c>
      <c r="D11" s="865" t="s">
        <v>183</v>
      </c>
      <c r="E11" s="865">
        <v>15000</v>
      </c>
      <c r="H11" s="1014">
        <v>7</v>
      </c>
      <c r="I11" s="1037">
        <f t="shared" si="0"/>
        <v>1</v>
      </c>
      <c r="J11" s="1038">
        <f t="shared" si="1"/>
        <v>0</v>
      </c>
      <c r="K11" s="1039">
        <f t="shared" si="2"/>
        <v>0</v>
      </c>
    </row>
    <row r="12" spans="1:11" ht="14.4">
      <c r="A12" s="865">
        <v>10</v>
      </c>
      <c r="B12" s="865" t="s">
        <v>793</v>
      </c>
      <c r="C12" s="865" t="s">
        <v>262</v>
      </c>
      <c r="D12" s="865" t="s">
        <v>174</v>
      </c>
      <c r="E12" s="1042">
        <f>E11/E10</f>
        <v>3.7101162503091762</v>
      </c>
      <c r="H12" s="1014">
        <v>8</v>
      </c>
      <c r="I12" s="1037">
        <f t="shared" si="0"/>
        <v>1</v>
      </c>
      <c r="J12" s="1038">
        <f t="shared" si="1"/>
        <v>0</v>
      </c>
      <c r="K12" s="1039">
        <f t="shared" si="2"/>
        <v>0</v>
      </c>
    </row>
    <row r="13" spans="1:11" ht="14.4">
      <c r="A13" s="865">
        <v>11</v>
      </c>
      <c r="B13" s="865" t="s">
        <v>793</v>
      </c>
      <c r="C13" s="865" t="s">
        <v>772</v>
      </c>
      <c r="D13" s="865" t="s">
        <v>169</v>
      </c>
      <c r="E13" s="1043">
        <v>0.75</v>
      </c>
      <c r="F13" s="865" t="s">
        <v>797</v>
      </c>
      <c r="H13" s="1014">
        <v>9</v>
      </c>
      <c r="I13" s="1037">
        <f t="shared" si="0"/>
        <v>1</v>
      </c>
      <c r="J13" s="1038">
        <f t="shared" si="1"/>
        <v>0</v>
      </c>
      <c r="K13" s="1039">
        <f t="shared" si="2"/>
        <v>0</v>
      </c>
    </row>
    <row r="14" spans="1:11" ht="14.4">
      <c r="A14" s="865">
        <v>12</v>
      </c>
      <c r="B14" s="865" t="s">
        <v>793</v>
      </c>
      <c r="C14" s="865" t="s">
        <v>770</v>
      </c>
      <c r="D14" s="865" t="s">
        <v>183</v>
      </c>
      <c r="E14" s="1044">
        <f>E15*E10</f>
        <v>11249.999999999998</v>
      </c>
      <c r="H14" s="1014">
        <v>10</v>
      </c>
      <c r="I14" s="1037">
        <f t="shared" si="0"/>
        <v>1</v>
      </c>
      <c r="J14" s="1038">
        <f t="shared" si="1"/>
        <v>0</v>
      </c>
      <c r="K14" s="1039">
        <f t="shared" si="2"/>
        <v>0</v>
      </c>
    </row>
    <row r="15" spans="1:11" ht="14.4">
      <c r="A15" s="865">
        <v>13</v>
      </c>
      <c r="B15" s="865" t="s">
        <v>793</v>
      </c>
      <c r="C15" s="865" t="s">
        <v>769</v>
      </c>
      <c r="D15" s="865" t="s">
        <v>174</v>
      </c>
      <c r="E15" s="1042">
        <f>E13*E12</f>
        <v>2.782587187731882</v>
      </c>
      <c r="H15" s="1014">
        <v>11</v>
      </c>
      <c r="I15" s="1037">
        <f t="shared" si="0"/>
        <v>1</v>
      </c>
      <c r="J15" s="1038">
        <f t="shared" si="1"/>
        <v>0</v>
      </c>
      <c r="K15" s="1039">
        <f t="shared" si="2"/>
        <v>0</v>
      </c>
    </row>
    <row r="16" spans="1:11" ht="14.4">
      <c r="A16" s="865">
        <v>14</v>
      </c>
      <c r="B16" s="865" t="s">
        <v>793</v>
      </c>
      <c r="C16" s="865" t="s">
        <v>768</v>
      </c>
      <c r="D16" s="865" t="s">
        <v>174</v>
      </c>
      <c r="E16" s="1045" t="s">
        <v>200</v>
      </c>
      <c r="H16" s="1014">
        <v>12</v>
      </c>
      <c r="I16" s="1037">
        <f t="shared" si="0"/>
        <v>1</v>
      </c>
      <c r="J16" s="1038">
        <f t="shared" si="1"/>
        <v>0</v>
      </c>
      <c r="K16" s="1039">
        <f t="shared" si="2"/>
        <v>0</v>
      </c>
    </row>
    <row r="17" spans="1:11" ht="14.4">
      <c r="A17" s="865">
        <v>15</v>
      </c>
      <c r="B17" s="865" t="s">
        <v>793</v>
      </c>
      <c r="C17" s="865" t="s">
        <v>767</v>
      </c>
      <c r="D17" s="865" t="s">
        <v>169</v>
      </c>
      <c r="E17" s="1046">
        <v>0.40</v>
      </c>
      <c r="H17" s="1014">
        <v>13</v>
      </c>
      <c r="I17" s="1037">
        <f t="shared" si="0"/>
        <v>1</v>
      </c>
      <c r="J17" s="1038">
        <f t="shared" si="1"/>
        <v>0</v>
      </c>
      <c r="K17" s="1039">
        <f t="shared" si="2"/>
        <v>0</v>
      </c>
    </row>
    <row r="18" spans="1:11" ht="14.4">
      <c r="A18" s="865">
        <v>16</v>
      </c>
      <c r="B18" s="865" t="s">
        <v>793</v>
      </c>
      <c r="C18" s="865" t="s">
        <v>766</v>
      </c>
      <c r="D18" s="865" t="s">
        <v>183</v>
      </c>
      <c r="E18" s="1047">
        <f>$B$86</f>
        <v>1.2999999999999998</v>
      </c>
      <c r="H18" s="1014">
        <v>14</v>
      </c>
      <c r="I18" s="1037">
        <f t="shared" si="0"/>
        <v>1</v>
      </c>
      <c r="J18" s="1038">
        <f t="shared" si="1"/>
        <v>0</v>
      </c>
      <c r="K18" s="1039">
        <f t="shared" si="2"/>
        <v>0</v>
      </c>
    </row>
    <row r="19" spans="1:11" ht="14.4">
      <c r="A19" s="865">
        <v>17</v>
      </c>
      <c r="B19" s="865" t="s">
        <v>793</v>
      </c>
      <c r="C19" s="865" t="str">
        <f>"Early Failure "&amp;C8</f>
        <v>Early Failure Labor Cost to Install</v>
      </c>
      <c r="D19" s="865" t="s">
        <v>740</v>
      </c>
      <c r="E19" s="1048">
        <f>E18*$E$60</f>
        <v>102.10199999999999</v>
      </c>
      <c r="H19" s="1014">
        <v>15</v>
      </c>
      <c r="I19" s="1037">
        <f t="shared" si="0"/>
        <v>1</v>
      </c>
      <c r="J19" s="1038">
        <f t="shared" si="1"/>
        <v>0</v>
      </c>
      <c r="K19" s="1039">
        <f t="shared" si="2"/>
        <v>0</v>
      </c>
    </row>
    <row r="20" spans="1:11" ht="14.4">
      <c r="A20" s="865">
        <v>18</v>
      </c>
      <c r="B20" s="865" t="s">
        <v>793</v>
      </c>
      <c r="C20" s="865" t="s">
        <v>764</v>
      </c>
      <c r="D20" s="865" t="s">
        <v>740</v>
      </c>
      <c r="E20" s="1048">
        <f>$C$91</f>
        <v>34.949999999999996</v>
      </c>
      <c r="H20" s="1636" t="s">
        <v>763</v>
      </c>
      <c r="I20" s="1636"/>
      <c r="J20" s="1636"/>
      <c r="K20" s="1049">
        <f>AVERAGEIFS($K$5:$K$19,$K$5:$K$19,"&gt;0")</f>
        <v>239.28910008241337</v>
      </c>
    </row>
    <row r="21" spans="1:5" ht="14.4">
      <c r="A21" s="865">
        <v>19</v>
      </c>
      <c r="B21" s="865" t="s">
        <v>793</v>
      </c>
      <c r="C21" s="865" t="str">
        <f>"Early Failure "&amp;C9</f>
        <v>Early Failure Total Installed Cost</v>
      </c>
      <c r="D21" s="865" t="s">
        <v>740</v>
      </c>
      <c r="E21" s="1048">
        <f>SUM(E19:E20)</f>
        <v>137.05199999999999</v>
      </c>
    </row>
    <row r="22" spans="1:5" ht="14.4">
      <c r="A22" s="865">
        <v>20</v>
      </c>
      <c r="B22" s="865" t="s">
        <v>793</v>
      </c>
      <c r="C22" s="865" t="s">
        <v>762</v>
      </c>
      <c r="D22" s="865" t="s">
        <v>740</v>
      </c>
      <c r="E22" s="1048">
        <f>($E$9*(1-$E$17))+($K$20*$E$17)</f>
        <v>189.63964003296536</v>
      </c>
    </row>
    <row r="23" spans="1:6" ht="14.4">
      <c r="A23" s="865">
        <v>21</v>
      </c>
      <c r="B23" s="865" t="s">
        <v>793</v>
      </c>
      <c r="C23" s="865" t="s">
        <v>796</v>
      </c>
      <c r="D23" s="865" t="s">
        <v>795</v>
      </c>
      <c r="E23" s="1048">
        <f>(E40/E12)*E22</f>
        <v>632.13213344321787</v>
      </c>
      <c r="F23" s="865" t="s">
        <v>794</v>
      </c>
    </row>
    <row r="24" spans="1:5" ht="14.4">
      <c r="A24" s="865">
        <v>22</v>
      </c>
      <c r="B24" s="865" t="s">
        <v>793</v>
      </c>
      <c r="C24" s="865" t="s">
        <v>761</v>
      </c>
      <c r="D24" s="865" t="s">
        <v>760</v>
      </c>
      <c r="E24" s="865">
        <f>E5*E10*10^-3</f>
        <v>557.93399999999997</v>
      </c>
    </row>
    <row r="25" spans="1:5" ht="14.4">
      <c r="A25" s="865">
        <v>23</v>
      </c>
      <c r="B25" s="865" t="s">
        <v>793</v>
      </c>
      <c r="C25" s="865" t="s">
        <v>759</v>
      </c>
      <c r="D25" s="865" t="s">
        <v>758</v>
      </c>
      <c r="E25" s="865">
        <f>E24*E12</f>
        <v>2070</v>
      </c>
    </row>
    <row r="26" spans="1:5" ht="14.4">
      <c r="A26" s="865">
        <v>24</v>
      </c>
      <c r="B26" s="865" t="s">
        <v>793</v>
      </c>
      <c r="C26" s="865" t="s">
        <v>757</v>
      </c>
      <c r="D26" s="865" t="s">
        <v>756</v>
      </c>
      <c r="E26" s="1050">
        <f>E24/12</f>
        <v>46.494499999999995</v>
      </c>
    </row>
    <row r="27" spans="1:5" ht="14.4">
      <c r="A27" s="865">
        <v>25</v>
      </c>
      <c r="B27" s="865" t="s">
        <v>793</v>
      </c>
      <c r="C27" s="865" t="s">
        <v>754</v>
      </c>
      <c r="D27" s="865" t="s">
        <v>753</v>
      </c>
      <c r="E27" s="1040">
        <v>6.90</v>
      </c>
    </row>
    <row r="28" spans="1:6" ht="14.4">
      <c r="A28" s="865">
        <v>26</v>
      </c>
      <c r="B28" s="865" t="s">
        <v>793</v>
      </c>
      <c r="C28" s="865" t="s">
        <v>792</v>
      </c>
      <c r="D28" s="865" t="s">
        <v>791</v>
      </c>
      <c r="E28" s="1053">
        <f>E27/E26</f>
        <v>0.14840465001236708</v>
      </c>
      <c r="F28" s="865" t="s">
        <v>790</v>
      </c>
    </row>
    <row r="29" ht="14.4"/>
    <row r="30" spans="1:8" s="1033" customFormat="1" ht="14.4">
      <c r="A30" s="1033" t="s">
        <v>789</v>
      </c>
      <c r="B30" s="1033" t="s">
        <v>788</v>
      </c>
      <c r="C30" s="1033" t="s">
        <v>192</v>
      </c>
      <c r="D30" s="1033" t="s">
        <v>195</v>
      </c>
      <c r="E30" s="1033" t="s">
        <v>194</v>
      </c>
      <c r="F30" s="1033" t="s">
        <v>78</v>
      </c>
      <c r="H30" s="1033" t="s">
        <v>787</v>
      </c>
    </row>
    <row r="31" spans="1:8" ht="14.4">
      <c r="A31" s="865">
        <v>1</v>
      </c>
      <c r="B31" s="865" t="s">
        <v>1445</v>
      </c>
      <c r="C31" s="865" t="s">
        <v>786</v>
      </c>
      <c r="D31" s="865" t="s">
        <v>185</v>
      </c>
      <c r="E31" s="865">
        <v>72</v>
      </c>
      <c r="H31" s="1034">
        <f>1-EXP(-$E$38/$E$42)</f>
        <v>0.10220483077859088</v>
      </c>
    </row>
    <row r="32" spans="1:11" ht="14.4">
      <c r="A32" s="865">
        <v>2</v>
      </c>
      <c r="B32" s="865" t="s">
        <v>1445</v>
      </c>
      <c r="C32" s="865" t="s">
        <v>785</v>
      </c>
      <c r="D32" s="865" t="s">
        <v>185</v>
      </c>
      <c r="E32" s="865" t="s">
        <v>200</v>
      </c>
      <c r="H32" s="1035" t="s">
        <v>784</v>
      </c>
      <c r="I32" s="1035" t="s">
        <v>783</v>
      </c>
      <c r="J32" s="1036" t="s">
        <v>782</v>
      </c>
      <c r="K32" s="1035" t="s">
        <v>775</v>
      </c>
    </row>
    <row r="33" spans="1:11" ht="14.4">
      <c r="A33" s="865">
        <v>3</v>
      </c>
      <c r="B33" s="865" t="s">
        <v>1445</v>
      </c>
      <c r="C33" s="865" t="s">
        <v>781</v>
      </c>
      <c r="D33" s="865" t="s">
        <v>185</v>
      </c>
      <c r="E33" s="865">
        <f>SUM(E31:E32)</f>
        <v>72</v>
      </c>
      <c r="H33" s="1014">
        <v>1</v>
      </c>
      <c r="I33" s="1037">
        <f t="shared" si="3" ref="I33:I47">IF($H33&lt;=5,0%,IF((H33-5)*$H$31&gt;=100%,100%,(H33-5)*$H$31))</f>
        <v>0</v>
      </c>
      <c r="J33" s="1038">
        <f t="shared" si="4" ref="J33:J47">1-I33</f>
        <v>1</v>
      </c>
      <c r="K33" s="1039">
        <f t="shared" si="5" ref="K33:K47">IF(OR($H33&gt;=$E$40,$H33&lt;=$E$44),0,$E$37+($E$49*$I33))</f>
        <v>0</v>
      </c>
    </row>
    <row r="34" spans="1:11" ht="14.4">
      <c r="A34" s="865">
        <v>4</v>
      </c>
      <c r="B34" s="865" t="s">
        <v>1445</v>
      </c>
      <c r="C34" s="865" t="s">
        <v>780</v>
      </c>
      <c r="D34" s="865" t="s">
        <v>740</v>
      </c>
      <c r="E34" s="1040">
        <f>$C$69</f>
        <v>120.50</v>
      </c>
      <c r="F34" s="865" t="s">
        <v>779</v>
      </c>
      <c r="H34" s="1014">
        <v>2</v>
      </c>
      <c r="I34" s="1037">
        <f t="shared" si="3"/>
        <v>0</v>
      </c>
      <c r="J34" s="1038">
        <f t="shared" si="4"/>
        <v>1</v>
      </c>
      <c r="K34" s="1039">
        <f t="shared" si="5"/>
        <v>0</v>
      </c>
    </row>
    <row r="35" spans="1:11" ht="14.4">
      <c r="A35" s="865">
        <v>5</v>
      </c>
      <c r="B35" s="865" t="s">
        <v>1445</v>
      </c>
      <c r="C35" s="865" t="s">
        <v>778</v>
      </c>
      <c r="D35" s="865" t="s">
        <v>183</v>
      </c>
      <c r="E35" s="1041">
        <v>1</v>
      </c>
      <c r="F35" s="865" t="s">
        <v>777</v>
      </c>
      <c r="H35" s="1014">
        <v>3</v>
      </c>
      <c r="I35" s="1037">
        <f t="shared" si="3"/>
        <v>0</v>
      </c>
      <c r="J35" s="1038">
        <f t="shared" si="4"/>
        <v>1</v>
      </c>
      <c r="K35" s="1039">
        <f t="shared" si="5"/>
        <v>0</v>
      </c>
    </row>
    <row r="36" spans="1:11" ht="14.4">
      <c r="A36" s="865">
        <v>6</v>
      </c>
      <c r="B36" s="865" t="s">
        <v>1445</v>
      </c>
      <c r="C36" s="865" t="s">
        <v>776</v>
      </c>
      <c r="D36" s="865" t="s">
        <v>740</v>
      </c>
      <c r="E36" s="1040">
        <f>E35*$E$60</f>
        <v>78.540000000000006</v>
      </c>
      <c r="H36" s="1014">
        <v>4</v>
      </c>
      <c r="I36" s="1037">
        <f t="shared" si="3"/>
        <v>0</v>
      </c>
      <c r="J36" s="1038">
        <f t="shared" si="4"/>
        <v>1</v>
      </c>
      <c r="K36" s="1039">
        <f t="shared" si="5"/>
        <v>0</v>
      </c>
    </row>
    <row r="37" spans="1:11" ht="14.4">
      <c r="A37" s="865">
        <v>7</v>
      </c>
      <c r="B37" s="865" t="s">
        <v>1445</v>
      </c>
      <c r="C37" s="865" t="s">
        <v>775</v>
      </c>
      <c r="D37" s="865" t="s">
        <v>740</v>
      </c>
      <c r="E37" s="1040">
        <f>SUM(E36,E34)</f>
        <v>199.04000000000002</v>
      </c>
      <c r="H37" s="1014">
        <v>5</v>
      </c>
      <c r="I37" s="1037">
        <f t="shared" si="3"/>
        <v>0</v>
      </c>
      <c r="J37" s="1038">
        <f t="shared" si="4"/>
        <v>1</v>
      </c>
      <c r="K37" s="1039">
        <f t="shared" si="5"/>
        <v>0</v>
      </c>
    </row>
    <row r="38" spans="1:11" ht="14.4">
      <c r="A38" s="865">
        <v>8</v>
      </c>
      <c r="B38" s="865" t="s">
        <v>1445</v>
      </c>
      <c r="C38" s="865" t="s">
        <v>774</v>
      </c>
      <c r="D38" s="865" t="s">
        <v>773</v>
      </c>
      <c r="E38" s="865">
        <v>4043</v>
      </c>
      <c r="H38" s="1014">
        <v>6</v>
      </c>
      <c r="I38" s="1037">
        <f t="shared" si="3"/>
        <v>0.10220483077859088</v>
      </c>
      <c r="J38" s="1038">
        <f t="shared" si="4"/>
        <v>0.89779516922140912</v>
      </c>
      <c r="K38" s="1039">
        <f t="shared" si="5"/>
        <v>227.41001692752127</v>
      </c>
    </row>
    <row r="39" spans="1:11" ht="14.4">
      <c r="A39" s="865">
        <v>9</v>
      </c>
      <c r="B39" s="865" t="s">
        <v>1445</v>
      </c>
      <c r="C39" s="865" t="s">
        <v>262</v>
      </c>
      <c r="D39" s="865" t="s">
        <v>183</v>
      </c>
      <c r="E39" s="865">
        <v>50000</v>
      </c>
      <c r="H39" s="1014">
        <v>7</v>
      </c>
      <c r="I39" s="1037">
        <f t="shared" si="3"/>
        <v>0.20440966155718177</v>
      </c>
      <c r="J39" s="1038">
        <f t="shared" si="4"/>
        <v>0.79559033844281823</v>
      </c>
      <c r="K39" s="1039">
        <f t="shared" si="5"/>
        <v>255.78003385504255</v>
      </c>
    </row>
    <row r="40" spans="1:11" ht="14.4">
      <c r="A40" s="865">
        <v>10</v>
      </c>
      <c r="B40" s="865" t="s">
        <v>1445</v>
      </c>
      <c r="C40" s="865" t="s">
        <v>262</v>
      </c>
      <c r="D40" s="865" t="s">
        <v>174</v>
      </c>
      <c r="E40" s="1042">
        <f>E39/E38</f>
        <v>12.367054167697255</v>
      </c>
      <c r="H40" s="1014">
        <v>8</v>
      </c>
      <c r="I40" s="1037">
        <f t="shared" si="3"/>
        <v>0.30661449233577265</v>
      </c>
      <c r="J40" s="1038">
        <f t="shared" si="4"/>
        <v>0.69338550766422735</v>
      </c>
      <c r="K40" s="1039">
        <f t="shared" si="5"/>
        <v>284.15005078256382</v>
      </c>
    </row>
    <row r="41" spans="1:11" ht="14.4">
      <c r="A41" s="865">
        <v>11</v>
      </c>
      <c r="B41" s="865" t="s">
        <v>1445</v>
      </c>
      <c r="C41" s="865" t="s">
        <v>772</v>
      </c>
      <c r="D41" s="865" t="s">
        <v>169</v>
      </c>
      <c r="E41" s="1043">
        <v>0.75</v>
      </c>
      <c r="F41" s="865" t="s">
        <v>771</v>
      </c>
      <c r="H41" s="1014">
        <v>9</v>
      </c>
      <c r="I41" s="1037">
        <f t="shared" si="3"/>
        <v>0.40881932311436353</v>
      </c>
      <c r="J41" s="1038">
        <f t="shared" si="4"/>
        <v>0.59118067688563647</v>
      </c>
      <c r="K41" s="1039">
        <f t="shared" si="5"/>
        <v>312.52006771008507</v>
      </c>
    </row>
    <row r="42" spans="1:11" ht="14.4">
      <c r="A42" s="865">
        <v>12</v>
      </c>
      <c r="B42" s="865" t="s">
        <v>1445</v>
      </c>
      <c r="C42" s="865" t="s">
        <v>770</v>
      </c>
      <c r="D42" s="865" t="s">
        <v>183</v>
      </c>
      <c r="E42" s="1044">
        <f>E43*E38</f>
        <v>37500</v>
      </c>
      <c r="H42" s="1014">
        <v>10</v>
      </c>
      <c r="I42" s="1037">
        <f t="shared" si="3"/>
        <v>0.51102415389295441</v>
      </c>
      <c r="J42" s="1038">
        <f t="shared" si="4"/>
        <v>0.48897584610704559</v>
      </c>
      <c r="K42" s="1039">
        <f t="shared" si="5"/>
        <v>340.89008463760632</v>
      </c>
    </row>
    <row r="43" spans="1:11" ht="14.4">
      <c r="A43" s="865">
        <v>13</v>
      </c>
      <c r="B43" s="865" t="s">
        <v>1445</v>
      </c>
      <c r="C43" s="865" t="s">
        <v>769</v>
      </c>
      <c r="D43" s="865" t="s">
        <v>174</v>
      </c>
      <c r="E43" s="1042">
        <f>E41*E40</f>
        <v>9.2752906257729411</v>
      </c>
      <c r="H43" s="1014">
        <v>11</v>
      </c>
      <c r="I43" s="1037">
        <f t="shared" si="3"/>
        <v>0.6132289846715453</v>
      </c>
      <c r="J43" s="1038">
        <f t="shared" si="4"/>
        <v>0.3867710153284547</v>
      </c>
      <c r="K43" s="1039">
        <f t="shared" si="5"/>
        <v>369.26010156512757</v>
      </c>
    </row>
    <row r="44" spans="1:11" ht="14.4">
      <c r="A44" s="865">
        <v>14</v>
      </c>
      <c r="B44" s="865" t="s">
        <v>1445</v>
      </c>
      <c r="C44" s="865" t="s">
        <v>768</v>
      </c>
      <c r="D44" s="865" t="s">
        <v>174</v>
      </c>
      <c r="E44" s="865">
        <v>5</v>
      </c>
      <c r="H44" s="1014">
        <v>12</v>
      </c>
      <c r="I44" s="1037">
        <f t="shared" si="3"/>
        <v>0.71543381545013618</v>
      </c>
      <c r="J44" s="1038">
        <f t="shared" si="4"/>
        <v>0.28456618454986382</v>
      </c>
      <c r="K44" s="1039">
        <f t="shared" si="5"/>
        <v>397.63011849264888</v>
      </c>
    </row>
    <row r="45" spans="1:11" ht="14.4">
      <c r="A45" s="865">
        <v>15</v>
      </c>
      <c r="B45" s="865" t="s">
        <v>1445</v>
      </c>
      <c r="C45" s="865" t="s">
        <v>767</v>
      </c>
      <c r="D45" s="865" t="s">
        <v>169</v>
      </c>
      <c r="E45" s="1046">
        <v>0.10</v>
      </c>
      <c r="F45" s="865" t="s">
        <v>1738</v>
      </c>
      <c r="H45" s="1014">
        <v>13</v>
      </c>
      <c r="I45" s="1037">
        <f t="shared" si="3"/>
        <v>0.81763864622872706</v>
      </c>
      <c r="J45" s="1038">
        <f t="shared" si="4"/>
        <v>0.18236135377127294</v>
      </c>
      <c r="K45" s="1039">
        <f t="shared" si="5"/>
        <v>0</v>
      </c>
    </row>
    <row r="46" spans="1:11" ht="14.4">
      <c r="A46" s="865">
        <v>16</v>
      </c>
      <c r="B46" s="865" t="s">
        <v>1445</v>
      </c>
      <c r="C46" s="865" t="s">
        <v>766</v>
      </c>
      <c r="D46" s="865" t="s">
        <v>183</v>
      </c>
      <c r="E46" s="865">
        <v>2</v>
      </c>
      <c r="F46" s="865" t="s">
        <v>765</v>
      </c>
      <c r="H46" s="1014">
        <v>14</v>
      </c>
      <c r="I46" s="1037">
        <f t="shared" si="3"/>
        <v>0.91984347700731794</v>
      </c>
      <c r="J46" s="1038">
        <f t="shared" si="4"/>
        <v>0.080156522992682055</v>
      </c>
      <c r="K46" s="1039">
        <f t="shared" si="5"/>
        <v>0</v>
      </c>
    </row>
    <row r="47" spans="1:11" ht="14.4">
      <c r="A47" s="865">
        <v>17</v>
      </c>
      <c r="B47" s="865" t="s">
        <v>1445</v>
      </c>
      <c r="C47" s="865" t="str">
        <f>"Early Failure "&amp;C36</f>
        <v>Early Failure Labor Cost to Install</v>
      </c>
      <c r="D47" s="865" t="s">
        <v>740</v>
      </c>
      <c r="E47" s="1048">
        <f>E46*$E$60</f>
        <v>157.08000000000001</v>
      </c>
      <c r="H47" s="1014">
        <v>15</v>
      </c>
      <c r="I47" s="1037">
        <f t="shared" si="3"/>
        <v>1</v>
      </c>
      <c r="J47" s="1038">
        <f t="shared" si="4"/>
        <v>0</v>
      </c>
      <c r="K47" s="1039">
        <f t="shared" si="5"/>
        <v>0</v>
      </c>
    </row>
    <row r="48" spans="1:11" ht="14.4">
      <c r="A48" s="865">
        <v>18</v>
      </c>
      <c r="B48" s="865" t="s">
        <v>1445</v>
      </c>
      <c r="C48" s="865" t="s">
        <v>764</v>
      </c>
      <c r="D48" s="865" t="s">
        <v>740</v>
      </c>
      <c r="E48" s="1048">
        <f>$D$80</f>
        <v>120.50</v>
      </c>
      <c r="H48" s="1649" t="s">
        <v>763</v>
      </c>
      <c r="I48" s="1650"/>
      <c r="J48" s="1651"/>
      <c r="K48" s="1049">
        <f>AVERAGEIFS($K$33:$K$47,$K$33:$K$47,"&gt;0")</f>
        <v>312.52006771008507</v>
      </c>
    </row>
    <row r="49" spans="1:5" ht="14.4">
      <c r="A49" s="865">
        <v>19</v>
      </c>
      <c r="B49" s="865" t="s">
        <v>1445</v>
      </c>
      <c r="C49" s="865" t="str">
        <f>"Early Failure "&amp;C37</f>
        <v>Early Failure Total Installed Cost</v>
      </c>
      <c r="D49" s="865" t="s">
        <v>740</v>
      </c>
      <c r="E49" s="1048">
        <f>SUM(E47:E48)</f>
        <v>277.58000000000004</v>
      </c>
    </row>
    <row r="50" spans="1:5" ht="14.4">
      <c r="A50" s="865">
        <v>20</v>
      </c>
      <c r="B50" s="865" t="s">
        <v>1445</v>
      </c>
      <c r="C50" s="865" t="s">
        <v>762</v>
      </c>
      <c r="D50" s="865" t="s">
        <v>740</v>
      </c>
      <c r="E50" s="1048">
        <f>($E$37*(1-$E$45))+($K$48*$E$45)</f>
        <v>210.38800677100852</v>
      </c>
    </row>
    <row r="51" spans="1:5" ht="14.4">
      <c r="A51" s="865">
        <v>21</v>
      </c>
      <c r="B51" s="865" t="s">
        <v>1445</v>
      </c>
      <c r="C51" s="865" t="s">
        <v>761</v>
      </c>
      <c r="D51" s="865" t="s">
        <v>760</v>
      </c>
      <c r="E51" s="865">
        <f>E33*E38*10^-3</f>
        <v>291.096</v>
      </c>
    </row>
    <row r="52" spans="1:5" ht="14.4">
      <c r="A52" s="865">
        <v>22</v>
      </c>
      <c r="B52" s="865" t="s">
        <v>1445</v>
      </c>
      <c r="C52" s="865" t="s">
        <v>759</v>
      </c>
      <c r="D52" s="865" t="s">
        <v>758</v>
      </c>
      <c r="E52" s="865">
        <f>E51*E40</f>
        <v>3600</v>
      </c>
    </row>
    <row r="53" spans="1:5" ht="14.4">
      <c r="A53" s="865">
        <v>23</v>
      </c>
      <c r="B53" s="865" t="s">
        <v>1445</v>
      </c>
      <c r="C53" s="865" t="s">
        <v>757</v>
      </c>
      <c r="D53" s="865" t="s">
        <v>756</v>
      </c>
      <c r="E53" s="1050">
        <f>E51/12</f>
        <v>24.257999999999999</v>
      </c>
    </row>
    <row r="54" spans="1:5" ht="14.4">
      <c r="A54" s="865">
        <v>24</v>
      </c>
      <c r="B54" s="865" t="s">
        <v>1445</v>
      </c>
      <c r="C54" s="865" t="s">
        <v>754</v>
      </c>
      <c r="D54" s="865" t="s">
        <v>753</v>
      </c>
      <c r="E54" s="1040">
        <v>6.90</v>
      </c>
    </row>
    <row r="55" ht="14.4"/>
    <row r="56" spans="3:5" ht="14.4">
      <c r="C56" s="865" t="s">
        <v>697</v>
      </c>
      <c r="D56" s="865" t="s">
        <v>752</v>
      </c>
      <c r="E56" s="1048">
        <f>E50-E22</f>
        <v>20.74836673804316</v>
      </c>
    </row>
    <row r="57" spans="3:5" ht="14.4">
      <c r="C57" s="865" t="s">
        <v>751</v>
      </c>
      <c r="D57" s="865" t="s">
        <v>750</v>
      </c>
      <c r="E57" s="1048">
        <f>E50-E23</f>
        <v>-421.74412667220935</v>
      </c>
    </row>
    <row r="58" ht="14.4"/>
    <row r="59" spans="2:5" ht="14.4">
      <c r="B59" s="865" t="s">
        <v>745</v>
      </c>
      <c r="C59" s="865" t="s">
        <v>749</v>
      </c>
      <c r="D59" s="865" t="s">
        <v>748</v>
      </c>
      <c r="E59" s="865">
        <v>2000</v>
      </c>
    </row>
    <row r="60" spans="2:5" ht="14.4">
      <c r="B60" s="865" t="s">
        <v>745</v>
      </c>
      <c r="C60" s="865" t="s">
        <v>747</v>
      </c>
      <c r="D60" s="865" t="s">
        <v>746</v>
      </c>
      <c r="E60" s="1040">
        <v>78.540000000000006</v>
      </c>
    </row>
    <row r="61" spans="2:5" ht="14.4">
      <c r="B61" s="865" t="s">
        <v>745</v>
      </c>
      <c r="C61" s="865" t="s">
        <v>744</v>
      </c>
      <c r="D61" s="865" t="s">
        <v>743</v>
      </c>
      <c r="E61" s="1041">
        <v>1</v>
      </c>
    </row>
    <row r="62" ht="14.4"/>
    <row r="63" spans="2:6" ht="14.4">
      <c r="B63" s="865" t="s">
        <v>742</v>
      </c>
      <c r="C63" s="865" t="s">
        <v>741</v>
      </c>
      <c r="D63" s="865" t="s">
        <v>740</v>
      </c>
      <c r="E63" s="1040">
        <v>35</v>
      </c>
      <c r="F63" s="865" t="s">
        <v>739</v>
      </c>
    </row>
    <row r="64" ht="14.4"/>
    <row r="65" ht="14.4">
      <c r="B65" s="865" t="s">
        <v>738</v>
      </c>
    </row>
    <row r="66" spans="2:3" ht="14.4">
      <c r="B66" s="865" t="s">
        <v>737</v>
      </c>
      <c r="C66" s="1040">
        <v>115</v>
      </c>
    </row>
    <row r="67" spans="2:3" ht="14.4">
      <c r="B67" s="865" t="s">
        <v>736</v>
      </c>
      <c r="C67" s="1040">
        <v>15</v>
      </c>
    </row>
    <row r="68" spans="2:3" ht="14.4">
      <c r="B68" s="865" t="s">
        <v>735</v>
      </c>
      <c r="C68" s="1040">
        <v>5.50</v>
      </c>
    </row>
    <row r="69" spans="2:3" ht="14.4">
      <c r="B69" s="865" t="s">
        <v>734</v>
      </c>
      <c r="C69" s="1048">
        <f>SUM(C66,C68)</f>
        <v>120.50</v>
      </c>
    </row>
    <row r="70" ht="14.4"/>
    <row r="71" ht="14.4">
      <c r="B71" s="865" t="s">
        <v>733</v>
      </c>
    </row>
    <row r="72" spans="2:4" ht="14.4">
      <c r="B72" s="865" t="s">
        <v>718</v>
      </c>
      <c r="C72" s="1046">
        <v>0.30</v>
      </c>
      <c r="D72" s="865" t="s">
        <v>717</v>
      </c>
    </row>
    <row r="73" spans="2:4" ht="14.4">
      <c r="B73" s="865" t="s">
        <v>716</v>
      </c>
      <c r="C73" s="1046">
        <v>0.70</v>
      </c>
      <c r="D73" s="865" t="s">
        <v>715</v>
      </c>
    </row>
    <row r="74" ht="14.4"/>
    <row r="75" spans="2:4" ht="14.4">
      <c r="B75" s="865" t="s">
        <v>732</v>
      </c>
      <c r="C75" s="865" t="s">
        <v>731</v>
      </c>
      <c r="D75" s="865" t="s">
        <v>723</v>
      </c>
    </row>
    <row r="76" spans="2:5" ht="14.4">
      <c r="B76" s="865" t="s">
        <v>730</v>
      </c>
      <c r="C76" s="865" t="s">
        <v>721</v>
      </c>
      <c r="D76" s="865" t="s">
        <v>721</v>
      </c>
      <c r="E76" s="865" t="s">
        <v>78</v>
      </c>
    </row>
    <row r="77" spans="2:4" ht="14.4">
      <c r="B77" s="865" t="s">
        <v>729</v>
      </c>
      <c r="C77" s="1040">
        <f>C80-SUM(C78:C79)</f>
        <v>61.50</v>
      </c>
      <c r="D77" s="1040" t="s">
        <v>200</v>
      </c>
    </row>
    <row r="78" spans="2:5" ht="14.4">
      <c r="B78" s="865" t="s">
        <v>116</v>
      </c>
      <c r="C78" s="1040">
        <v>11</v>
      </c>
      <c r="D78" s="1040">
        <f>$C$66</f>
        <v>115</v>
      </c>
      <c r="E78" s="865" t="s">
        <v>728</v>
      </c>
    </row>
    <row r="79" spans="2:5" ht="14.4">
      <c r="B79" s="865" t="s">
        <v>727</v>
      </c>
      <c r="C79" s="1040">
        <v>5.50</v>
      </c>
      <c r="D79" s="1040">
        <f>$C$68</f>
        <v>5.50</v>
      </c>
      <c r="E79" s="865" t="s">
        <v>726</v>
      </c>
    </row>
    <row r="80" spans="2:4" ht="14.4">
      <c r="B80" s="865" t="s">
        <v>131</v>
      </c>
      <c r="C80" s="1040">
        <f>$E$6</f>
        <v>78</v>
      </c>
      <c r="D80" s="1040">
        <f>SUM(D77:D79)</f>
        <v>120.50</v>
      </c>
    </row>
    <row r="81" ht="14.4"/>
    <row r="82" spans="2:4" ht="14.4">
      <c r="B82" s="865" t="s">
        <v>725</v>
      </c>
      <c r="C82" s="865" t="s">
        <v>724</v>
      </c>
      <c r="D82" s="865" t="s">
        <v>723</v>
      </c>
    </row>
    <row r="83" spans="2:5" ht="14.4">
      <c r="B83" s="865" t="s">
        <v>722</v>
      </c>
      <c r="C83" s="865" t="s">
        <v>721</v>
      </c>
      <c r="D83" s="865" t="s">
        <v>721</v>
      </c>
      <c r="E83" s="865" t="s">
        <v>192</v>
      </c>
    </row>
    <row r="84" spans="2:5" ht="14.4">
      <c r="B84" s="865">
        <v>2</v>
      </c>
      <c r="C84" s="1048">
        <f>B84*$E$60</f>
        <v>157.08000000000001</v>
      </c>
      <c r="E84" s="865" t="s">
        <v>717</v>
      </c>
    </row>
    <row r="85" spans="2:5" ht="14.4">
      <c r="B85" s="865">
        <v>1</v>
      </c>
      <c r="C85" s="1048">
        <f>B85*$E$60</f>
        <v>78.540000000000006</v>
      </c>
      <c r="E85" s="865" t="s">
        <v>715</v>
      </c>
    </row>
    <row r="86" spans="2:5" ht="14.4">
      <c r="B86" s="1041">
        <f>(B84*$C$72)+(B85*$C$73)</f>
        <v>1.2999999999999998</v>
      </c>
      <c r="C86" s="1048">
        <f>(C84*$C$72)+(C85*$C$73)</f>
        <v>102.102</v>
      </c>
      <c r="E86" s="865" t="s">
        <v>720</v>
      </c>
    </row>
    <row r="87" ht="14.4"/>
    <row r="88" ht="14.4">
      <c r="B88" s="865" t="s">
        <v>719</v>
      </c>
    </row>
    <row r="89" spans="2:4" ht="14.4">
      <c r="B89" s="865" t="s">
        <v>718</v>
      </c>
      <c r="C89" s="1048">
        <f>SUM(C80)</f>
        <v>78</v>
      </c>
      <c r="D89" s="865" t="s">
        <v>717</v>
      </c>
    </row>
    <row r="90" spans="2:4" ht="14.4">
      <c r="B90" s="865" t="s">
        <v>716</v>
      </c>
      <c r="C90" s="1048">
        <f>SUM(C78:C79)</f>
        <v>16.50</v>
      </c>
      <c r="D90" s="865" t="s">
        <v>715</v>
      </c>
    </row>
    <row r="91" spans="2:4" ht="14.4">
      <c r="B91" s="865" t="s">
        <v>714</v>
      </c>
      <c r="C91" s="1048">
        <f>(C89*$C$72)+(C90*$C$73)</f>
        <v>34.949999999999996</v>
      </c>
      <c r="D91" s="865" t="s">
        <v>713</v>
      </c>
    </row>
    <row r="92" ht="14.4"/>
    <row r="93" ht="14.4">
      <c r="C93" s="1052"/>
    </row>
    <row r="94" ht="14.4"/>
    <row r="95" ht="14.4">
      <c r="B95" s="1033" t="s">
        <v>859</v>
      </c>
    </row>
    <row r="96" spans="2:3" ht="14.4">
      <c r="B96" s="1040">
        <v>6.64</v>
      </c>
      <c r="C96" s="865" t="s">
        <v>711</v>
      </c>
    </row>
    <row r="97" spans="2:3" ht="14.4">
      <c r="B97" s="1040">
        <f>B96*12</f>
        <v>79.679999999999993</v>
      </c>
      <c r="C97" s="865" t="s">
        <v>710</v>
      </c>
    </row>
  </sheetData>
  <mergeCells count="2">
    <mergeCell ref="H20:J20"/>
    <mergeCell ref="H48:J48"/>
  </mergeCells>
  <pageMargins left="0.7" right="0.7" top="0.75" bottom="0.75" header="0.3" footer="0.3"/>
  <pageSetup orientation="portrait"/>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7" tint="0.39998"/>
  </sheetPr>
  <dimension ref="A1:K97"/>
  <sheetViews>
    <sheetView zoomScale="70" zoomScaleNormal="70" workbookViewId="0" topLeftCell="A1"/>
  </sheetViews>
  <sheetFormatPr defaultColWidth="8.77734375" defaultRowHeight="14.4"/>
  <cols>
    <col min="1" max="1" width="8.77777777777778" style="865"/>
    <col min="2" max="2" width="40.7777777777778" style="865" customWidth="1"/>
    <col min="3" max="3" width="39.2222222222222" style="865" bestFit="1" customWidth="1"/>
    <col min="4" max="4" width="51" style="865" bestFit="1" customWidth="1"/>
    <col min="5" max="5" width="46" style="865" bestFit="1" customWidth="1"/>
    <col min="6" max="6" width="122.222222222222" style="865" bestFit="1" customWidth="1"/>
    <col min="7" max="7" width="8.77777777777778" style="865"/>
    <col min="8" max="8" width="10.5555555555556" style="865" customWidth="1"/>
    <col min="9" max="9" width="31.7777777777778" style="865" bestFit="1" customWidth="1"/>
    <col min="10" max="10" width="21.4444444444444" style="865" bestFit="1" customWidth="1"/>
    <col min="11" max="11" width="23.7777777777778" style="865" bestFit="1" customWidth="1"/>
    <col min="12" max="16384" width="8.77777777777778" style="865"/>
  </cols>
  <sheetData>
    <row r="1" ht="14.4">
      <c r="B1" s="1032" t="s">
        <v>1739</v>
      </c>
    </row>
    <row r="2" spans="1:8" ht="14.4">
      <c r="A2" s="1033" t="s">
        <v>789</v>
      </c>
      <c r="B2" s="1033" t="s">
        <v>788</v>
      </c>
      <c r="C2" s="1033" t="s">
        <v>192</v>
      </c>
      <c r="D2" s="1033" t="s">
        <v>195</v>
      </c>
      <c r="E2" s="1033" t="s">
        <v>194</v>
      </c>
      <c r="F2" s="1033" t="s">
        <v>78</v>
      </c>
      <c r="H2" s="1033" t="s">
        <v>787</v>
      </c>
    </row>
    <row r="3" spans="1:8" ht="14.4">
      <c r="A3" s="865">
        <v>1</v>
      </c>
      <c r="B3" s="865" t="s">
        <v>1274</v>
      </c>
      <c r="C3" s="865" t="s">
        <v>786</v>
      </c>
      <c r="D3" s="865" t="s">
        <v>185</v>
      </c>
      <c r="E3" s="865">
        <v>250</v>
      </c>
      <c r="H3" s="1034">
        <f>1-EXP(-$E$10/$E$14)</f>
        <v>0.30188942913059769</v>
      </c>
    </row>
    <row r="4" spans="1:11" ht="14.4">
      <c r="A4" s="865">
        <v>2</v>
      </c>
      <c r="B4" s="865" t="s">
        <v>1274</v>
      </c>
      <c r="C4" s="865" t="s">
        <v>785</v>
      </c>
      <c r="D4" s="865" t="s">
        <v>185</v>
      </c>
      <c r="E4" s="865">
        <f>E5-E3</f>
        <v>45</v>
      </c>
      <c r="H4" s="1035" t="s">
        <v>784</v>
      </c>
      <c r="I4" s="1035" t="s">
        <v>783</v>
      </c>
      <c r="J4" s="1036" t="s">
        <v>782</v>
      </c>
      <c r="K4" s="1035" t="s">
        <v>775</v>
      </c>
    </row>
    <row r="5" spans="1:11" ht="14.4">
      <c r="A5" s="865">
        <v>3</v>
      </c>
      <c r="B5" s="865" t="s">
        <v>1274</v>
      </c>
      <c r="C5" s="865" t="s">
        <v>781</v>
      </c>
      <c r="D5" s="865" t="s">
        <v>185</v>
      </c>
      <c r="E5" s="865">
        <v>295</v>
      </c>
      <c r="F5" s="865" t="s">
        <v>1737</v>
      </c>
      <c r="H5" s="1014">
        <v>1</v>
      </c>
      <c r="I5" s="1037">
        <f t="shared" si="0" ref="I5:I19">IF(H5*$H$3&gt;=100%,100%,H5*$H$3)</f>
        <v>0.30188942913059769</v>
      </c>
      <c r="J5" s="1038">
        <f t="shared" si="1" ref="J5:J19">1-I5</f>
        <v>0.69811057086940231</v>
      </c>
      <c r="K5" s="1039">
        <f t="shared" si="2" ref="K5:K19">IF($H5&gt;=$E$12,0,$E$9+($E$21*$I5))</f>
        <v>0</v>
      </c>
    </row>
    <row r="6" spans="1:11" ht="14.4">
      <c r="A6" s="865">
        <v>4</v>
      </c>
      <c r="B6" s="865" t="s">
        <v>1274</v>
      </c>
      <c r="C6" s="865" t="s">
        <v>780</v>
      </c>
      <c r="D6" s="865" t="s">
        <v>740</v>
      </c>
      <c r="E6" s="1040"/>
      <c r="F6" s="865" t="s">
        <v>1322</v>
      </c>
      <c r="H6" s="1014">
        <v>2</v>
      </c>
      <c r="I6" s="1037">
        <f t="shared" si="0"/>
        <v>0.60377885826119537</v>
      </c>
      <c r="J6" s="1038">
        <f t="shared" si="1"/>
        <v>0.39622114173880463</v>
      </c>
      <c r="K6" s="1039">
        <f t="shared" si="2"/>
        <v>0</v>
      </c>
    </row>
    <row r="7" spans="1:11" ht="14.4">
      <c r="A7" s="865">
        <v>5</v>
      </c>
      <c r="B7" s="865" t="s">
        <v>1274</v>
      </c>
      <c r="C7" s="865" t="s">
        <v>778</v>
      </c>
      <c r="D7" s="865" t="s">
        <v>183</v>
      </c>
      <c r="E7" s="1041"/>
      <c r="F7" s="865" t="s">
        <v>1322</v>
      </c>
      <c r="H7" s="1014">
        <v>3</v>
      </c>
      <c r="I7" s="1037">
        <f t="shared" si="0"/>
        <v>0.90566828739179306</v>
      </c>
      <c r="J7" s="1038">
        <f t="shared" si="1"/>
        <v>0.094331712608206941</v>
      </c>
      <c r="K7" s="1039">
        <f t="shared" si="2"/>
        <v>0</v>
      </c>
    </row>
    <row r="8" spans="1:11" ht="14.4">
      <c r="A8" s="865">
        <v>6</v>
      </c>
      <c r="B8" s="865" t="s">
        <v>1274</v>
      </c>
      <c r="C8" s="865" t="s">
        <v>776</v>
      </c>
      <c r="D8" s="865" t="s">
        <v>740</v>
      </c>
      <c r="E8" s="1040"/>
      <c r="F8" s="865" t="s">
        <v>1322</v>
      </c>
      <c r="H8" s="1014">
        <v>4</v>
      </c>
      <c r="I8" s="1037">
        <f t="shared" si="0"/>
        <v>1</v>
      </c>
      <c r="J8" s="1038">
        <f t="shared" si="1"/>
        <v>0</v>
      </c>
      <c r="K8" s="1039">
        <f t="shared" si="2"/>
        <v>0</v>
      </c>
    </row>
    <row r="9" spans="1:11" ht="14.4">
      <c r="A9" s="865">
        <v>7</v>
      </c>
      <c r="B9" s="865" t="s">
        <v>1274</v>
      </c>
      <c r="C9" s="865" t="s">
        <v>775</v>
      </c>
      <c r="D9" s="865" t="s">
        <v>740</v>
      </c>
      <c r="E9" s="1040"/>
      <c r="F9" s="865" t="s">
        <v>1322</v>
      </c>
      <c r="H9" s="1014">
        <v>5</v>
      </c>
      <c r="I9" s="1037">
        <f t="shared" si="0"/>
        <v>1</v>
      </c>
      <c r="J9" s="1038">
        <f t="shared" si="1"/>
        <v>0</v>
      </c>
      <c r="K9" s="1039">
        <f t="shared" si="2"/>
        <v>0</v>
      </c>
    </row>
    <row r="10" spans="1:11" ht="14.4">
      <c r="A10" s="865">
        <v>8</v>
      </c>
      <c r="B10" s="865" t="s">
        <v>1274</v>
      </c>
      <c r="C10" s="865" t="s">
        <v>774</v>
      </c>
      <c r="D10" s="865" t="s">
        <v>773</v>
      </c>
      <c r="E10" s="865">
        <v>4043</v>
      </c>
      <c r="H10" s="1014">
        <v>6</v>
      </c>
      <c r="I10" s="1037">
        <f t="shared" si="0"/>
        <v>1</v>
      </c>
      <c r="J10" s="1038">
        <f t="shared" si="1"/>
        <v>0</v>
      </c>
      <c r="K10" s="1039">
        <f t="shared" si="2"/>
        <v>0</v>
      </c>
    </row>
    <row r="11" spans="1:11" ht="14.4">
      <c r="A11" s="865">
        <v>9</v>
      </c>
      <c r="B11" s="865" t="s">
        <v>1274</v>
      </c>
      <c r="C11" s="865" t="s">
        <v>262</v>
      </c>
      <c r="D11" s="865" t="s">
        <v>183</v>
      </c>
      <c r="E11" s="865">
        <v>15000</v>
      </c>
      <c r="H11" s="1014">
        <v>7</v>
      </c>
      <c r="I11" s="1037">
        <f t="shared" si="0"/>
        <v>1</v>
      </c>
      <c r="J11" s="1038">
        <f t="shared" si="1"/>
        <v>0</v>
      </c>
      <c r="K11" s="1039">
        <f t="shared" si="2"/>
        <v>0</v>
      </c>
    </row>
    <row r="12" spans="1:11" ht="14.4">
      <c r="A12" s="865">
        <v>10</v>
      </c>
      <c r="B12" s="865" t="s">
        <v>1274</v>
      </c>
      <c r="C12" s="865" t="s">
        <v>262</v>
      </c>
      <c r="D12" s="865" t="s">
        <v>174</v>
      </c>
      <c r="E12" s="1042">
        <f>E11/E10</f>
        <v>3.7101162503091762</v>
      </c>
      <c r="H12" s="1014">
        <v>8</v>
      </c>
      <c r="I12" s="1037">
        <f t="shared" si="0"/>
        <v>1</v>
      </c>
      <c r="J12" s="1038">
        <f t="shared" si="1"/>
        <v>0</v>
      </c>
      <c r="K12" s="1039">
        <f t="shared" si="2"/>
        <v>0</v>
      </c>
    </row>
    <row r="13" spans="1:11" ht="14.4">
      <c r="A13" s="865">
        <v>11</v>
      </c>
      <c r="B13" s="865" t="s">
        <v>1274</v>
      </c>
      <c r="C13" s="865" t="s">
        <v>772</v>
      </c>
      <c r="D13" s="865" t="s">
        <v>169</v>
      </c>
      <c r="E13" s="1043">
        <v>0.75</v>
      </c>
      <c r="F13" s="865" t="s">
        <v>797</v>
      </c>
      <c r="H13" s="1014">
        <v>9</v>
      </c>
      <c r="I13" s="1037">
        <f t="shared" si="0"/>
        <v>1</v>
      </c>
      <c r="J13" s="1038">
        <f t="shared" si="1"/>
        <v>0</v>
      </c>
      <c r="K13" s="1039">
        <f t="shared" si="2"/>
        <v>0</v>
      </c>
    </row>
    <row r="14" spans="1:11" ht="14.4">
      <c r="A14" s="865">
        <v>12</v>
      </c>
      <c r="B14" s="865" t="s">
        <v>1274</v>
      </c>
      <c r="C14" s="865" t="s">
        <v>770</v>
      </c>
      <c r="D14" s="865" t="s">
        <v>183</v>
      </c>
      <c r="E14" s="1044">
        <f>E15*E10</f>
        <v>11249.999999999998</v>
      </c>
      <c r="H14" s="1014">
        <v>10</v>
      </c>
      <c r="I14" s="1037">
        <f t="shared" si="0"/>
        <v>1</v>
      </c>
      <c r="J14" s="1038">
        <f t="shared" si="1"/>
        <v>0</v>
      </c>
      <c r="K14" s="1039">
        <f t="shared" si="2"/>
        <v>0</v>
      </c>
    </row>
    <row r="15" spans="1:11" ht="14.4">
      <c r="A15" s="865">
        <v>13</v>
      </c>
      <c r="B15" s="865" t="s">
        <v>1274</v>
      </c>
      <c r="C15" s="865" t="s">
        <v>769</v>
      </c>
      <c r="D15" s="865" t="s">
        <v>174</v>
      </c>
      <c r="E15" s="1042">
        <f>E13*E12</f>
        <v>2.782587187731882</v>
      </c>
      <c r="H15" s="1014">
        <v>11</v>
      </c>
      <c r="I15" s="1037">
        <f t="shared" si="0"/>
        <v>1</v>
      </c>
      <c r="J15" s="1038">
        <f t="shared" si="1"/>
        <v>0</v>
      </c>
      <c r="K15" s="1039">
        <f t="shared" si="2"/>
        <v>0</v>
      </c>
    </row>
    <row r="16" spans="1:11" ht="14.4">
      <c r="A16" s="865">
        <v>14</v>
      </c>
      <c r="B16" s="865" t="s">
        <v>1274</v>
      </c>
      <c r="C16" s="865" t="s">
        <v>768</v>
      </c>
      <c r="D16" s="865" t="s">
        <v>174</v>
      </c>
      <c r="E16" s="1045" t="s">
        <v>200</v>
      </c>
      <c r="H16" s="1014">
        <v>12</v>
      </c>
      <c r="I16" s="1037">
        <f t="shared" si="0"/>
        <v>1</v>
      </c>
      <c r="J16" s="1038">
        <f t="shared" si="1"/>
        <v>0</v>
      </c>
      <c r="K16" s="1039">
        <f t="shared" si="2"/>
        <v>0</v>
      </c>
    </row>
    <row r="17" spans="1:11" ht="14.4">
      <c r="A17" s="865">
        <v>15</v>
      </c>
      <c r="B17" s="865" t="s">
        <v>1274</v>
      </c>
      <c r="C17" s="865" t="s">
        <v>767</v>
      </c>
      <c r="D17" s="865" t="s">
        <v>169</v>
      </c>
      <c r="E17" s="1046">
        <v>0.40</v>
      </c>
      <c r="H17" s="1014">
        <v>13</v>
      </c>
      <c r="I17" s="1037">
        <f t="shared" si="0"/>
        <v>1</v>
      </c>
      <c r="J17" s="1038">
        <f t="shared" si="1"/>
        <v>0</v>
      </c>
      <c r="K17" s="1039">
        <f t="shared" si="2"/>
        <v>0</v>
      </c>
    </row>
    <row r="18" spans="1:11" ht="14.4">
      <c r="A18" s="865">
        <v>16</v>
      </c>
      <c r="B18" s="865" t="s">
        <v>1274</v>
      </c>
      <c r="C18" s="865" t="s">
        <v>766</v>
      </c>
      <c r="D18" s="865" t="s">
        <v>183</v>
      </c>
      <c r="E18" s="1047">
        <f>$B$86</f>
        <v>1.2999999999999998</v>
      </c>
      <c r="H18" s="1014">
        <v>14</v>
      </c>
      <c r="I18" s="1037">
        <f t="shared" si="0"/>
        <v>1</v>
      </c>
      <c r="J18" s="1038">
        <f t="shared" si="1"/>
        <v>0</v>
      </c>
      <c r="K18" s="1039">
        <f t="shared" si="2"/>
        <v>0</v>
      </c>
    </row>
    <row r="19" spans="1:11" ht="14.4">
      <c r="A19" s="865">
        <v>17</v>
      </c>
      <c r="B19" s="865" t="s">
        <v>1274</v>
      </c>
      <c r="C19" s="865" t="str">
        <f>"Early Failure "&amp;C8</f>
        <v>Early Failure Labor Cost to Install</v>
      </c>
      <c r="D19" s="865" t="s">
        <v>740</v>
      </c>
      <c r="E19" s="1048"/>
      <c r="F19" s="865" t="s">
        <v>1322</v>
      </c>
      <c r="H19" s="1014">
        <v>15</v>
      </c>
      <c r="I19" s="1037">
        <f t="shared" si="0"/>
        <v>1</v>
      </c>
      <c r="J19" s="1038">
        <f t="shared" si="1"/>
        <v>0</v>
      </c>
      <c r="K19" s="1039">
        <f t="shared" si="2"/>
        <v>0</v>
      </c>
    </row>
    <row r="20" spans="1:11" ht="14.4">
      <c r="A20" s="865">
        <v>18</v>
      </c>
      <c r="B20" s="865" t="s">
        <v>1274</v>
      </c>
      <c r="C20" s="865" t="s">
        <v>764</v>
      </c>
      <c r="D20" s="865" t="s">
        <v>740</v>
      </c>
      <c r="E20" s="1048"/>
      <c r="F20" s="865" t="s">
        <v>1322</v>
      </c>
      <c r="H20" s="1636" t="s">
        <v>763</v>
      </c>
      <c r="I20" s="1636"/>
      <c r="J20" s="1636"/>
      <c r="K20" s="1049" t="e">
        <f>AVERAGEIFS($K$5:$K$19,$K$5:$K$19,"&gt;0")</f>
        <v>#DIV/0!</v>
      </c>
    </row>
    <row r="21" spans="1:6" ht="14.4">
      <c r="A21" s="865">
        <v>19</v>
      </c>
      <c r="B21" s="865" t="s">
        <v>1274</v>
      </c>
      <c r="C21" s="865" t="str">
        <f>"Early Failure "&amp;C9</f>
        <v>Early Failure Total Installed Cost</v>
      </c>
      <c r="D21" s="865" t="s">
        <v>740</v>
      </c>
      <c r="E21" s="1048"/>
      <c r="F21" s="865" t="s">
        <v>1322</v>
      </c>
    </row>
    <row r="22" spans="1:6" ht="14.4">
      <c r="A22" s="865">
        <v>20</v>
      </c>
      <c r="B22" s="865" t="s">
        <v>1274</v>
      </c>
      <c r="C22" s="865" t="s">
        <v>762</v>
      </c>
      <c r="D22" s="865" t="s">
        <v>740</v>
      </c>
      <c r="E22" s="1048"/>
      <c r="F22" s="865" t="s">
        <v>1322</v>
      </c>
    </row>
    <row r="23" spans="1:6" ht="14.4">
      <c r="A23" s="865">
        <v>21</v>
      </c>
      <c r="B23" s="865" t="s">
        <v>1274</v>
      </c>
      <c r="C23" s="865" t="s">
        <v>796</v>
      </c>
      <c r="D23" s="865" t="s">
        <v>795</v>
      </c>
      <c r="E23" s="1048"/>
      <c r="F23" s="865" t="s">
        <v>1322</v>
      </c>
    </row>
    <row r="24" spans="1:5" ht="14.4">
      <c r="A24" s="865">
        <v>22</v>
      </c>
      <c r="B24" s="865" t="s">
        <v>1274</v>
      </c>
      <c r="C24" s="865" t="s">
        <v>761</v>
      </c>
      <c r="D24" s="865" t="s">
        <v>760</v>
      </c>
      <c r="E24" s="865">
        <f>E5*E10*10^-3</f>
        <v>1192.685</v>
      </c>
    </row>
    <row r="25" spans="1:5" ht="14.4">
      <c r="A25" s="865">
        <v>23</v>
      </c>
      <c r="B25" s="865" t="s">
        <v>1274</v>
      </c>
      <c r="C25" s="865" t="s">
        <v>759</v>
      </c>
      <c r="D25" s="865" t="s">
        <v>758</v>
      </c>
      <c r="E25" s="865">
        <f>E24*E12</f>
        <v>4425</v>
      </c>
    </row>
    <row r="26" spans="1:5" ht="14.4">
      <c r="A26" s="865">
        <v>24</v>
      </c>
      <c r="B26" s="865" t="s">
        <v>1274</v>
      </c>
      <c r="C26" s="865" t="s">
        <v>757</v>
      </c>
      <c r="D26" s="865" t="s">
        <v>756</v>
      </c>
      <c r="E26" s="1050">
        <f>E24/12</f>
        <v>99.390416666666667</v>
      </c>
    </row>
    <row r="27" spans="1:6" ht="14.4">
      <c r="A27" s="865">
        <v>25</v>
      </c>
      <c r="B27" s="865" t="s">
        <v>1274</v>
      </c>
      <c r="C27" s="865" t="s">
        <v>754</v>
      </c>
      <c r="D27" s="865" t="s">
        <v>753</v>
      </c>
      <c r="E27" s="1040"/>
      <c r="F27" s="865" t="s">
        <v>1322</v>
      </c>
    </row>
    <row r="28" spans="1:6" ht="14.4">
      <c r="A28" s="865">
        <v>26</v>
      </c>
      <c r="B28" s="865" t="s">
        <v>1274</v>
      </c>
      <c r="C28" s="865" t="s">
        <v>792</v>
      </c>
      <c r="D28" s="865" t="s">
        <v>791</v>
      </c>
      <c r="E28" s="1051"/>
      <c r="F28" s="865" t="s">
        <v>1322</v>
      </c>
    </row>
    <row r="29" ht="14.4"/>
    <row r="30" spans="1:8" s="1033" customFormat="1" ht="14.4">
      <c r="A30" s="1033" t="s">
        <v>789</v>
      </c>
      <c r="B30" s="1033" t="s">
        <v>788</v>
      </c>
      <c r="C30" s="1033" t="s">
        <v>192</v>
      </c>
      <c r="D30" s="1033" t="s">
        <v>195</v>
      </c>
      <c r="E30" s="1033" t="s">
        <v>194</v>
      </c>
      <c r="F30" s="1033" t="s">
        <v>78</v>
      </c>
      <c r="H30" s="1033" t="s">
        <v>787</v>
      </c>
    </row>
    <row r="31" spans="1:8" ht="14.4">
      <c r="A31" s="865">
        <v>1</v>
      </c>
      <c r="B31" s="865" t="s">
        <v>1324</v>
      </c>
      <c r="C31" s="865" t="s">
        <v>786</v>
      </c>
      <c r="D31" s="865" t="s">
        <v>185</v>
      </c>
      <c r="F31" s="865" t="s">
        <v>1322</v>
      </c>
      <c r="H31" s="1034">
        <f>1-EXP(-$E$38/$E$42)</f>
        <v>0.10220483077859088</v>
      </c>
    </row>
    <row r="32" spans="1:11" ht="14.4">
      <c r="A32" s="865">
        <v>2</v>
      </c>
      <c r="B32" s="865" t="s">
        <v>1324</v>
      </c>
      <c r="C32" s="865" t="s">
        <v>785</v>
      </c>
      <c r="D32" s="865" t="s">
        <v>185</v>
      </c>
      <c r="F32" s="865" t="s">
        <v>1322</v>
      </c>
      <c r="H32" s="1035" t="s">
        <v>784</v>
      </c>
      <c r="I32" s="1035" t="s">
        <v>783</v>
      </c>
      <c r="J32" s="1036" t="s">
        <v>782</v>
      </c>
      <c r="K32" s="1035" t="s">
        <v>775</v>
      </c>
    </row>
    <row r="33" spans="1:11" ht="14.4">
      <c r="A33" s="865">
        <v>3</v>
      </c>
      <c r="B33" s="865" t="s">
        <v>1324</v>
      </c>
      <c r="C33" s="865" t="s">
        <v>781</v>
      </c>
      <c r="D33" s="865" t="s">
        <v>185</v>
      </c>
      <c r="E33" s="865">
        <v>107</v>
      </c>
      <c r="H33" s="1014">
        <v>1</v>
      </c>
      <c r="I33" s="1037">
        <f t="shared" si="3" ref="I33:I47">IF($H33&lt;=5,0%,IF((H33-5)*$H$31&gt;=100%,100%,(H33-5)*$H$31))</f>
        <v>0</v>
      </c>
      <c r="J33" s="1038">
        <f t="shared" si="4" ref="J33:J47">1-I33</f>
        <v>1</v>
      </c>
      <c r="K33" s="1039">
        <f t="shared" si="5" ref="K33:K47">IF(OR($H33&gt;=$E$40,$H33&lt;=$E$44),0,$E$37+($E$49*$I33))</f>
        <v>0</v>
      </c>
    </row>
    <row r="34" spans="1:11" ht="14.4">
      <c r="A34" s="865">
        <v>4</v>
      </c>
      <c r="B34" s="865" t="s">
        <v>1324</v>
      </c>
      <c r="C34" s="865" t="s">
        <v>780</v>
      </c>
      <c r="D34" s="865" t="s">
        <v>740</v>
      </c>
      <c r="E34" s="1040"/>
      <c r="F34" s="865" t="s">
        <v>1322</v>
      </c>
      <c r="H34" s="1014">
        <v>2</v>
      </c>
      <c r="I34" s="1037">
        <f t="shared" si="3"/>
        <v>0</v>
      </c>
      <c r="J34" s="1038">
        <f t="shared" si="4"/>
        <v>1</v>
      </c>
      <c r="K34" s="1039">
        <f t="shared" si="5"/>
        <v>0</v>
      </c>
    </row>
    <row r="35" spans="1:11" ht="14.4">
      <c r="A35" s="865">
        <v>5</v>
      </c>
      <c r="B35" s="865" t="s">
        <v>1324</v>
      </c>
      <c r="C35" s="865" t="s">
        <v>778</v>
      </c>
      <c r="D35" s="865" t="s">
        <v>183</v>
      </c>
      <c r="E35" s="1041"/>
      <c r="F35" s="865" t="s">
        <v>1322</v>
      </c>
      <c r="H35" s="1014">
        <v>3</v>
      </c>
      <c r="I35" s="1037">
        <f t="shared" si="3"/>
        <v>0</v>
      </c>
      <c r="J35" s="1038">
        <f t="shared" si="4"/>
        <v>1</v>
      </c>
      <c r="K35" s="1039">
        <f t="shared" si="5"/>
        <v>0</v>
      </c>
    </row>
    <row r="36" spans="1:11" ht="14.4">
      <c r="A36" s="865">
        <v>6</v>
      </c>
      <c r="B36" s="865" t="s">
        <v>1324</v>
      </c>
      <c r="C36" s="865" t="s">
        <v>776</v>
      </c>
      <c r="D36" s="865" t="s">
        <v>740</v>
      </c>
      <c r="E36" s="1040"/>
      <c r="F36" s="865" t="s">
        <v>1322</v>
      </c>
      <c r="H36" s="1014">
        <v>4</v>
      </c>
      <c r="I36" s="1037">
        <f t="shared" si="3"/>
        <v>0</v>
      </c>
      <c r="J36" s="1038">
        <f t="shared" si="4"/>
        <v>1</v>
      </c>
      <c r="K36" s="1039">
        <f t="shared" si="5"/>
        <v>0</v>
      </c>
    </row>
    <row r="37" spans="1:11" ht="14.4">
      <c r="A37" s="865">
        <v>7</v>
      </c>
      <c r="B37" s="865" t="s">
        <v>1324</v>
      </c>
      <c r="C37" s="865" t="s">
        <v>775</v>
      </c>
      <c r="D37" s="865" t="s">
        <v>740</v>
      </c>
      <c r="E37" s="1040"/>
      <c r="F37" s="865" t="s">
        <v>1322</v>
      </c>
      <c r="H37" s="1014">
        <v>5</v>
      </c>
      <c r="I37" s="1037">
        <f t="shared" si="3"/>
        <v>0</v>
      </c>
      <c r="J37" s="1038">
        <f t="shared" si="4"/>
        <v>1</v>
      </c>
      <c r="K37" s="1039">
        <f t="shared" si="5"/>
        <v>0</v>
      </c>
    </row>
    <row r="38" spans="1:11" ht="14.4">
      <c r="A38" s="865">
        <v>8</v>
      </c>
      <c r="B38" s="865" t="s">
        <v>1324</v>
      </c>
      <c r="C38" s="865" t="s">
        <v>774</v>
      </c>
      <c r="D38" s="865" t="s">
        <v>773</v>
      </c>
      <c r="E38" s="865">
        <v>4043</v>
      </c>
      <c r="H38" s="1014">
        <v>6</v>
      </c>
      <c r="I38" s="1037">
        <f t="shared" si="3"/>
        <v>0.10220483077859088</v>
      </c>
      <c r="J38" s="1038">
        <f t="shared" si="4"/>
        <v>0.89779516922140912</v>
      </c>
      <c r="K38" s="1039">
        <f t="shared" si="5"/>
        <v>0</v>
      </c>
    </row>
    <row r="39" spans="1:11" ht="14.4">
      <c r="A39" s="865">
        <v>9</v>
      </c>
      <c r="B39" s="865" t="s">
        <v>1324</v>
      </c>
      <c r="C39" s="865" t="s">
        <v>262</v>
      </c>
      <c r="D39" s="865" t="s">
        <v>183</v>
      </c>
      <c r="E39" s="865">
        <v>50000</v>
      </c>
      <c r="H39" s="1014">
        <v>7</v>
      </c>
      <c r="I39" s="1037">
        <f t="shared" si="3"/>
        <v>0.20440966155718177</v>
      </c>
      <c r="J39" s="1038">
        <f t="shared" si="4"/>
        <v>0.79559033844281823</v>
      </c>
      <c r="K39" s="1039">
        <f t="shared" si="5"/>
        <v>0</v>
      </c>
    </row>
    <row r="40" spans="1:11" ht="14.4">
      <c r="A40" s="865">
        <v>10</v>
      </c>
      <c r="B40" s="865" t="s">
        <v>1324</v>
      </c>
      <c r="C40" s="865" t="s">
        <v>262</v>
      </c>
      <c r="D40" s="865" t="s">
        <v>174</v>
      </c>
      <c r="E40" s="1042">
        <f>E39/E38</f>
        <v>12.367054167697255</v>
      </c>
      <c r="H40" s="1014">
        <v>8</v>
      </c>
      <c r="I40" s="1037">
        <f t="shared" si="3"/>
        <v>0.30661449233577265</v>
      </c>
      <c r="J40" s="1038">
        <f t="shared" si="4"/>
        <v>0.69338550766422735</v>
      </c>
      <c r="K40" s="1039">
        <f t="shared" si="5"/>
        <v>0</v>
      </c>
    </row>
    <row r="41" spans="1:11" ht="14.4">
      <c r="A41" s="865">
        <v>11</v>
      </c>
      <c r="B41" s="865" t="s">
        <v>1324</v>
      </c>
      <c r="C41" s="865" t="s">
        <v>772</v>
      </c>
      <c r="D41" s="865" t="s">
        <v>169</v>
      </c>
      <c r="E41" s="1043">
        <v>0.75</v>
      </c>
      <c r="F41" s="865" t="s">
        <v>771</v>
      </c>
      <c r="H41" s="1014">
        <v>9</v>
      </c>
      <c r="I41" s="1037">
        <f t="shared" si="3"/>
        <v>0.40881932311436353</v>
      </c>
      <c r="J41" s="1038">
        <f t="shared" si="4"/>
        <v>0.59118067688563647</v>
      </c>
      <c r="K41" s="1039">
        <f t="shared" si="5"/>
        <v>0</v>
      </c>
    </row>
    <row r="42" spans="1:11" ht="14.4">
      <c r="A42" s="865">
        <v>12</v>
      </c>
      <c r="B42" s="865" t="s">
        <v>1324</v>
      </c>
      <c r="C42" s="865" t="s">
        <v>770</v>
      </c>
      <c r="D42" s="865" t="s">
        <v>183</v>
      </c>
      <c r="E42" s="1044">
        <f>E43*E38</f>
        <v>37500</v>
      </c>
      <c r="H42" s="1014">
        <v>10</v>
      </c>
      <c r="I42" s="1037">
        <f t="shared" si="3"/>
        <v>0.51102415389295441</v>
      </c>
      <c r="J42" s="1038">
        <f t="shared" si="4"/>
        <v>0.48897584610704559</v>
      </c>
      <c r="K42" s="1039">
        <f t="shared" si="5"/>
        <v>0</v>
      </c>
    </row>
    <row r="43" spans="1:11" ht="14.4">
      <c r="A43" s="865">
        <v>13</v>
      </c>
      <c r="B43" s="865" t="s">
        <v>1324</v>
      </c>
      <c r="C43" s="865" t="s">
        <v>769</v>
      </c>
      <c r="D43" s="865" t="s">
        <v>174</v>
      </c>
      <c r="E43" s="1042">
        <f>E41*E40</f>
        <v>9.2752906257729411</v>
      </c>
      <c r="H43" s="1014">
        <v>11</v>
      </c>
      <c r="I43" s="1037">
        <f t="shared" si="3"/>
        <v>0.6132289846715453</v>
      </c>
      <c r="J43" s="1038">
        <f t="shared" si="4"/>
        <v>0.3867710153284547</v>
      </c>
      <c r="K43" s="1039">
        <f t="shared" si="5"/>
        <v>0</v>
      </c>
    </row>
    <row r="44" spans="1:11" ht="14.4">
      <c r="A44" s="865">
        <v>14</v>
      </c>
      <c r="B44" s="865" t="s">
        <v>1324</v>
      </c>
      <c r="C44" s="865" t="s">
        <v>768</v>
      </c>
      <c r="D44" s="865" t="s">
        <v>174</v>
      </c>
      <c r="E44" s="865">
        <v>5</v>
      </c>
      <c r="H44" s="1014">
        <v>12</v>
      </c>
      <c r="I44" s="1037">
        <f t="shared" si="3"/>
        <v>0.71543381545013618</v>
      </c>
      <c r="J44" s="1038">
        <f t="shared" si="4"/>
        <v>0.28456618454986382</v>
      </c>
      <c r="K44" s="1039">
        <f t="shared" si="5"/>
        <v>0</v>
      </c>
    </row>
    <row r="45" spans="1:11" ht="14.4">
      <c r="A45" s="865">
        <v>15</v>
      </c>
      <c r="B45" s="865" t="s">
        <v>1324</v>
      </c>
      <c r="C45" s="865" t="s">
        <v>767</v>
      </c>
      <c r="D45" s="865" t="s">
        <v>169</v>
      </c>
      <c r="E45" s="1046">
        <v>0.10</v>
      </c>
      <c r="F45" s="865" t="s">
        <v>1738</v>
      </c>
      <c r="H45" s="1014">
        <v>13</v>
      </c>
      <c r="I45" s="1037">
        <f t="shared" si="3"/>
        <v>0.81763864622872706</v>
      </c>
      <c r="J45" s="1038">
        <f t="shared" si="4"/>
        <v>0.18236135377127294</v>
      </c>
      <c r="K45" s="1039">
        <f t="shared" si="5"/>
        <v>0</v>
      </c>
    </row>
    <row r="46" spans="1:11" ht="14.4">
      <c r="A46" s="865">
        <v>16</v>
      </c>
      <c r="B46" s="865" t="s">
        <v>1324</v>
      </c>
      <c r="C46" s="865" t="s">
        <v>766</v>
      </c>
      <c r="D46" s="865" t="s">
        <v>183</v>
      </c>
      <c r="E46" s="865">
        <v>2</v>
      </c>
      <c r="F46" s="865" t="s">
        <v>765</v>
      </c>
      <c r="H46" s="1014">
        <v>14</v>
      </c>
      <c r="I46" s="1037">
        <f t="shared" si="3"/>
        <v>0.91984347700731794</v>
      </c>
      <c r="J46" s="1038">
        <f t="shared" si="4"/>
        <v>0.080156522992682055</v>
      </c>
      <c r="K46" s="1039">
        <f t="shared" si="5"/>
        <v>0</v>
      </c>
    </row>
    <row r="47" spans="1:11" ht="14.4">
      <c r="A47" s="865">
        <v>17</v>
      </c>
      <c r="B47" s="865" t="s">
        <v>1324</v>
      </c>
      <c r="C47" s="865" t="str">
        <f>"Early Failure "&amp;C36</f>
        <v>Early Failure Labor Cost to Install</v>
      </c>
      <c r="D47" s="865" t="s">
        <v>740</v>
      </c>
      <c r="E47" s="1048"/>
      <c r="F47" s="865" t="s">
        <v>1322</v>
      </c>
      <c r="H47" s="1014">
        <v>15</v>
      </c>
      <c r="I47" s="1037">
        <f t="shared" si="3"/>
        <v>1</v>
      </c>
      <c r="J47" s="1038">
        <f t="shared" si="4"/>
        <v>0</v>
      </c>
      <c r="K47" s="1039">
        <f t="shared" si="5"/>
        <v>0</v>
      </c>
    </row>
    <row r="48" spans="1:11" ht="14.4">
      <c r="A48" s="865">
        <v>18</v>
      </c>
      <c r="B48" s="865" t="s">
        <v>1324</v>
      </c>
      <c r="C48" s="865" t="s">
        <v>764</v>
      </c>
      <c r="D48" s="865" t="s">
        <v>740</v>
      </c>
      <c r="E48" s="1048"/>
      <c r="F48" s="865" t="s">
        <v>1322</v>
      </c>
      <c r="H48" s="1649" t="s">
        <v>763</v>
      </c>
      <c r="I48" s="1650"/>
      <c r="J48" s="1651"/>
      <c r="K48" s="1049" t="e">
        <f>AVERAGEIFS($K$33:$K$47,$K$33:$K$47,"&gt;0")</f>
        <v>#DIV/0!</v>
      </c>
    </row>
    <row r="49" spans="1:6" ht="14.4">
      <c r="A49" s="865">
        <v>19</v>
      </c>
      <c r="B49" s="865" t="s">
        <v>1324</v>
      </c>
      <c r="C49" s="865" t="str">
        <f>"Early Failure "&amp;C37</f>
        <v>Early Failure Total Installed Cost</v>
      </c>
      <c r="D49" s="865" t="s">
        <v>740</v>
      </c>
      <c r="E49" s="1048"/>
      <c r="F49" s="865" t="s">
        <v>1322</v>
      </c>
    </row>
    <row r="50" spans="1:6" ht="14.4">
      <c r="A50" s="865">
        <v>20</v>
      </c>
      <c r="B50" s="865" t="s">
        <v>1324</v>
      </c>
      <c r="C50" s="865" t="s">
        <v>762</v>
      </c>
      <c r="D50" s="865" t="s">
        <v>740</v>
      </c>
      <c r="E50" s="1048"/>
      <c r="F50" s="865" t="s">
        <v>1322</v>
      </c>
    </row>
    <row r="51" spans="1:5" ht="14.4">
      <c r="A51" s="865">
        <v>21</v>
      </c>
      <c r="B51" s="865" t="s">
        <v>1324</v>
      </c>
      <c r="C51" s="865" t="s">
        <v>761</v>
      </c>
      <c r="D51" s="865" t="s">
        <v>760</v>
      </c>
      <c r="E51" s="865">
        <f>E33*E38*10^-3</f>
        <v>432.601</v>
      </c>
    </row>
    <row r="52" spans="1:5" ht="14.4">
      <c r="A52" s="865">
        <v>22</v>
      </c>
      <c r="B52" s="865" t="s">
        <v>1324</v>
      </c>
      <c r="C52" s="865" t="s">
        <v>759</v>
      </c>
      <c r="D52" s="865" t="s">
        <v>758</v>
      </c>
      <c r="E52" s="865">
        <f>E51*E40</f>
        <v>5350</v>
      </c>
    </row>
    <row r="53" spans="1:5" ht="14.4">
      <c r="A53" s="865">
        <v>23</v>
      </c>
      <c r="B53" s="865" t="s">
        <v>1324</v>
      </c>
      <c r="C53" s="865" t="s">
        <v>757</v>
      </c>
      <c r="D53" s="865" t="s">
        <v>756</v>
      </c>
      <c r="E53" s="1050">
        <f>E51/12</f>
        <v>36.050083333333333</v>
      </c>
    </row>
    <row r="54" spans="1:5" ht="14.4">
      <c r="A54" s="865">
        <v>24</v>
      </c>
      <c r="B54" s="865" t="s">
        <v>1324</v>
      </c>
      <c r="C54" s="865" t="s">
        <v>754</v>
      </c>
      <c r="D54" s="865" t="s">
        <v>753</v>
      </c>
      <c r="E54" s="1040"/>
    </row>
    <row r="55" ht="14.4"/>
    <row r="56" spans="3:6" ht="14.4">
      <c r="C56" s="865" t="s">
        <v>697</v>
      </c>
      <c r="D56" s="865" t="s">
        <v>752</v>
      </c>
      <c r="E56" s="1048">
        <f>E50-E22</f>
        <v>0</v>
      </c>
      <c r="F56" s="865" t="s">
        <v>1322</v>
      </c>
    </row>
    <row r="57" spans="3:6" ht="14.4">
      <c r="C57" s="865" t="s">
        <v>751</v>
      </c>
      <c r="D57" s="865" t="s">
        <v>750</v>
      </c>
      <c r="E57" s="1048">
        <f>E50-E23</f>
        <v>0</v>
      </c>
      <c r="F57" s="865" t="s">
        <v>1322</v>
      </c>
    </row>
    <row r="58" ht="14.4"/>
    <row r="59" spans="2:5" ht="14.4">
      <c r="B59" s="865" t="s">
        <v>745</v>
      </c>
      <c r="C59" s="865" t="s">
        <v>749</v>
      </c>
      <c r="D59" s="865" t="s">
        <v>748</v>
      </c>
      <c r="E59" s="865">
        <v>2000</v>
      </c>
    </row>
    <row r="60" spans="2:5" ht="14.4">
      <c r="B60" s="865" t="s">
        <v>745</v>
      </c>
      <c r="C60" s="865" t="s">
        <v>747</v>
      </c>
      <c r="D60" s="865" t="s">
        <v>746</v>
      </c>
      <c r="E60" s="1040">
        <v>78.540000000000006</v>
      </c>
    </row>
    <row r="61" spans="2:5" ht="14.4">
      <c r="B61" s="865" t="s">
        <v>745</v>
      </c>
      <c r="C61" s="865" t="s">
        <v>744</v>
      </c>
      <c r="D61" s="865" t="s">
        <v>743</v>
      </c>
      <c r="E61" s="1041">
        <v>1</v>
      </c>
    </row>
    <row r="62" ht="14.4"/>
    <row r="63" spans="2:6" ht="14.4">
      <c r="B63" s="865" t="s">
        <v>742</v>
      </c>
      <c r="C63" s="865" t="s">
        <v>741</v>
      </c>
      <c r="D63" s="865" t="s">
        <v>740</v>
      </c>
      <c r="E63" s="1040">
        <v>35</v>
      </c>
      <c r="F63" s="865" t="s">
        <v>739</v>
      </c>
    </row>
    <row r="64" ht="14.4"/>
    <row r="65" ht="14.4">
      <c r="B65" s="865" t="s">
        <v>738</v>
      </c>
    </row>
    <row r="66" spans="2:3" ht="14.4">
      <c r="B66" s="865" t="s">
        <v>737</v>
      </c>
      <c r="C66" s="1040">
        <v>115</v>
      </c>
    </row>
    <row r="67" spans="2:3" ht="14.4">
      <c r="B67" s="865" t="s">
        <v>736</v>
      </c>
      <c r="C67" s="1040">
        <v>15</v>
      </c>
    </row>
    <row r="68" spans="2:3" ht="14.4">
      <c r="B68" s="865" t="s">
        <v>735</v>
      </c>
      <c r="C68" s="1040">
        <v>5.50</v>
      </c>
    </row>
    <row r="69" spans="2:3" ht="14.4">
      <c r="B69" s="865" t="s">
        <v>734</v>
      </c>
      <c r="C69" s="1048">
        <f>SUM(C66,C68)</f>
        <v>120.50</v>
      </c>
    </row>
    <row r="70" ht="14.4"/>
    <row r="71" ht="14.4">
      <c r="B71" s="865" t="s">
        <v>1746</v>
      </c>
    </row>
    <row r="72" spans="2:4" ht="14.4">
      <c r="B72" s="865" t="s">
        <v>718</v>
      </c>
      <c r="C72" s="1046">
        <v>0.30</v>
      </c>
      <c r="D72" s="865" t="s">
        <v>717</v>
      </c>
    </row>
    <row r="73" spans="2:4" ht="14.4">
      <c r="B73" s="865" t="s">
        <v>716</v>
      </c>
      <c r="C73" s="1046">
        <v>0.70</v>
      </c>
      <c r="D73" s="865" t="s">
        <v>715</v>
      </c>
    </row>
    <row r="74" ht="14.4"/>
    <row r="75" spans="2:4" ht="14.4">
      <c r="B75" s="865" t="s">
        <v>732</v>
      </c>
      <c r="C75" s="865" t="s">
        <v>1747</v>
      </c>
      <c r="D75" s="865" t="s">
        <v>723</v>
      </c>
    </row>
    <row r="76" spans="2:5" ht="14.4">
      <c r="B76" s="865" t="s">
        <v>730</v>
      </c>
      <c r="C76" s="865" t="s">
        <v>721</v>
      </c>
      <c r="D76" s="865" t="s">
        <v>721</v>
      </c>
      <c r="E76" s="865" t="s">
        <v>78</v>
      </c>
    </row>
    <row r="77" spans="2:4" ht="14.4">
      <c r="B77" s="865" t="s">
        <v>729</v>
      </c>
      <c r="C77" s="1040">
        <f>C80-SUM(C78:C79)</f>
        <v>-16.50</v>
      </c>
      <c r="D77" s="1040" t="s">
        <v>200</v>
      </c>
    </row>
    <row r="78" spans="2:5" ht="14.4">
      <c r="B78" s="865" t="s">
        <v>116</v>
      </c>
      <c r="C78" s="1040">
        <v>11</v>
      </c>
      <c r="D78" s="1040">
        <f>$C$66</f>
        <v>115</v>
      </c>
      <c r="E78" s="865" t="s">
        <v>728</v>
      </c>
    </row>
    <row r="79" spans="2:5" ht="14.4">
      <c r="B79" s="865" t="s">
        <v>727</v>
      </c>
      <c r="C79" s="1040">
        <v>5.50</v>
      </c>
      <c r="D79" s="1040">
        <f>$C$68</f>
        <v>5.50</v>
      </c>
      <c r="E79" s="865" t="s">
        <v>726</v>
      </c>
    </row>
    <row r="80" spans="2:4" ht="14.4">
      <c r="B80" s="865" t="s">
        <v>131</v>
      </c>
      <c r="C80" s="1040">
        <f>$E$6</f>
        <v>0</v>
      </c>
      <c r="D80" s="1040">
        <f>SUM(D77:D79)</f>
        <v>120.50</v>
      </c>
    </row>
    <row r="81" ht="14.4"/>
    <row r="82" spans="2:4" ht="14.4">
      <c r="B82" s="865" t="s">
        <v>725</v>
      </c>
      <c r="C82" s="865" t="s">
        <v>1748</v>
      </c>
      <c r="D82" s="865" t="s">
        <v>723</v>
      </c>
    </row>
    <row r="83" spans="2:5" ht="14.4">
      <c r="B83" s="865" t="s">
        <v>722</v>
      </c>
      <c r="C83" s="865" t="s">
        <v>721</v>
      </c>
      <c r="D83" s="865" t="s">
        <v>721</v>
      </c>
      <c r="E83" s="865" t="s">
        <v>192</v>
      </c>
    </row>
    <row r="84" spans="2:5" ht="14.4">
      <c r="B84" s="865">
        <v>2</v>
      </c>
      <c r="C84" s="1048">
        <f>B84*$E$60</f>
        <v>157.08000000000001</v>
      </c>
      <c r="E84" s="865" t="s">
        <v>717</v>
      </c>
    </row>
    <row r="85" spans="2:5" ht="14.4">
      <c r="B85" s="865">
        <v>1</v>
      </c>
      <c r="C85" s="1048">
        <f>B85*$E$60</f>
        <v>78.540000000000006</v>
      </c>
      <c r="E85" s="865" t="s">
        <v>715</v>
      </c>
    </row>
    <row r="86" spans="2:5" ht="14.4">
      <c r="B86" s="1041">
        <f>(B84*$C$72)+(B85*$C$73)</f>
        <v>1.2999999999999998</v>
      </c>
      <c r="C86" s="1048">
        <f>(C84*$C$72)+(C85*$C$73)</f>
        <v>102.102</v>
      </c>
      <c r="E86" s="865" t="s">
        <v>720</v>
      </c>
    </row>
    <row r="87" ht="14.4"/>
    <row r="88" ht="14.4">
      <c r="B88" s="865" t="s">
        <v>1749</v>
      </c>
    </row>
    <row r="89" spans="2:4" ht="14.4">
      <c r="B89" s="865" t="s">
        <v>718</v>
      </c>
      <c r="C89" s="1048">
        <f>SUM(C80)</f>
        <v>0</v>
      </c>
      <c r="D89" s="865" t="s">
        <v>717</v>
      </c>
    </row>
    <row r="90" spans="2:4" ht="14.4">
      <c r="B90" s="865" t="s">
        <v>716</v>
      </c>
      <c r="C90" s="1048">
        <f>SUM(C78:C79)</f>
        <v>16.50</v>
      </c>
      <c r="D90" s="865" t="s">
        <v>715</v>
      </c>
    </row>
    <row r="91" spans="2:4" ht="14.4">
      <c r="B91" s="865" t="s">
        <v>714</v>
      </c>
      <c r="C91" s="1048">
        <f>(C89*$C$72)+(C90*$C$73)</f>
        <v>11.55</v>
      </c>
      <c r="D91" s="865" t="s">
        <v>713</v>
      </c>
    </row>
    <row r="92" ht="14.4"/>
    <row r="93" ht="14.4">
      <c r="C93" s="1052"/>
    </row>
    <row r="94" ht="14.4"/>
    <row r="95" ht="14.4">
      <c r="B95" s="1033" t="s">
        <v>859</v>
      </c>
    </row>
    <row r="96" spans="2:3" ht="14.4">
      <c r="B96" s="1040">
        <v>6.64</v>
      </c>
      <c r="C96" s="865" t="s">
        <v>711</v>
      </c>
    </row>
    <row r="97" spans="2:3" ht="14.4">
      <c r="B97" s="1040">
        <f>B96*12</f>
        <v>79.679999999999993</v>
      </c>
      <c r="C97" s="865" t="s">
        <v>710</v>
      </c>
    </row>
  </sheetData>
  <mergeCells count="2">
    <mergeCell ref="H20:J20"/>
    <mergeCell ref="H48:J48"/>
  </mergeCells>
  <pageMargins left="0.7" right="0.7" top="0.75" bottom="0.75" header="0.3" footer="0.3"/>
  <pageSetup orientation="portrait"/>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7" tint="0.39998"/>
  </sheetPr>
  <dimension ref="A1:K97"/>
  <sheetViews>
    <sheetView zoomScale="70" zoomScaleNormal="70" workbookViewId="0" topLeftCell="E1">
      <selection pane="topLeft" activeCell="A1" sqref="A1"/>
    </sheetView>
  </sheetViews>
  <sheetFormatPr defaultColWidth="8.77734375" defaultRowHeight="14.4"/>
  <cols>
    <col min="1" max="1" width="8.77777777777778" style="865"/>
    <col min="2" max="2" width="40.7777777777778" style="865" customWidth="1"/>
    <col min="3" max="3" width="39.2222222222222" style="865" bestFit="1" customWidth="1"/>
    <col min="4" max="4" width="51" style="865" bestFit="1" customWidth="1"/>
    <col min="5" max="5" width="46" style="865" bestFit="1" customWidth="1"/>
    <col min="6" max="6" width="122.222222222222" style="865" bestFit="1" customWidth="1"/>
    <col min="7" max="7" width="8.77777777777778" style="865"/>
    <col min="8" max="8" width="10.5555555555556" style="865" customWidth="1"/>
    <col min="9" max="9" width="31.7777777777778" style="865" bestFit="1" customWidth="1"/>
    <col min="10" max="10" width="21.4444444444444" style="865" bestFit="1" customWidth="1"/>
    <col min="11" max="11" width="23.7777777777778" style="865" bestFit="1" customWidth="1"/>
    <col min="12" max="16384" width="8.77777777777778" style="865"/>
  </cols>
  <sheetData>
    <row r="1" ht="14.4">
      <c r="B1" s="1032" t="s">
        <v>1739</v>
      </c>
    </row>
    <row r="2" spans="1:8" ht="14.4">
      <c r="A2" s="1033" t="s">
        <v>789</v>
      </c>
      <c r="B2" s="1033" t="s">
        <v>788</v>
      </c>
      <c r="C2" s="1033" t="s">
        <v>192</v>
      </c>
      <c r="D2" s="1033" t="s">
        <v>195</v>
      </c>
      <c r="E2" s="1033" t="s">
        <v>194</v>
      </c>
      <c r="F2" s="1033" t="s">
        <v>78</v>
      </c>
      <c r="H2" s="1033" t="s">
        <v>787</v>
      </c>
    </row>
    <row r="3" spans="1:8" ht="14.4">
      <c r="A3" s="865">
        <v>1</v>
      </c>
      <c r="B3" s="865" t="s">
        <v>1198</v>
      </c>
      <c r="C3" s="865" t="s">
        <v>786</v>
      </c>
      <c r="D3" s="865" t="s">
        <v>185</v>
      </c>
      <c r="E3" s="865">
        <v>1000</v>
      </c>
      <c r="H3" s="1034">
        <f>1-EXP(-$E$10/$E$14)</f>
        <v>0.30188942913059769</v>
      </c>
    </row>
    <row r="4" spans="1:11" ht="14.4">
      <c r="A4" s="865">
        <v>2</v>
      </c>
      <c r="B4" s="865" t="s">
        <v>1198</v>
      </c>
      <c r="C4" s="865" t="s">
        <v>785</v>
      </c>
      <c r="D4" s="865" t="s">
        <v>185</v>
      </c>
      <c r="E4" s="865">
        <v>100</v>
      </c>
      <c r="H4" s="1035" t="s">
        <v>784</v>
      </c>
      <c r="I4" s="1035" t="s">
        <v>783</v>
      </c>
      <c r="J4" s="1036" t="s">
        <v>782</v>
      </c>
      <c r="K4" s="1035" t="s">
        <v>775</v>
      </c>
    </row>
    <row r="5" spans="1:11" ht="14.4">
      <c r="A5" s="865">
        <v>3</v>
      </c>
      <c r="B5" s="865" t="s">
        <v>1198</v>
      </c>
      <c r="C5" s="865" t="s">
        <v>781</v>
      </c>
      <c r="D5" s="865" t="s">
        <v>185</v>
      </c>
      <c r="E5" s="865">
        <f>SUM(E3:E4)</f>
        <v>1100</v>
      </c>
      <c r="F5" s="865" t="s">
        <v>1737</v>
      </c>
      <c r="H5" s="1014">
        <v>1</v>
      </c>
      <c r="I5" s="1037">
        <f t="shared" si="0" ref="I5:I19">IF(H5*$H$3&gt;=100%,100%,H5*$H$3)</f>
        <v>0.30188942913059769</v>
      </c>
      <c r="J5" s="1038">
        <f t="shared" si="1" ref="J5:J19">1-I5</f>
        <v>0.69811057086940231</v>
      </c>
      <c r="K5" s="1039">
        <f t="shared" si="2" ref="K5:K19">IF($H5&gt;=$E$12,0,$E$9+($E$21*$I5))</f>
        <v>0</v>
      </c>
    </row>
    <row r="6" spans="1:11" ht="14.4">
      <c r="A6" s="865">
        <v>4</v>
      </c>
      <c r="B6" s="865" t="s">
        <v>1198</v>
      </c>
      <c r="C6" s="865" t="s">
        <v>780</v>
      </c>
      <c r="D6" s="865" t="s">
        <v>740</v>
      </c>
      <c r="E6" s="1040"/>
      <c r="F6" s="865" t="s">
        <v>1322</v>
      </c>
      <c r="H6" s="1014">
        <v>2</v>
      </c>
      <c r="I6" s="1037">
        <f t="shared" si="0"/>
        <v>0.60377885826119537</v>
      </c>
      <c r="J6" s="1038">
        <f t="shared" si="1"/>
        <v>0.39622114173880463</v>
      </c>
      <c r="K6" s="1039">
        <f t="shared" si="2"/>
        <v>0</v>
      </c>
    </row>
    <row r="7" spans="1:11" ht="14.4">
      <c r="A7" s="865">
        <v>5</v>
      </c>
      <c r="B7" s="865" t="s">
        <v>1198</v>
      </c>
      <c r="C7" s="865" t="s">
        <v>778</v>
      </c>
      <c r="D7" s="865" t="s">
        <v>183</v>
      </c>
      <c r="E7" s="1041"/>
      <c r="F7" s="865" t="s">
        <v>1322</v>
      </c>
      <c r="H7" s="1014">
        <v>3</v>
      </c>
      <c r="I7" s="1037">
        <f t="shared" si="0"/>
        <v>0.90566828739179306</v>
      </c>
      <c r="J7" s="1038">
        <f t="shared" si="1"/>
        <v>0.094331712608206941</v>
      </c>
      <c r="K7" s="1039">
        <f t="shared" si="2"/>
        <v>0</v>
      </c>
    </row>
    <row r="8" spans="1:11" ht="14.4">
      <c r="A8" s="865">
        <v>6</v>
      </c>
      <c r="B8" s="865" t="s">
        <v>1198</v>
      </c>
      <c r="C8" s="865" t="s">
        <v>776</v>
      </c>
      <c r="D8" s="865" t="s">
        <v>740</v>
      </c>
      <c r="E8" s="1040"/>
      <c r="F8" s="865" t="s">
        <v>1322</v>
      </c>
      <c r="H8" s="1014">
        <v>4</v>
      </c>
      <c r="I8" s="1037">
        <f t="shared" si="0"/>
        <v>1</v>
      </c>
      <c r="J8" s="1038">
        <f t="shared" si="1"/>
        <v>0</v>
      </c>
      <c r="K8" s="1039">
        <f t="shared" si="2"/>
        <v>0</v>
      </c>
    </row>
    <row r="9" spans="1:11" ht="14.4">
      <c r="A9" s="865">
        <v>7</v>
      </c>
      <c r="B9" s="865" t="s">
        <v>1198</v>
      </c>
      <c r="C9" s="865" t="s">
        <v>775</v>
      </c>
      <c r="D9" s="865" t="s">
        <v>740</v>
      </c>
      <c r="E9" s="1040"/>
      <c r="F9" s="865" t="s">
        <v>1322</v>
      </c>
      <c r="H9" s="1014">
        <v>5</v>
      </c>
      <c r="I9" s="1037">
        <f t="shared" si="0"/>
        <v>1</v>
      </c>
      <c r="J9" s="1038">
        <f t="shared" si="1"/>
        <v>0</v>
      </c>
      <c r="K9" s="1039">
        <f t="shared" si="2"/>
        <v>0</v>
      </c>
    </row>
    <row r="10" spans="1:11" ht="14.4">
      <c r="A10" s="865">
        <v>8</v>
      </c>
      <c r="B10" s="865" t="s">
        <v>1198</v>
      </c>
      <c r="C10" s="865" t="s">
        <v>774</v>
      </c>
      <c r="D10" s="865" t="s">
        <v>773</v>
      </c>
      <c r="E10" s="865">
        <v>4043</v>
      </c>
      <c r="H10" s="1014">
        <v>6</v>
      </c>
      <c r="I10" s="1037">
        <f t="shared" si="0"/>
        <v>1</v>
      </c>
      <c r="J10" s="1038">
        <f t="shared" si="1"/>
        <v>0</v>
      </c>
      <c r="K10" s="1039">
        <f t="shared" si="2"/>
        <v>0</v>
      </c>
    </row>
    <row r="11" spans="1:11" ht="14.4">
      <c r="A11" s="865">
        <v>9</v>
      </c>
      <c r="B11" s="865" t="s">
        <v>1198</v>
      </c>
      <c r="C11" s="865" t="s">
        <v>262</v>
      </c>
      <c r="D11" s="865" t="s">
        <v>183</v>
      </c>
      <c r="E11" s="865">
        <v>15000</v>
      </c>
      <c r="H11" s="1014">
        <v>7</v>
      </c>
      <c r="I11" s="1037">
        <f t="shared" si="0"/>
        <v>1</v>
      </c>
      <c r="J11" s="1038">
        <f t="shared" si="1"/>
        <v>0</v>
      </c>
      <c r="K11" s="1039">
        <f t="shared" si="2"/>
        <v>0</v>
      </c>
    </row>
    <row r="12" spans="1:11" ht="14.4">
      <c r="A12" s="865">
        <v>10</v>
      </c>
      <c r="B12" s="865" t="s">
        <v>1198</v>
      </c>
      <c r="C12" s="865" t="s">
        <v>262</v>
      </c>
      <c r="D12" s="865" t="s">
        <v>174</v>
      </c>
      <c r="E12" s="1042">
        <f>E11/E10</f>
        <v>3.7101162503091762</v>
      </c>
      <c r="H12" s="1014">
        <v>8</v>
      </c>
      <c r="I12" s="1037">
        <f t="shared" si="0"/>
        <v>1</v>
      </c>
      <c r="J12" s="1038">
        <f t="shared" si="1"/>
        <v>0</v>
      </c>
      <c r="K12" s="1039">
        <f t="shared" si="2"/>
        <v>0</v>
      </c>
    </row>
    <row r="13" spans="1:11" ht="14.4">
      <c r="A13" s="865">
        <v>11</v>
      </c>
      <c r="B13" s="865" t="s">
        <v>1198</v>
      </c>
      <c r="C13" s="865" t="s">
        <v>772</v>
      </c>
      <c r="D13" s="865" t="s">
        <v>169</v>
      </c>
      <c r="E13" s="1043">
        <v>0.75</v>
      </c>
      <c r="F13" s="865" t="s">
        <v>797</v>
      </c>
      <c r="H13" s="1014">
        <v>9</v>
      </c>
      <c r="I13" s="1037">
        <f t="shared" si="0"/>
        <v>1</v>
      </c>
      <c r="J13" s="1038">
        <f t="shared" si="1"/>
        <v>0</v>
      </c>
      <c r="K13" s="1039">
        <f t="shared" si="2"/>
        <v>0</v>
      </c>
    </row>
    <row r="14" spans="1:11" ht="14.4">
      <c r="A14" s="865">
        <v>12</v>
      </c>
      <c r="B14" s="865" t="s">
        <v>1198</v>
      </c>
      <c r="C14" s="865" t="s">
        <v>770</v>
      </c>
      <c r="D14" s="865" t="s">
        <v>183</v>
      </c>
      <c r="E14" s="1044">
        <f>E15*E10</f>
        <v>11249.999999999998</v>
      </c>
      <c r="H14" s="1014">
        <v>10</v>
      </c>
      <c r="I14" s="1037">
        <f t="shared" si="0"/>
        <v>1</v>
      </c>
      <c r="J14" s="1038">
        <f t="shared" si="1"/>
        <v>0</v>
      </c>
      <c r="K14" s="1039">
        <f t="shared" si="2"/>
        <v>0</v>
      </c>
    </row>
    <row r="15" spans="1:11" ht="14.4">
      <c r="A15" s="865">
        <v>13</v>
      </c>
      <c r="B15" s="865" t="s">
        <v>1198</v>
      </c>
      <c r="C15" s="865" t="s">
        <v>769</v>
      </c>
      <c r="D15" s="865" t="s">
        <v>174</v>
      </c>
      <c r="E15" s="1042">
        <f>E13*E12</f>
        <v>2.782587187731882</v>
      </c>
      <c r="H15" s="1014">
        <v>11</v>
      </c>
      <c r="I15" s="1037">
        <f t="shared" si="0"/>
        <v>1</v>
      </c>
      <c r="J15" s="1038">
        <f t="shared" si="1"/>
        <v>0</v>
      </c>
      <c r="K15" s="1039">
        <f t="shared" si="2"/>
        <v>0</v>
      </c>
    </row>
    <row r="16" spans="1:11" ht="14.4">
      <c r="A16" s="865">
        <v>14</v>
      </c>
      <c r="B16" s="865" t="s">
        <v>1198</v>
      </c>
      <c r="C16" s="865" t="s">
        <v>768</v>
      </c>
      <c r="D16" s="865" t="s">
        <v>174</v>
      </c>
      <c r="E16" s="1045" t="s">
        <v>200</v>
      </c>
      <c r="H16" s="1014">
        <v>12</v>
      </c>
      <c r="I16" s="1037">
        <f t="shared" si="0"/>
        <v>1</v>
      </c>
      <c r="J16" s="1038">
        <f t="shared" si="1"/>
        <v>0</v>
      </c>
      <c r="K16" s="1039">
        <f t="shared" si="2"/>
        <v>0</v>
      </c>
    </row>
    <row r="17" spans="1:11" ht="14.4">
      <c r="A17" s="865">
        <v>15</v>
      </c>
      <c r="B17" s="865" t="s">
        <v>1198</v>
      </c>
      <c r="C17" s="865" t="s">
        <v>767</v>
      </c>
      <c r="D17" s="865" t="s">
        <v>169</v>
      </c>
      <c r="E17" s="1046">
        <v>0.40</v>
      </c>
      <c r="H17" s="1014">
        <v>13</v>
      </c>
      <c r="I17" s="1037">
        <f t="shared" si="0"/>
        <v>1</v>
      </c>
      <c r="J17" s="1038">
        <f t="shared" si="1"/>
        <v>0</v>
      </c>
      <c r="K17" s="1039">
        <f t="shared" si="2"/>
        <v>0</v>
      </c>
    </row>
    <row r="18" spans="1:11" ht="14.4">
      <c r="A18" s="865">
        <v>16</v>
      </c>
      <c r="B18" s="865" t="s">
        <v>1198</v>
      </c>
      <c r="C18" s="865" t="s">
        <v>766</v>
      </c>
      <c r="D18" s="865" t="s">
        <v>183</v>
      </c>
      <c r="E18" s="1047">
        <f>$B$86</f>
        <v>1.2999999999999998</v>
      </c>
      <c r="H18" s="1014">
        <v>14</v>
      </c>
      <c r="I18" s="1037">
        <f t="shared" si="0"/>
        <v>1</v>
      </c>
      <c r="J18" s="1038">
        <f t="shared" si="1"/>
        <v>0</v>
      </c>
      <c r="K18" s="1039">
        <f t="shared" si="2"/>
        <v>0</v>
      </c>
    </row>
    <row r="19" spans="1:11" ht="14.4">
      <c r="A19" s="865">
        <v>17</v>
      </c>
      <c r="B19" s="865" t="s">
        <v>1198</v>
      </c>
      <c r="C19" s="865" t="str">
        <f>"Early Failure "&amp;C8</f>
        <v>Early Failure Labor Cost to Install</v>
      </c>
      <c r="D19" s="865" t="s">
        <v>740</v>
      </c>
      <c r="E19" s="1048"/>
      <c r="F19" s="865" t="s">
        <v>1322</v>
      </c>
      <c r="H19" s="1014">
        <v>15</v>
      </c>
      <c r="I19" s="1037">
        <f t="shared" si="0"/>
        <v>1</v>
      </c>
      <c r="J19" s="1038">
        <f t="shared" si="1"/>
        <v>0</v>
      </c>
      <c r="K19" s="1039">
        <f t="shared" si="2"/>
        <v>0</v>
      </c>
    </row>
    <row r="20" spans="1:11" ht="14.4">
      <c r="A20" s="865">
        <v>18</v>
      </c>
      <c r="B20" s="865" t="s">
        <v>1198</v>
      </c>
      <c r="C20" s="865" t="s">
        <v>764</v>
      </c>
      <c r="D20" s="865" t="s">
        <v>740</v>
      </c>
      <c r="E20" s="1048"/>
      <c r="F20" s="865" t="s">
        <v>1322</v>
      </c>
      <c r="H20" s="1636" t="s">
        <v>763</v>
      </c>
      <c r="I20" s="1636"/>
      <c r="J20" s="1636"/>
      <c r="K20" s="1049" t="e">
        <f>AVERAGEIFS($K$5:$K$19,$K$5:$K$19,"&gt;0")</f>
        <v>#DIV/0!</v>
      </c>
    </row>
    <row r="21" spans="1:6" ht="14.4">
      <c r="A21" s="865">
        <v>19</v>
      </c>
      <c r="B21" s="865" t="s">
        <v>1198</v>
      </c>
      <c r="C21" s="865" t="str">
        <f>"Early Failure "&amp;C9</f>
        <v>Early Failure Total Installed Cost</v>
      </c>
      <c r="D21" s="865" t="s">
        <v>740</v>
      </c>
      <c r="E21" s="1048"/>
      <c r="F21" s="865" t="s">
        <v>1322</v>
      </c>
    </row>
    <row r="22" spans="1:6" ht="14.4">
      <c r="A22" s="865">
        <v>20</v>
      </c>
      <c r="B22" s="865" t="s">
        <v>1198</v>
      </c>
      <c r="C22" s="865" t="s">
        <v>762</v>
      </c>
      <c r="D22" s="865" t="s">
        <v>740</v>
      </c>
      <c r="E22" s="1048"/>
      <c r="F22" s="865" t="s">
        <v>1322</v>
      </c>
    </row>
    <row r="23" spans="1:6" ht="14.4">
      <c r="A23" s="865">
        <v>21</v>
      </c>
      <c r="B23" s="865" t="s">
        <v>1198</v>
      </c>
      <c r="C23" s="865" t="s">
        <v>796</v>
      </c>
      <c r="D23" s="865" t="s">
        <v>795</v>
      </c>
      <c r="E23" s="1048"/>
      <c r="F23" s="865" t="s">
        <v>1322</v>
      </c>
    </row>
    <row r="24" spans="1:5" ht="14.4">
      <c r="A24" s="865">
        <v>22</v>
      </c>
      <c r="B24" s="865" t="s">
        <v>1198</v>
      </c>
      <c r="C24" s="865" t="s">
        <v>761</v>
      </c>
      <c r="D24" s="865" t="s">
        <v>760</v>
      </c>
      <c r="E24" s="865">
        <f>E5*E10*10^-3</f>
        <v>4447.30</v>
      </c>
    </row>
    <row r="25" spans="1:5" ht="14.4">
      <c r="A25" s="865">
        <v>23</v>
      </c>
      <c r="B25" s="865" t="s">
        <v>1198</v>
      </c>
      <c r="C25" s="865" t="s">
        <v>759</v>
      </c>
      <c r="D25" s="865" t="s">
        <v>758</v>
      </c>
      <c r="E25" s="865">
        <f>E24*E12</f>
        <v>16500</v>
      </c>
    </row>
    <row r="26" spans="1:5" ht="14.4">
      <c r="A26" s="865">
        <v>24</v>
      </c>
      <c r="B26" s="865" t="s">
        <v>1198</v>
      </c>
      <c r="C26" s="865" t="s">
        <v>757</v>
      </c>
      <c r="D26" s="865" t="s">
        <v>756</v>
      </c>
      <c r="E26" s="1050">
        <f>E24/12</f>
        <v>370.60833333333335</v>
      </c>
    </row>
    <row r="27" spans="1:6" ht="14.4">
      <c r="A27" s="865">
        <v>25</v>
      </c>
      <c r="B27" s="865" t="s">
        <v>1198</v>
      </c>
      <c r="C27" s="865" t="s">
        <v>754</v>
      </c>
      <c r="D27" s="865" t="s">
        <v>753</v>
      </c>
      <c r="E27" s="1040"/>
      <c r="F27" s="865" t="s">
        <v>1322</v>
      </c>
    </row>
    <row r="28" spans="1:6" ht="14.4">
      <c r="A28" s="865">
        <v>26</v>
      </c>
      <c r="B28" s="865" t="s">
        <v>1198</v>
      </c>
      <c r="C28" s="865" t="s">
        <v>792</v>
      </c>
      <c r="D28" s="865" t="s">
        <v>791</v>
      </c>
      <c r="E28" s="1051"/>
      <c r="F28" s="865" t="s">
        <v>1322</v>
      </c>
    </row>
    <row r="29" ht="14.4"/>
    <row r="30" spans="1:8" s="1033" customFormat="1" ht="14.4">
      <c r="A30" s="1033" t="s">
        <v>789</v>
      </c>
      <c r="B30" s="1033" t="s">
        <v>788</v>
      </c>
      <c r="C30" s="1033" t="s">
        <v>192</v>
      </c>
      <c r="D30" s="1033" t="s">
        <v>195</v>
      </c>
      <c r="E30" s="1033" t="s">
        <v>194</v>
      </c>
      <c r="F30" s="1033" t="s">
        <v>78</v>
      </c>
      <c r="H30" s="1033" t="s">
        <v>787</v>
      </c>
    </row>
    <row r="31" spans="1:8" ht="14.4">
      <c r="A31" s="865">
        <v>1</v>
      </c>
      <c r="B31" s="865" t="s">
        <v>1323</v>
      </c>
      <c r="C31" s="865" t="s">
        <v>786</v>
      </c>
      <c r="D31" s="865" t="s">
        <v>185</v>
      </c>
      <c r="F31" s="865" t="s">
        <v>1322</v>
      </c>
      <c r="H31" s="1034">
        <f>1-EXP(-$E$38/$E$42)</f>
        <v>0.10220483077859088</v>
      </c>
    </row>
    <row r="32" spans="1:11" ht="14.4">
      <c r="A32" s="865">
        <v>2</v>
      </c>
      <c r="B32" s="865" t="s">
        <v>1323</v>
      </c>
      <c r="C32" s="865" t="s">
        <v>785</v>
      </c>
      <c r="D32" s="865" t="s">
        <v>185</v>
      </c>
      <c r="F32" s="865" t="s">
        <v>1322</v>
      </c>
      <c r="H32" s="1035" t="s">
        <v>784</v>
      </c>
      <c r="I32" s="1035" t="s">
        <v>783</v>
      </c>
      <c r="J32" s="1036" t="s">
        <v>782</v>
      </c>
      <c r="K32" s="1035" t="s">
        <v>775</v>
      </c>
    </row>
    <row r="33" spans="1:11" ht="14.4">
      <c r="A33" s="865">
        <v>3</v>
      </c>
      <c r="B33" s="865" t="s">
        <v>1323</v>
      </c>
      <c r="C33" s="865" t="s">
        <v>781</v>
      </c>
      <c r="D33" s="865" t="s">
        <v>185</v>
      </c>
      <c r="E33" s="865">
        <v>283</v>
      </c>
      <c r="H33" s="1014">
        <v>1</v>
      </c>
      <c r="I33" s="1037">
        <f t="shared" si="3" ref="I33:I47">IF($H33&lt;=5,0%,IF((H33-5)*$H$31&gt;=100%,100%,(H33-5)*$H$31))</f>
        <v>0</v>
      </c>
      <c r="J33" s="1038">
        <f t="shared" si="4" ref="J33:J47">1-I33</f>
        <v>1</v>
      </c>
      <c r="K33" s="1039">
        <f t="shared" si="5" ref="K33:K47">IF(OR($H33&gt;=$E$40,$H33&lt;=$E$44),0,$E$37+($E$49*$I33))</f>
        <v>0</v>
      </c>
    </row>
    <row r="34" spans="1:11" ht="14.4">
      <c r="A34" s="865">
        <v>4</v>
      </c>
      <c r="B34" s="865" t="s">
        <v>1323</v>
      </c>
      <c r="C34" s="865" t="s">
        <v>780</v>
      </c>
      <c r="D34" s="865" t="s">
        <v>740</v>
      </c>
      <c r="E34" s="1040"/>
      <c r="F34" s="865" t="s">
        <v>1322</v>
      </c>
      <c r="H34" s="1014">
        <v>2</v>
      </c>
      <c r="I34" s="1037">
        <f t="shared" si="3"/>
        <v>0</v>
      </c>
      <c r="J34" s="1038">
        <f t="shared" si="4"/>
        <v>1</v>
      </c>
      <c r="K34" s="1039">
        <f t="shared" si="5"/>
        <v>0</v>
      </c>
    </row>
    <row r="35" spans="1:11" ht="14.4">
      <c r="A35" s="865">
        <v>5</v>
      </c>
      <c r="B35" s="865" t="s">
        <v>1323</v>
      </c>
      <c r="C35" s="865" t="s">
        <v>778</v>
      </c>
      <c r="D35" s="865" t="s">
        <v>183</v>
      </c>
      <c r="E35" s="1041"/>
      <c r="F35" s="865" t="s">
        <v>1322</v>
      </c>
      <c r="H35" s="1014">
        <v>3</v>
      </c>
      <c r="I35" s="1037">
        <f t="shared" si="3"/>
        <v>0</v>
      </c>
      <c r="J35" s="1038">
        <f t="shared" si="4"/>
        <v>1</v>
      </c>
      <c r="K35" s="1039">
        <f t="shared" si="5"/>
        <v>0</v>
      </c>
    </row>
    <row r="36" spans="1:11" ht="14.4">
      <c r="A36" s="865">
        <v>6</v>
      </c>
      <c r="B36" s="865" t="s">
        <v>1323</v>
      </c>
      <c r="C36" s="865" t="s">
        <v>776</v>
      </c>
      <c r="D36" s="865" t="s">
        <v>740</v>
      </c>
      <c r="E36" s="1040"/>
      <c r="F36" s="865" t="s">
        <v>1322</v>
      </c>
      <c r="H36" s="1014">
        <v>4</v>
      </c>
      <c r="I36" s="1037">
        <f t="shared" si="3"/>
        <v>0</v>
      </c>
      <c r="J36" s="1038">
        <f t="shared" si="4"/>
        <v>1</v>
      </c>
      <c r="K36" s="1039">
        <f t="shared" si="5"/>
        <v>0</v>
      </c>
    </row>
    <row r="37" spans="1:11" ht="14.4">
      <c r="A37" s="865">
        <v>7</v>
      </c>
      <c r="B37" s="865" t="s">
        <v>1323</v>
      </c>
      <c r="C37" s="865" t="s">
        <v>775</v>
      </c>
      <c r="D37" s="865" t="s">
        <v>740</v>
      </c>
      <c r="E37" s="1040"/>
      <c r="F37" s="865" t="s">
        <v>1322</v>
      </c>
      <c r="H37" s="1014">
        <v>5</v>
      </c>
      <c r="I37" s="1037">
        <f t="shared" si="3"/>
        <v>0</v>
      </c>
      <c r="J37" s="1038">
        <f t="shared" si="4"/>
        <v>1</v>
      </c>
      <c r="K37" s="1039">
        <f t="shared" si="5"/>
        <v>0</v>
      </c>
    </row>
    <row r="38" spans="1:11" ht="14.4">
      <c r="A38" s="865">
        <v>8</v>
      </c>
      <c r="B38" s="865" t="s">
        <v>1323</v>
      </c>
      <c r="C38" s="865" t="s">
        <v>774</v>
      </c>
      <c r="D38" s="865" t="s">
        <v>773</v>
      </c>
      <c r="E38" s="865">
        <v>4043</v>
      </c>
      <c r="H38" s="1014">
        <v>6</v>
      </c>
      <c r="I38" s="1037">
        <f t="shared" si="3"/>
        <v>0.10220483077859088</v>
      </c>
      <c r="J38" s="1038">
        <f t="shared" si="4"/>
        <v>0.89779516922140912</v>
      </c>
      <c r="K38" s="1039">
        <f t="shared" si="5"/>
        <v>0</v>
      </c>
    </row>
    <row r="39" spans="1:11" ht="14.4">
      <c r="A39" s="865">
        <v>9</v>
      </c>
      <c r="B39" s="865" t="s">
        <v>1323</v>
      </c>
      <c r="C39" s="865" t="s">
        <v>262</v>
      </c>
      <c r="D39" s="865" t="s">
        <v>183</v>
      </c>
      <c r="E39" s="865">
        <v>50000</v>
      </c>
      <c r="H39" s="1014">
        <v>7</v>
      </c>
      <c r="I39" s="1037">
        <f t="shared" si="3"/>
        <v>0.20440966155718177</v>
      </c>
      <c r="J39" s="1038">
        <f t="shared" si="4"/>
        <v>0.79559033844281823</v>
      </c>
      <c r="K39" s="1039">
        <f t="shared" si="5"/>
        <v>0</v>
      </c>
    </row>
    <row r="40" spans="1:11" ht="14.4">
      <c r="A40" s="865">
        <v>10</v>
      </c>
      <c r="B40" s="865" t="s">
        <v>1323</v>
      </c>
      <c r="C40" s="865" t="s">
        <v>262</v>
      </c>
      <c r="D40" s="865" t="s">
        <v>174</v>
      </c>
      <c r="E40" s="1042">
        <f>E39/E38</f>
        <v>12.367054167697255</v>
      </c>
      <c r="H40" s="1014">
        <v>8</v>
      </c>
      <c r="I40" s="1037">
        <f t="shared" si="3"/>
        <v>0.30661449233577265</v>
      </c>
      <c r="J40" s="1038">
        <f t="shared" si="4"/>
        <v>0.69338550766422735</v>
      </c>
      <c r="K40" s="1039">
        <f t="shared" si="5"/>
        <v>0</v>
      </c>
    </row>
    <row r="41" spans="1:11" ht="14.4">
      <c r="A41" s="865">
        <v>11</v>
      </c>
      <c r="B41" s="865" t="s">
        <v>1323</v>
      </c>
      <c r="C41" s="865" t="s">
        <v>772</v>
      </c>
      <c r="D41" s="865" t="s">
        <v>169</v>
      </c>
      <c r="E41" s="1043">
        <v>0.75</v>
      </c>
      <c r="F41" s="865" t="s">
        <v>771</v>
      </c>
      <c r="H41" s="1014">
        <v>9</v>
      </c>
      <c r="I41" s="1037">
        <f t="shared" si="3"/>
        <v>0.40881932311436353</v>
      </c>
      <c r="J41" s="1038">
        <f t="shared" si="4"/>
        <v>0.59118067688563647</v>
      </c>
      <c r="K41" s="1039">
        <f t="shared" si="5"/>
        <v>0</v>
      </c>
    </row>
    <row r="42" spans="1:11" ht="14.4">
      <c r="A42" s="865">
        <v>12</v>
      </c>
      <c r="B42" s="865" t="s">
        <v>1323</v>
      </c>
      <c r="C42" s="865" t="s">
        <v>770</v>
      </c>
      <c r="D42" s="865" t="s">
        <v>183</v>
      </c>
      <c r="E42" s="1044">
        <f>E43*E38</f>
        <v>37500</v>
      </c>
      <c r="H42" s="1014">
        <v>10</v>
      </c>
      <c r="I42" s="1037">
        <f t="shared" si="3"/>
        <v>0.51102415389295441</v>
      </c>
      <c r="J42" s="1038">
        <f t="shared" si="4"/>
        <v>0.48897584610704559</v>
      </c>
      <c r="K42" s="1039">
        <f t="shared" si="5"/>
        <v>0</v>
      </c>
    </row>
    <row r="43" spans="1:11" ht="14.4">
      <c r="A43" s="865">
        <v>13</v>
      </c>
      <c r="B43" s="865" t="s">
        <v>1323</v>
      </c>
      <c r="C43" s="865" t="s">
        <v>769</v>
      </c>
      <c r="D43" s="865" t="s">
        <v>174</v>
      </c>
      <c r="E43" s="1042">
        <f>E41*E40</f>
        <v>9.2752906257729411</v>
      </c>
      <c r="H43" s="1014">
        <v>11</v>
      </c>
      <c r="I43" s="1037">
        <f t="shared" si="3"/>
        <v>0.6132289846715453</v>
      </c>
      <c r="J43" s="1038">
        <f t="shared" si="4"/>
        <v>0.3867710153284547</v>
      </c>
      <c r="K43" s="1039">
        <f t="shared" si="5"/>
        <v>0</v>
      </c>
    </row>
    <row r="44" spans="1:11" ht="14.4">
      <c r="A44" s="865">
        <v>14</v>
      </c>
      <c r="B44" s="865" t="s">
        <v>1323</v>
      </c>
      <c r="C44" s="865" t="s">
        <v>768</v>
      </c>
      <c r="D44" s="865" t="s">
        <v>174</v>
      </c>
      <c r="E44" s="865">
        <v>5</v>
      </c>
      <c r="H44" s="1014">
        <v>12</v>
      </c>
      <c r="I44" s="1037">
        <f t="shared" si="3"/>
        <v>0.71543381545013618</v>
      </c>
      <c r="J44" s="1038">
        <f t="shared" si="4"/>
        <v>0.28456618454986382</v>
      </c>
      <c r="K44" s="1039">
        <f t="shared" si="5"/>
        <v>0</v>
      </c>
    </row>
    <row r="45" spans="1:11" ht="14.4">
      <c r="A45" s="865">
        <v>15</v>
      </c>
      <c r="B45" s="865" t="s">
        <v>1323</v>
      </c>
      <c r="C45" s="865" t="s">
        <v>767</v>
      </c>
      <c r="D45" s="865" t="s">
        <v>169</v>
      </c>
      <c r="E45" s="1046">
        <v>0.10</v>
      </c>
      <c r="F45" s="865" t="s">
        <v>1738</v>
      </c>
      <c r="H45" s="1014">
        <v>13</v>
      </c>
      <c r="I45" s="1037">
        <f t="shared" si="3"/>
        <v>0.81763864622872706</v>
      </c>
      <c r="J45" s="1038">
        <f t="shared" si="4"/>
        <v>0.18236135377127294</v>
      </c>
      <c r="K45" s="1039">
        <f t="shared" si="5"/>
        <v>0</v>
      </c>
    </row>
    <row r="46" spans="1:11" ht="14.4">
      <c r="A46" s="865">
        <v>16</v>
      </c>
      <c r="B46" s="865" t="s">
        <v>1323</v>
      </c>
      <c r="C46" s="865" t="s">
        <v>766</v>
      </c>
      <c r="D46" s="865" t="s">
        <v>183</v>
      </c>
      <c r="E46" s="865">
        <v>2</v>
      </c>
      <c r="F46" s="865" t="s">
        <v>765</v>
      </c>
      <c r="H46" s="1014">
        <v>14</v>
      </c>
      <c r="I46" s="1037">
        <f t="shared" si="3"/>
        <v>0.91984347700731794</v>
      </c>
      <c r="J46" s="1038">
        <f t="shared" si="4"/>
        <v>0.080156522992682055</v>
      </c>
      <c r="K46" s="1039">
        <f t="shared" si="5"/>
        <v>0</v>
      </c>
    </row>
    <row r="47" spans="1:11" ht="14.4">
      <c r="A47" s="865">
        <v>17</v>
      </c>
      <c r="B47" s="865" t="s">
        <v>1323</v>
      </c>
      <c r="C47" s="865" t="str">
        <f>"Early Failure "&amp;C36</f>
        <v>Early Failure Labor Cost to Install</v>
      </c>
      <c r="D47" s="865" t="s">
        <v>740</v>
      </c>
      <c r="E47" s="1048"/>
      <c r="F47" s="865" t="s">
        <v>1322</v>
      </c>
      <c r="H47" s="1014">
        <v>15</v>
      </c>
      <c r="I47" s="1037">
        <f t="shared" si="3"/>
        <v>1</v>
      </c>
      <c r="J47" s="1038">
        <f t="shared" si="4"/>
        <v>0</v>
      </c>
      <c r="K47" s="1039">
        <f t="shared" si="5"/>
        <v>0</v>
      </c>
    </row>
    <row r="48" spans="1:11" ht="14.4">
      <c r="A48" s="865">
        <v>18</v>
      </c>
      <c r="B48" s="865" t="s">
        <v>1323</v>
      </c>
      <c r="C48" s="865" t="s">
        <v>764</v>
      </c>
      <c r="D48" s="865" t="s">
        <v>740</v>
      </c>
      <c r="E48" s="1048"/>
      <c r="F48" s="865" t="s">
        <v>1322</v>
      </c>
      <c r="H48" s="1649" t="s">
        <v>763</v>
      </c>
      <c r="I48" s="1650"/>
      <c r="J48" s="1651"/>
      <c r="K48" s="1049" t="e">
        <f>AVERAGEIFS($K$33:$K$47,$K$33:$K$47,"&gt;0")</f>
        <v>#DIV/0!</v>
      </c>
    </row>
    <row r="49" spans="1:6" ht="14.4">
      <c r="A49" s="865">
        <v>19</v>
      </c>
      <c r="B49" s="865" t="s">
        <v>1323</v>
      </c>
      <c r="C49" s="865" t="str">
        <f>"Early Failure "&amp;C37</f>
        <v>Early Failure Total Installed Cost</v>
      </c>
      <c r="D49" s="865" t="s">
        <v>740</v>
      </c>
      <c r="E49" s="1048"/>
      <c r="F49" s="865" t="s">
        <v>1322</v>
      </c>
    </row>
    <row r="50" spans="1:6" ht="14.4">
      <c r="A50" s="865">
        <v>20</v>
      </c>
      <c r="B50" s="865" t="s">
        <v>1323</v>
      </c>
      <c r="C50" s="865" t="s">
        <v>762</v>
      </c>
      <c r="D50" s="865" t="s">
        <v>740</v>
      </c>
      <c r="E50" s="1048"/>
      <c r="F50" s="865" t="s">
        <v>1322</v>
      </c>
    </row>
    <row r="51" spans="1:5" ht="14.4">
      <c r="A51" s="865">
        <v>21</v>
      </c>
      <c r="B51" s="865" t="s">
        <v>1323</v>
      </c>
      <c r="C51" s="865" t="s">
        <v>761</v>
      </c>
      <c r="D51" s="865" t="s">
        <v>760</v>
      </c>
      <c r="E51" s="865">
        <f>E33*E38*10^-3</f>
        <v>1144.1690000000001</v>
      </c>
    </row>
    <row r="52" spans="1:5" ht="14.4">
      <c r="A52" s="865">
        <v>22</v>
      </c>
      <c r="B52" s="865" t="s">
        <v>1323</v>
      </c>
      <c r="C52" s="865" t="s">
        <v>759</v>
      </c>
      <c r="D52" s="865" t="s">
        <v>758</v>
      </c>
      <c r="E52" s="865">
        <f>E51*E40</f>
        <v>14150.000000000002</v>
      </c>
    </row>
    <row r="53" spans="1:5" ht="14.4">
      <c r="A53" s="865">
        <v>23</v>
      </c>
      <c r="B53" s="865" t="s">
        <v>1323</v>
      </c>
      <c r="C53" s="865" t="s">
        <v>757</v>
      </c>
      <c r="D53" s="865" t="s">
        <v>756</v>
      </c>
      <c r="E53" s="1050">
        <f>E51/12</f>
        <v>95.347416666666675</v>
      </c>
    </row>
    <row r="54" spans="1:5" ht="14.4">
      <c r="A54" s="865">
        <v>24</v>
      </c>
      <c r="B54" s="865" t="s">
        <v>1323</v>
      </c>
      <c r="C54" s="865" t="s">
        <v>754</v>
      </c>
      <c r="D54" s="865" t="s">
        <v>753</v>
      </c>
      <c r="E54" s="1040"/>
    </row>
    <row r="55" ht="14.4"/>
    <row r="56" spans="3:6" ht="14.4">
      <c r="C56" s="865" t="s">
        <v>697</v>
      </c>
      <c r="D56" s="865" t="s">
        <v>752</v>
      </c>
      <c r="E56" s="1048">
        <f>E50-E22</f>
        <v>0</v>
      </c>
      <c r="F56" s="865" t="s">
        <v>1322</v>
      </c>
    </row>
    <row r="57" spans="3:6" ht="14.4">
      <c r="C57" s="865" t="s">
        <v>751</v>
      </c>
      <c r="D57" s="865" t="s">
        <v>750</v>
      </c>
      <c r="E57" s="1048">
        <f>E50-E23</f>
        <v>0</v>
      </c>
      <c r="F57" s="865" t="s">
        <v>1322</v>
      </c>
    </row>
    <row r="58" ht="14.4"/>
    <row r="59" spans="2:5" ht="14.4">
      <c r="B59" s="865" t="s">
        <v>745</v>
      </c>
      <c r="C59" s="865" t="s">
        <v>749</v>
      </c>
      <c r="D59" s="865" t="s">
        <v>748</v>
      </c>
      <c r="E59" s="865">
        <v>2000</v>
      </c>
    </row>
    <row r="60" spans="2:5" ht="14.4">
      <c r="B60" s="865" t="s">
        <v>745</v>
      </c>
      <c r="C60" s="865" t="s">
        <v>747</v>
      </c>
      <c r="D60" s="865" t="s">
        <v>746</v>
      </c>
      <c r="E60" s="1040">
        <v>78.540000000000006</v>
      </c>
    </row>
    <row r="61" spans="2:5" ht="14.4">
      <c r="B61" s="865" t="s">
        <v>745</v>
      </c>
      <c r="C61" s="865" t="s">
        <v>744</v>
      </c>
      <c r="D61" s="865" t="s">
        <v>743</v>
      </c>
      <c r="E61" s="1041">
        <v>1</v>
      </c>
    </row>
    <row r="62" ht="14.4"/>
    <row r="63" spans="2:6" ht="14.4">
      <c r="B63" s="865" t="s">
        <v>742</v>
      </c>
      <c r="C63" s="865" t="s">
        <v>741</v>
      </c>
      <c r="D63" s="865" t="s">
        <v>740</v>
      </c>
      <c r="E63" s="1040">
        <v>35</v>
      </c>
      <c r="F63" s="865" t="s">
        <v>739</v>
      </c>
    </row>
    <row r="64" ht="14.4"/>
    <row r="65" ht="14.4">
      <c r="B65" s="865" t="s">
        <v>738</v>
      </c>
    </row>
    <row r="66" spans="2:3" ht="14.4">
      <c r="B66" s="865" t="s">
        <v>737</v>
      </c>
      <c r="C66" s="1040">
        <v>115</v>
      </c>
    </row>
    <row r="67" spans="2:3" ht="14.4">
      <c r="B67" s="865" t="s">
        <v>736</v>
      </c>
      <c r="C67" s="1040">
        <v>15</v>
      </c>
    </row>
    <row r="68" spans="2:3" ht="14.4">
      <c r="B68" s="865" t="s">
        <v>735</v>
      </c>
      <c r="C68" s="1040">
        <v>5.50</v>
      </c>
    </row>
    <row r="69" spans="2:3" ht="14.4">
      <c r="B69" s="865" t="s">
        <v>734</v>
      </c>
      <c r="C69" s="1048">
        <f>SUM(C66,C68)</f>
        <v>120.50</v>
      </c>
    </row>
    <row r="70" ht="14.4"/>
    <row r="71" ht="14.4">
      <c r="B71" s="865" t="s">
        <v>1750</v>
      </c>
    </row>
    <row r="72" spans="2:4" ht="14.4">
      <c r="B72" s="865" t="s">
        <v>718</v>
      </c>
      <c r="C72" s="1046">
        <v>0.30</v>
      </c>
      <c r="D72" s="865" t="s">
        <v>717</v>
      </c>
    </row>
    <row r="73" spans="2:4" ht="14.4">
      <c r="B73" s="865" t="s">
        <v>716</v>
      </c>
      <c r="C73" s="1046">
        <v>0.70</v>
      </c>
      <c r="D73" s="865" t="s">
        <v>715</v>
      </c>
    </row>
    <row r="74" ht="14.4"/>
    <row r="75" spans="2:4" ht="14.4">
      <c r="B75" s="865" t="s">
        <v>732</v>
      </c>
      <c r="C75" s="865" t="s">
        <v>1751</v>
      </c>
      <c r="D75" s="865" t="s">
        <v>723</v>
      </c>
    </row>
    <row r="76" spans="2:5" ht="14.4">
      <c r="B76" s="865" t="s">
        <v>730</v>
      </c>
      <c r="C76" s="865" t="s">
        <v>721</v>
      </c>
      <c r="D76" s="865" t="s">
        <v>721</v>
      </c>
      <c r="E76" s="865" t="s">
        <v>78</v>
      </c>
    </row>
    <row r="77" spans="2:4" ht="14.4">
      <c r="B77" s="865" t="s">
        <v>729</v>
      </c>
      <c r="C77" s="1040">
        <f>C80-SUM(C78:C79)</f>
        <v>-16.50</v>
      </c>
      <c r="D77" s="1040" t="s">
        <v>200</v>
      </c>
    </row>
    <row r="78" spans="2:5" ht="14.4">
      <c r="B78" s="865" t="s">
        <v>116</v>
      </c>
      <c r="C78" s="1040">
        <v>11</v>
      </c>
      <c r="D78" s="1040">
        <f>$C$66</f>
        <v>115</v>
      </c>
      <c r="E78" s="865" t="s">
        <v>728</v>
      </c>
    </row>
    <row r="79" spans="2:5" ht="14.4">
      <c r="B79" s="865" t="s">
        <v>727</v>
      </c>
      <c r="C79" s="1040">
        <v>5.50</v>
      </c>
      <c r="D79" s="1040">
        <f>$C$68</f>
        <v>5.50</v>
      </c>
      <c r="E79" s="865" t="s">
        <v>726</v>
      </c>
    </row>
    <row r="80" spans="2:4" ht="14.4">
      <c r="B80" s="865" t="s">
        <v>131</v>
      </c>
      <c r="C80" s="1040">
        <f>$E$6</f>
        <v>0</v>
      </c>
      <c r="D80" s="1040">
        <f>SUM(D77:D79)</f>
        <v>120.50</v>
      </c>
    </row>
    <row r="81" ht="14.4"/>
    <row r="82" spans="2:4" ht="14.4">
      <c r="B82" s="865" t="s">
        <v>725</v>
      </c>
      <c r="C82" s="865" t="s">
        <v>1752</v>
      </c>
      <c r="D82" s="865" t="s">
        <v>723</v>
      </c>
    </row>
    <row r="83" spans="2:5" ht="14.4">
      <c r="B83" s="865" t="s">
        <v>722</v>
      </c>
      <c r="C83" s="865" t="s">
        <v>721</v>
      </c>
      <c r="D83" s="865" t="s">
        <v>721</v>
      </c>
      <c r="E83" s="865" t="s">
        <v>192</v>
      </c>
    </row>
    <row r="84" spans="2:5" ht="14.4">
      <c r="B84" s="865">
        <v>2</v>
      </c>
      <c r="C84" s="1048">
        <f>B84*$E$60</f>
        <v>157.08000000000001</v>
      </c>
      <c r="E84" s="865" t="s">
        <v>717</v>
      </c>
    </row>
    <row r="85" spans="2:5" ht="14.4">
      <c r="B85" s="865">
        <v>1</v>
      </c>
      <c r="C85" s="1048">
        <f>B85*$E$60</f>
        <v>78.540000000000006</v>
      </c>
      <c r="E85" s="865" t="s">
        <v>715</v>
      </c>
    </row>
    <row r="86" spans="2:5" ht="14.4">
      <c r="B86" s="1041">
        <f>(B84*$C$72)+(B85*$C$73)</f>
        <v>1.2999999999999998</v>
      </c>
      <c r="C86" s="1048">
        <f>(C84*$C$72)+(C85*$C$73)</f>
        <v>102.102</v>
      </c>
      <c r="E86" s="865" t="s">
        <v>720</v>
      </c>
    </row>
    <row r="87" ht="14.4"/>
    <row r="88" ht="14.4">
      <c r="B88" s="865" t="s">
        <v>1753</v>
      </c>
    </row>
    <row r="89" spans="2:4" ht="14.4">
      <c r="B89" s="865" t="s">
        <v>718</v>
      </c>
      <c r="C89" s="1048">
        <f>SUM(C80)</f>
        <v>0</v>
      </c>
      <c r="D89" s="865" t="s">
        <v>717</v>
      </c>
    </row>
    <row r="90" spans="2:4" ht="14.4">
      <c r="B90" s="865" t="s">
        <v>716</v>
      </c>
      <c r="C90" s="1048">
        <f>SUM(C78:C79)</f>
        <v>16.50</v>
      </c>
      <c r="D90" s="865" t="s">
        <v>715</v>
      </c>
    </row>
    <row r="91" spans="2:4" ht="14.4">
      <c r="B91" s="865" t="s">
        <v>714</v>
      </c>
      <c r="C91" s="1048">
        <f>(C89*$C$72)+(C90*$C$73)</f>
        <v>11.55</v>
      </c>
      <c r="D91" s="865" t="s">
        <v>713</v>
      </c>
    </row>
    <row r="92" ht="14.4"/>
    <row r="93" ht="14.4">
      <c r="C93" s="1052"/>
    </row>
    <row r="94" ht="14.4"/>
    <row r="95" ht="14.4">
      <c r="B95" s="1033" t="s">
        <v>859</v>
      </c>
    </row>
    <row r="96" spans="2:3" ht="14.4">
      <c r="B96" s="1040">
        <v>6.64</v>
      </c>
      <c r="C96" s="865" t="s">
        <v>711</v>
      </c>
    </row>
    <row r="97" spans="2:3" ht="14.4">
      <c r="B97" s="1040">
        <f>B96*12</f>
        <v>79.679999999999993</v>
      </c>
      <c r="C97" s="865" t="s">
        <v>710</v>
      </c>
    </row>
  </sheetData>
  <mergeCells count="2">
    <mergeCell ref="H20:J20"/>
    <mergeCell ref="H48:J48"/>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8"/>
  </sheetPr>
  <dimension ref="A1:E44"/>
  <sheetViews>
    <sheetView zoomScale="85" zoomScaleNormal="85" workbookViewId="0" topLeftCell="C19">
      <selection pane="topLeft" activeCell="A1" sqref="A1"/>
    </sheetView>
  </sheetViews>
  <sheetFormatPr defaultColWidth="9.21875" defaultRowHeight="14.4"/>
  <cols>
    <col min="1" max="1" width="9.22222222222222" style="613"/>
    <col min="2" max="2" width="15.2222222222222" style="613" bestFit="1" customWidth="1"/>
    <col min="3" max="3" width="39.2222222222222" style="613" bestFit="1" customWidth="1"/>
    <col min="4" max="4" width="25.7777777777778" style="614" customWidth="1"/>
    <col min="5" max="5" width="125.777777777778" style="614" customWidth="1"/>
    <col min="6" max="16384" width="9.22222222222222" style="613"/>
  </cols>
  <sheetData>
    <row r="1" ht="14.4">
      <c r="A1" s="612" t="s">
        <v>1607</v>
      </c>
    </row>
    <row r="2" ht="14.4"/>
    <row r="3" spans="2:5" ht="14.4">
      <c r="B3" s="615" t="s">
        <v>887</v>
      </c>
      <c r="C3" s="615" t="s">
        <v>90</v>
      </c>
      <c r="D3" s="616" t="s">
        <v>89</v>
      </c>
      <c r="E3" s="616" t="s">
        <v>1612</v>
      </c>
    </row>
    <row r="4" spans="2:5" ht="28.8">
      <c r="B4" s="617" t="s">
        <v>13</v>
      </c>
      <c r="C4" s="617" t="s">
        <v>1574</v>
      </c>
      <c r="D4" s="618" t="s">
        <v>1609</v>
      </c>
      <c r="E4" s="618" t="str">
        <f>"Seminole Reported; "&amp;'Seminole 2015'!N40</f>
        <v>Seminole Reported; Peaker Enclosure light replacement with LEDS – 4,550 watt savings. Assuming warehouse annual HOU = 1,891. No demand savings claimed. </v>
      </c>
    </row>
    <row r="5" spans="2:5" ht="28.8">
      <c r="B5" s="617" t="s">
        <v>13</v>
      </c>
      <c r="C5" s="617" t="s">
        <v>1574</v>
      </c>
      <c r="D5" s="618" t="s">
        <v>1542</v>
      </c>
      <c r="E5" s="618" t="str">
        <f>"Seminole Reported; "&amp;'Seminole 2015'!N41</f>
        <v>Seminole Reported; Building Roof AC Unit Replacements – 8,800 watt savings. Assuming Annual EFLH Cool Hours for Tampa (MGS) weather station = 3,068. No Demand Savings Claimed. </v>
      </c>
    </row>
    <row r="6" spans="2:5" ht="28.8">
      <c r="B6" s="617" t="s">
        <v>13</v>
      </c>
      <c r="C6" s="617" t="s">
        <v>1574</v>
      </c>
      <c r="D6" s="618" t="s">
        <v>1543</v>
      </c>
      <c r="E6" s="618" t="str">
        <f>"Seminole Reported; "&amp;'Seminole 2015'!N42</f>
        <v>Seminole Reported; (Ongoing &lt; 1% complete) Changing Outdoor lighting with LEDS as they fail - 15,500 watt savings; Assuming outdoor annual HOU = 4100. No demand savings claimed. </v>
      </c>
    </row>
    <row r="7" spans="2:5" ht="28.8">
      <c r="B7" s="617" t="s">
        <v>13</v>
      </c>
      <c r="C7" s="617" t="s">
        <v>1575</v>
      </c>
      <c r="D7" s="618" t="s">
        <v>1446</v>
      </c>
      <c r="E7" s="618" t="s">
        <v>1610</v>
      </c>
    </row>
    <row r="8" spans="2:5" ht="28.8">
      <c r="B8" s="617" t="s">
        <v>13</v>
      </c>
      <c r="C8" s="617" t="s">
        <v>1576</v>
      </c>
      <c r="D8" s="618" t="s">
        <v>1446</v>
      </c>
      <c r="E8" s="618" t="s">
        <v>1610</v>
      </c>
    </row>
    <row r="9" spans="2:5" ht="14.4">
      <c r="B9" s="617" t="s">
        <v>341</v>
      </c>
      <c r="C9" s="617" t="s">
        <v>669</v>
      </c>
      <c r="D9" s="618" t="s">
        <v>668</v>
      </c>
      <c r="E9" s="618" t="s">
        <v>1611</v>
      </c>
    </row>
    <row r="10" spans="2:5" ht="28.8">
      <c r="B10" s="617" t="s">
        <v>341</v>
      </c>
      <c r="C10" s="617" t="s">
        <v>817</v>
      </c>
      <c r="D10" s="618" t="s">
        <v>816</v>
      </c>
      <c r="E10" s="618" t="s">
        <v>1614</v>
      </c>
    </row>
    <row r="11" spans="2:5" ht="14.4">
      <c r="B11" s="617" t="s">
        <v>341</v>
      </c>
      <c r="C11" s="617" t="s">
        <v>807</v>
      </c>
      <c r="D11" s="618" t="s">
        <v>117</v>
      </c>
      <c r="E11" s="618" t="s">
        <v>1615</v>
      </c>
    </row>
    <row r="12" spans="2:5" ht="14.4">
      <c r="B12" s="617" t="s">
        <v>341</v>
      </c>
      <c r="C12" s="617" t="s">
        <v>1449</v>
      </c>
      <c r="D12" s="618" t="s">
        <v>1451</v>
      </c>
      <c r="E12" s="618" t="s">
        <v>1616</v>
      </c>
    </row>
    <row r="13" spans="2:5" ht="14.4">
      <c r="B13" s="617" t="s">
        <v>339</v>
      </c>
      <c r="C13" s="617" t="s">
        <v>669</v>
      </c>
      <c r="D13" s="618" t="s">
        <v>668</v>
      </c>
      <c r="E13" s="618" t="s">
        <v>1611</v>
      </c>
    </row>
    <row r="14" spans="2:5" ht="14.4">
      <c r="B14" s="617" t="s">
        <v>339</v>
      </c>
      <c r="C14" s="617" t="s">
        <v>807</v>
      </c>
      <c r="D14" s="618" t="s">
        <v>117</v>
      </c>
      <c r="E14" s="618" t="s">
        <v>1615</v>
      </c>
    </row>
    <row r="15" spans="2:5" ht="14.4">
      <c r="B15" s="617" t="s">
        <v>1608</v>
      </c>
      <c r="C15" s="617" t="s">
        <v>669</v>
      </c>
      <c r="D15" s="618" t="s">
        <v>668</v>
      </c>
      <c r="E15" s="618" t="s">
        <v>1611</v>
      </c>
    </row>
    <row r="16" spans="2:5" ht="14.4">
      <c r="B16" s="617" t="s">
        <v>1608</v>
      </c>
      <c r="C16" s="617" t="s">
        <v>807</v>
      </c>
      <c r="D16" s="618" t="s">
        <v>117</v>
      </c>
      <c r="E16" s="618" t="s">
        <v>1615</v>
      </c>
    </row>
    <row r="17" spans="2:5" ht="14.4">
      <c r="B17" s="617" t="s">
        <v>354</v>
      </c>
      <c r="C17" s="617" t="s">
        <v>118</v>
      </c>
      <c r="D17" s="618" t="s">
        <v>117</v>
      </c>
      <c r="E17" s="618" t="s">
        <v>1615</v>
      </c>
    </row>
    <row r="18" spans="2:5" ht="28.8">
      <c r="B18" s="617" t="s">
        <v>354</v>
      </c>
      <c r="C18" s="617" t="s">
        <v>107</v>
      </c>
      <c r="D18" s="618" t="s">
        <v>114</v>
      </c>
      <c r="E18" s="618" t="s">
        <v>1620</v>
      </c>
    </row>
    <row r="19" spans="2:5" ht="28.8">
      <c r="B19" s="617" t="s">
        <v>354</v>
      </c>
      <c r="C19" s="617" t="s">
        <v>107</v>
      </c>
      <c r="D19" s="618" t="s">
        <v>113</v>
      </c>
      <c r="E19" s="618" t="s">
        <v>1613</v>
      </c>
    </row>
    <row r="20" spans="2:5" ht="43.2">
      <c r="B20" s="617" t="s">
        <v>354</v>
      </c>
      <c r="C20" s="617" t="s">
        <v>107</v>
      </c>
      <c r="D20" s="618" t="s">
        <v>111</v>
      </c>
      <c r="E20" s="618" t="s">
        <v>1619</v>
      </c>
    </row>
    <row r="21" spans="2:5" ht="28.8">
      <c r="B21" s="617" t="s">
        <v>354</v>
      </c>
      <c r="C21" s="617" t="s">
        <v>107</v>
      </c>
      <c r="D21" s="618" t="s">
        <v>109</v>
      </c>
      <c r="E21" s="618" t="s">
        <v>1613</v>
      </c>
    </row>
    <row r="22" spans="2:5" ht="28.8">
      <c r="B22" s="617" t="s">
        <v>354</v>
      </c>
      <c r="C22" s="617" t="s">
        <v>107</v>
      </c>
      <c r="D22" s="618" t="s">
        <v>108</v>
      </c>
      <c r="E22" s="618" t="s">
        <v>1613</v>
      </c>
    </row>
    <row r="23" spans="2:5" ht="28.8">
      <c r="B23" s="617" t="s">
        <v>354</v>
      </c>
      <c r="C23" s="617" t="s">
        <v>107</v>
      </c>
      <c r="D23" s="618" t="s">
        <v>106</v>
      </c>
      <c r="E23" s="618" t="s">
        <v>1613</v>
      </c>
    </row>
    <row r="24" spans="2:5" ht="14.4">
      <c r="B24" s="617" t="s">
        <v>354</v>
      </c>
      <c r="C24" s="617" t="s">
        <v>707</v>
      </c>
      <c r="D24" s="618" t="s">
        <v>1443</v>
      </c>
      <c r="E24" s="618" t="s">
        <v>1617</v>
      </c>
    </row>
    <row r="25" spans="2:5" ht="14.4">
      <c r="B25" s="617" t="s">
        <v>356</v>
      </c>
      <c r="C25" s="617" t="s">
        <v>669</v>
      </c>
      <c r="D25" s="618" t="s">
        <v>668</v>
      </c>
      <c r="E25" s="618" t="s">
        <v>1611</v>
      </c>
    </row>
    <row r="26" spans="2:5" ht="14.4">
      <c r="B26" s="617" t="s">
        <v>356</v>
      </c>
      <c r="C26" s="617" t="s">
        <v>666</v>
      </c>
      <c r="D26" s="618" t="s">
        <v>665</v>
      </c>
      <c r="E26" s="618" t="s">
        <v>1615</v>
      </c>
    </row>
    <row r="27" spans="2:5" ht="14.4">
      <c r="B27" s="617" t="s">
        <v>356</v>
      </c>
      <c r="C27" s="617" t="s">
        <v>118</v>
      </c>
      <c r="D27" s="618" t="s">
        <v>117</v>
      </c>
      <c r="E27" s="618" t="s">
        <v>1615</v>
      </c>
    </row>
    <row r="28" spans="2:5" ht="14.4">
      <c r="B28" s="617" t="s">
        <v>356</v>
      </c>
      <c r="C28" s="617" t="s">
        <v>1449</v>
      </c>
      <c r="D28" s="618" t="s">
        <v>1451</v>
      </c>
      <c r="E28" s="618" t="s">
        <v>1616</v>
      </c>
    </row>
    <row r="29" spans="2:5" ht="14.4">
      <c r="B29" s="617" t="s">
        <v>347</v>
      </c>
      <c r="C29" s="617" t="s">
        <v>669</v>
      </c>
      <c r="D29" s="618" t="s">
        <v>668</v>
      </c>
      <c r="E29" s="618" t="s">
        <v>1611</v>
      </c>
    </row>
    <row r="30" spans="2:5" ht="14.4">
      <c r="B30" s="617" t="s">
        <v>347</v>
      </c>
      <c r="C30" s="617" t="s">
        <v>807</v>
      </c>
      <c r="D30" s="618" t="s">
        <v>117</v>
      </c>
      <c r="E30" s="618" t="s">
        <v>1615</v>
      </c>
    </row>
    <row r="31" spans="2:5" ht="14.4">
      <c r="B31" s="617" t="s">
        <v>347</v>
      </c>
      <c r="C31" s="617" t="s">
        <v>1326</v>
      </c>
      <c r="D31" s="618" t="s">
        <v>708</v>
      </c>
      <c r="E31" s="618" t="s">
        <v>1617</v>
      </c>
    </row>
    <row r="32" spans="2:5" ht="14.4">
      <c r="B32" s="617" t="s">
        <v>347</v>
      </c>
      <c r="C32" s="617" t="s">
        <v>1327</v>
      </c>
      <c r="D32" s="618" t="s">
        <v>1328</v>
      </c>
      <c r="E32" s="618" t="s">
        <v>1617</v>
      </c>
    </row>
    <row r="33" spans="2:5" ht="28.8">
      <c r="B33" s="617" t="s">
        <v>347</v>
      </c>
      <c r="C33" s="617" t="s">
        <v>805</v>
      </c>
      <c r="D33" s="618" t="s">
        <v>804</v>
      </c>
      <c r="E33" s="618" t="s">
        <v>1618</v>
      </c>
    </row>
    <row r="34" spans="2:5" ht="14.4">
      <c r="B34" s="617" t="s">
        <v>336</v>
      </c>
      <c r="C34" s="617" t="s">
        <v>807</v>
      </c>
      <c r="D34" s="618" t="s">
        <v>117</v>
      </c>
      <c r="E34" s="618" t="s">
        <v>1615</v>
      </c>
    </row>
    <row r="35" spans="2:5" ht="14.4">
      <c r="B35" s="617" t="s">
        <v>336</v>
      </c>
      <c r="C35" s="617" t="s">
        <v>707</v>
      </c>
      <c r="D35" s="618" t="s">
        <v>1440</v>
      </c>
      <c r="E35" s="618" t="s">
        <v>1617</v>
      </c>
    </row>
    <row r="36" spans="2:5" ht="14.4">
      <c r="B36" s="617" t="s">
        <v>336</v>
      </c>
      <c r="C36" s="617" t="s">
        <v>707</v>
      </c>
      <c r="D36" s="618" t="s">
        <v>1441</v>
      </c>
      <c r="E36" s="618" t="s">
        <v>1617</v>
      </c>
    </row>
    <row r="37" spans="2:5" ht="14.4">
      <c r="B37" s="617" t="s">
        <v>336</v>
      </c>
      <c r="C37" s="617" t="s">
        <v>1449</v>
      </c>
      <c r="D37" s="618" t="s">
        <v>1451</v>
      </c>
      <c r="E37" s="618" t="s">
        <v>1616</v>
      </c>
    </row>
    <row r="38" spans="2:5" ht="14.4">
      <c r="B38" s="617" t="s">
        <v>349</v>
      </c>
      <c r="C38" s="617" t="s">
        <v>666</v>
      </c>
      <c r="D38" s="618" t="s">
        <v>665</v>
      </c>
      <c r="E38" s="618" t="s">
        <v>1615</v>
      </c>
    </row>
    <row r="39" spans="2:5" ht="14.4">
      <c r="B39" s="617" t="s">
        <v>349</v>
      </c>
      <c r="C39" s="617" t="s">
        <v>118</v>
      </c>
      <c r="D39" s="618" t="s">
        <v>117</v>
      </c>
      <c r="E39" s="618" t="s">
        <v>1615</v>
      </c>
    </row>
    <row r="40" spans="2:5" ht="14.4">
      <c r="B40" s="617" t="s">
        <v>349</v>
      </c>
      <c r="C40" s="617" t="s">
        <v>707</v>
      </c>
      <c r="D40" s="618" t="s">
        <v>1439</v>
      </c>
      <c r="E40" s="618" t="s">
        <v>1617</v>
      </c>
    </row>
    <row r="41" spans="2:5" ht="28.8">
      <c r="B41" s="617" t="s">
        <v>349</v>
      </c>
      <c r="C41" s="617" t="s">
        <v>1339</v>
      </c>
      <c r="D41" s="618" t="s">
        <v>1446</v>
      </c>
      <c r="E41" s="618" t="s">
        <v>1610</v>
      </c>
    </row>
    <row r="42" spans="2:5" ht="14.4">
      <c r="B42" s="617" t="s">
        <v>352</v>
      </c>
      <c r="C42" s="617" t="s">
        <v>118</v>
      </c>
      <c r="D42" s="618" t="s">
        <v>117</v>
      </c>
      <c r="E42" s="618" t="s">
        <v>1615</v>
      </c>
    </row>
    <row r="43" spans="2:5" ht="14.4">
      <c r="B43" s="617" t="s">
        <v>352</v>
      </c>
      <c r="C43" s="617" t="s">
        <v>707</v>
      </c>
      <c r="D43" s="618" t="s">
        <v>708</v>
      </c>
      <c r="E43" s="618" t="s">
        <v>1617</v>
      </c>
    </row>
    <row r="44" spans="2:5" ht="14.4">
      <c r="B44" s="617" t="s">
        <v>352</v>
      </c>
      <c r="C44" s="617" t="s">
        <v>707</v>
      </c>
      <c r="D44" s="618" t="s">
        <v>706</v>
      </c>
      <c r="E44" s="618" t="s">
        <v>1617</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7" tint="0.39998"/>
  </sheetPr>
  <dimension ref="A1:L97"/>
  <sheetViews>
    <sheetView zoomScale="70" zoomScaleNormal="70" workbookViewId="0" topLeftCell="A1">
      <selection pane="topLeft" activeCell="A1" sqref="A1"/>
    </sheetView>
  </sheetViews>
  <sheetFormatPr defaultColWidth="8.77734375" defaultRowHeight="14.4"/>
  <cols>
    <col min="1" max="1" width="8.77777777777778" customWidth="1"/>
    <col min="2" max="2" width="40.7777777777778" customWidth="1"/>
    <col min="3" max="3" width="39.2222222222222" bestFit="1" customWidth="1"/>
    <col min="4" max="4" width="51" bestFit="1" customWidth="1"/>
    <col min="5" max="5" width="46" bestFit="1" customWidth="1"/>
    <col min="6" max="6" width="122.222222222222" bestFit="1" customWidth="1"/>
    <col min="7" max="7" width="8.77777777777778" customWidth="1"/>
    <col min="8" max="8" width="10.5555555555556" customWidth="1"/>
    <col min="9" max="9" width="31.7777777777778" bestFit="1" customWidth="1"/>
    <col min="10" max="10" width="21.4444444444444" bestFit="1" customWidth="1"/>
    <col min="11" max="11" width="23.7777777777778" bestFit="1" customWidth="1"/>
    <col min="12" max="12" width="8.77777777777778" customWidth="1"/>
  </cols>
  <sheetData>
    <row r="1" ht="14.4">
      <c r="B1" s="338" t="s">
        <v>1739</v>
      </c>
    </row>
    <row r="2" spans="1:8" ht="14.4">
      <c r="A2" s="281" t="s">
        <v>789</v>
      </c>
      <c r="B2" s="281" t="s">
        <v>788</v>
      </c>
      <c r="C2" s="281" t="s">
        <v>192</v>
      </c>
      <c r="D2" s="281" t="s">
        <v>195</v>
      </c>
      <c r="E2" s="281" t="s">
        <v>194</v>
      </c>
      <c r="F2" s="281" t="s">
        <v>78</v>
      </c>
      <c r="H2" s="281" t="s">
        <v>787</v>
      </c>
    </row>
    <row r="3" spans="1:8" ht="14.4">
      <c r="A3">
        <v>1</v>
      </c>
      <c r="B3" t="s">
        <v>1198</v>
      </c>
      <c r="C3" t="s">
        <v>786</v>
      </c>
      <c r="D3" t="s">
        <v>185</v>
      </c>
      <c r="E3">
        <v>1000</v>
      </c>
      <c r="H3" s="364">
        <f>1-EXP(-$E$10/$E$14)</f>
        <v>0.30188942913059769</v>
      </c>
    </row>
    <row r="4" spans="1:11" ht="14.4">
      <c r="A4">
        <v>2</v>
      </c>
      <c r="B4" t="s">
        <v>1198</v>
      </c>
      <c r="C4" t="s">
        <v>785</v>
      </c>
      <c r="D4" t="s">
        <v>185</v>
      </c>
      <c r="E4">
        <v>100</v>
      </c>
      <c r="H4" s="363" t="s">
        <v>784</v>
      </c>
      <c r="I4" s="363" t="s">
        <v>783</v>
      </c>
      <c r="J4" s="362" t="s">
        <v>782</v>
      </c>
      <c r="K4" s="361" t="s">
        <v>775</v>
      </c>
    </row>
    <row r="5" spans="1:11" ht="14.4">
      <c r="A5">
        <v>3</v>
      </c>
      <c r="B5" t="s">
        <v>1198</v>
      </c>
      <c r="C5" t="s">
        <v>781</v>
      </c>
      <c r="D5" t="s">
        <v>185</v>
      </c>
      <c r="E5">
        <f>SUM(E3:E4)</f>
        <v>1100</v>
      </c>
      <c r="F5" t="s">
        <v>1737</v>
      </c>
      <c r="H5" s="163">
        <v>1</v>
      </c>
      <c r="I5" s="357">
        <f t="shared" si="0" ref="I5:I19">IF(H5*$H$3&gt;=100%,100%,H5*$H$3)</f>
        <v>0.30188942913059769</v>
      </c>
      <c r="J5" s="356">
        <f t="shared" si="1" ref="J5:J19">1-I5</f>
        <v>0.69811057086940231</v>
      </c>
      <c r="K5" s="365">
        <f t="shared" si="2" ref="K5:K19">IF($H5&gt;=$E$12,0,$E$9+($E$21*$I5))</f>
        <v>0</v>
      </c>
    </row>
    <row r="6" spans="1:11" ht="14.4">
      <c r="A6">
        <v>4</v>
      </c>
      <c r="B6" t="s">
        <v>1198</v>
      </c>
      <c r="C6" t="s">
        <v>780</v>
      </c>
      <c r="D6" t="s">
        <v>740</v>
      </c>
      <c r="E6" s="349"/>
      <c r="F6" t="s">
        <v>1322</v>
      </c>
      <c r="H6" s="163">
        <v>2</v>
      </c>
      <c r="I6" s="357">
        <f t="shared" si="0"/>
        <v>0.60377885826119537</v>
      </c>
      <c r="J6" s="356">
        <f t="shared" si="1"/>
        <v>0.39622114173880463</v>
      </c>
      <c r="K6" s="365">
        <f t="shared" si="2"/>
        <v>0</v>
      </c>
    </row>
    <row r="7" spans="1:11" ht="14.4">
      <c r="A7">
        <v>5</v>
      </c>
      <c r="B7" t="s">
        <v>1198</v>
      </c>
      <c r="C7" t="s">
        <v>778</v>
      </c>
      <c r="D7" t="s">
        <v>183</v>
      </c>
      <c r="E7" s="352"/>
      <c r="F7" t="s">
        <v>1322</v>
      </c>
      <c r="H7" s="163">
        <v>3</v>
      </c>
      <c r="I7" s="357">
        <f t="shared" si="0"/>
        <v>0.90566828739179306</v>
      </c>
      <c r="J7" s="356">
        <f t="shared" si="1"/>
        <v>0.094331712608206941</v>
      </c>
      <c r="K7" s="365">
        <f t="shared" si="2"/>
        <v>0</v>
      </c>
    </row>
    <row r="8" spans="1:11" ht="14.4">
      <c r="A8">
        <v>6</v>
      </c>
      <c r="B8" t="s">
        <v>1198</v>
      </c>
      <c r="C8" t="s">
        <v>776</v>
      </c>
      <c r="D8" t="s">
        <v>740</v>
      </c>
      <c r="E8" s="349"/>
      <c r="F8" t="s">
        <v>1322</v>
      </c>
      <c r="H8" s="163">
        <v>4</v>
      </c>
      <c r="I8" s="357">
        <f t="shared" si="0"/>
        <v>1</v>
      </c>
      <c r="J8" s="356">
        <f t="shared" si="1"/>
        <v>0</v>
      </c>
      <c r="K8" s="365">
        <f t="shared" si="2"/>
        <v>0</v>
      </c>
    </row>
    <row r="9" spans="1:11" ht="14.4">
      <c r="A9">
        <v>7</v>
      </c>
      <c r="B9" s="267" t="s">
        <v>1198</v>
      </c>
      <c r="C9" s="267" t="s">
        <v>775</v>
      </c>
      <c r="D9" s="267" t="s">
        <v>740</v>
      </c>
      <c r="E9" s="360"/>
      <c r="F9" t="s">
        <v>1322</v>
      </c>
      <c r="H9" s="163">
        <v>5</v>
      </c>
      <c r="I9" s="357">
        <f t="shared" si="0"/>
        <v>1</v>
      </c>
      <c r="J9" s="356">
        <f t="shared" si="1"/>
        <v>0</v>
      </c>
      <c r="K9" s="365">
        <f t="shared" si="2"/>
        <v>0</v>
      </c>
    </row>
    <row r="10" spans="1:11" ht="14.4">
      <c r="A10">
        <v>8</v>
      </c>
      <c r="B10" t="s">
        <v>1198</v>
      </c>
      <c r="C10" t="s">
        <v>774</v>
      </c>
      <c r="D10" t="s">
        <v>773</v>
      </c>
      <c r="E10">
        <v>4043</v>
      </c>
      <c r="H10" s="163">
        <v>6</v>
      </c>
      <c r="I10" s="357">
        <f t="shared" si="0"/>
        <v>1</v>
      </c>
      <c r="J10" s="356">
        <f t="shared" si="1"/>
        <v>0</v>
      </c>
      <c r="K10" s="365">
        <f t="shared" si="2"/>
        <v>0</v>
      </c>
    </row>
    <row r="11" spans="1:11" ht="14.4">
      <c r="A11">
        <v>9</v>
      </c>
      <c r="B11" t="s">
        <v>1198</v>
      </c>
      <c r="C11" t="s">
        <v>262</v>
      </c>
      <c r="D11" t="s">
        <v>183</v>
      </c>
      <c r="E11">
        <v>15000</v>
      </c>
      <c r="H11" s="163">
        <v>7</v>
      </c>
      <c r="I11" s="357">
        <f t="shared" si="0"/>
        <v>1</v>
      </c>
      <c r="J11" s="356">
        <f t="shared" si="1"/>
        <v>0</v>
      </c>
      <c r="K11" s="365">
        <f t="shared" si="2"/>
        <v>0</v>
      </c>
    </row>
    <row r="12" spans="1:11" ht="14.4">
      <c r="A12">
        <v>10</v>
      </c>
      <c r="B12" t="s">
        <v>1198</v>
      </c>
      <c r="C12" t="s">
        <v>262</v>
      </c>
      <c r="D12" t="s">
        <v>174</v>
      </c>
      <c r="E12" s="358">
        <f>E11/E10</f>
        <v>3.7101162503091762</v>
      </c>
      <c r="H12" s="163">
        <v>8</v>
      </c>
      <c r="I12" s="357">
        <f t="shared" si="0"/>
        <v>1</v>
      </c>
      <c r="J12" s="356">
        <f t="shared" si="1"/>
        <v>0</v>
      </c>
      <c r="K12" s="365">
        <f t="shared" si="2"/>
        <v>0</v>
      </c>
    </row>
    <row r="13" spans="1:11" ht="14.4">
      <c r="A13">
        <v>11</v>
      </c>
      <c r="B13" t="s">
        <v>1198</v>
      </c>
      <c r="C13" t="s">
        <v>772</v>
      </c>
      <c r="D13" t="s">
        <v>169</v>
      </c>
      <c r="E13" s="272">
        <v>0.75</v>
      </c>
      <c r="F13" t="s">
        <v>797</v>
      </c>
      <c r="H13" s="163">
        <v>9</v>
      </c>
      <c r="I13" s="357">
        <f t="shared" si="0"/>
        <v>1</v>
      </c>
      <c r="J13" s="356">
        <f t="shared" si="1"/>
        <v>0</v>
      </c>
      <c r="K13" s="365">
        <f t="shared" si="2"/>
        <v>0</v>
      </c>
    </row>
    <row r="14" spans="1:11" ht="14.4">
      <c r="A14">
        <v>12</v>
      </c>
      <c r="B14" t="s">
        <v>1198</v>
      </c>
      <c r="C14" t="s">
        <v>770</v>
      </c>
      <c r="D14" t="s">
        <v>183</v>
      </c>
      <c r="E14" s="359">
        <f>E15*E10</f>
        <v>11249.999999999998</v>
      </c>
      <c r="H14" s="163">
        <v>10</v>
      </c>
      <c r="I14" s="357">
        <f t="shared" si="0"/>
        <v>1</v>
      </c>
      <c r="J14" s="356">
        <f t="shared" si="1"/>
        <v>0</v>
      </c>
      <c r="K14" s="365">
        <f t="shared" si="2"/>
        <v>0</v>
      </c>
    </row>
    <row r="15" spans="1:11" ht="14.4">
      <c r="A15">
        <v>13</v>
      </c>
      <c r="B15" t="s">
        <v>1198</v>
      </c>
      <c r="C15" t="s">
        <v>769</v>
      </c>
      <c r="D15" t="s">
        <v>174</v>
      </c>
      <c r="E15" s="358">
        <f>E13*E12</f>
        <v>2.782587187731882</v>
      </c>
      <c r="H15" s="163">
        <v>11</v>
      </c>
      <c r="I15" s="357">
        <f t="shared" si="0"/>
        <v>1</v>
      </c>
      <c r="J15" s="356">
        <f t="shared" si="1"/>
        <v>0</v>
      </c>
      <c r="K15" s="365">
        <f t="shared" si="2"/>
        <v>0</v>
      </c>
    </row>
    <row r="16" spans="1:11" ht="14.4">
      <c r="A16">
        <v>14</v>
      </c>
      <c r="B16" t="s">
        <v>1198</v>
      </c>
      <c r="C16" t="s">
        <v>768</v>
      </c>
      <c r="D16" t="s">
        <v>174</v>
      </c>
      <c r="E16" s="241" t="s">
        <v>200</v>
      </c>
      <c r="H16" s="163">
        <v>12</v>
      </c>
      <c r="I16" s="357">
        <f t="shared" si="0"/>
        <v>1</v>
      </c>
      <c r="J16" s="356">
        <f t="shared" si="1"/>
        <v>0</v>
      </c>
      <c r="K16" s="365">
        <f t="shared" si="2"/>
        <v>0</v>
      </c>
    </row>
    <row r="17" spans="1:11" ht="14.4">
      <c r="A17">
        <v>15</v>
      </c>
      <c r="B17" t="s">
        <v>1198</v>
      </c>
      <c r="C17" t="s">
        <v>767</v>
      </c>
      <c r="D17" t="s">
        <v>169</v>
      </c>
      <c r="E17" s="336">
        <v>0.40</v>
      </c>
      <c r="H17" s="163">
        <v>13</v>
      </c>
      <c r="I17" s="357">
        <f t="shared" si="0"/>
        <v>1</v>
      </c>
      <c r="J17" s="356">
        <f t="shared" si="1"/>
        <v>0</v>
      </c>
      <c r="K17" s="365">
        <f t="shared" si="2"/>
        <v>0</v>
      </c>
    </row>
    <row r="18" spans="1:11" ht="14.4">
      <c r="A18">
        <v>16</v>
      </c>
      <c r="B18" t="s">
        <v>1198</v>
      </c>
      <c r="C18" t="s">
        <v>766</v>
      </c>
      <c r="D18" t="s">
        <v>183</v>
      </c>
      <c r="E18" s="366">
        <f>$B$86</f>
        <v>1.2999999999999998</v>
      </c>
      <c r="H18" s="163">
        <v>14</v>
      </c>
      <c r="I18" s="357">
        <f t="shared" si="0"/>
        <v>1</v>
      </c>
      <c r="J18" s="356">
        <f t="shared" si="1"/>
        <v>0</v>
      </c>
      <c r="K18" s="365">
        <f t="shared" si="2"/>
        <v>0</v>
      </c>
    </row>
    <row r="19" spans="1:11" ht="14.4">
      <c r="A19">
        <v>17</v>
      </c>
      <c r="B19" t="s">
        <v>1198</v>
      </c>
      <c r="C19" t="str">
        <f>"Early Failure "&amp;C8</f>
        <v>Early Failure Labor Cost to Install</v>
      </c>
      <c r="D19" t="s">
        <v>740</v>
      </c>
      <c r="E19" s="351"/>
      <c r="F19" t="s">
        <v>1322</v>
      </c>
      <c r="H19" s="163">
        <v>15</v>
      </c>
      <c r="I19" s="357">
        <f t="shared" si="0"/>
        <v>1</v>
      </c>
      <c r="J19" s="356">
        <f t="shared" si="1"/>
        <v>0</v>
      </c>
      <c r="K19" s="365">
        <f t="shared" si="2"/>
        <v>0</v>
      </c>
    </row>
    <row r="20" spans="1:11" ht="14.4">
      <c r="A20">
        <v>18</v>
      </c>
      <c r="B20" t="s">
        <v>1198</v>
      </c>
      <c r="C20" t="s">
        <v>764</v>
      </c>
      <c r="D20" t="s">
        <v>740</v>
      </c>
      <c r="E20" s="351"/>
      <c r="F20" t="s">
        <v>1322</v>
      </c>
      <c r="H20" s="1807" t="s">
        <v>763</v>
      </c>
      <c r="I20" s="1807"/>
      <c r="J20" s="1807"/>
      <c r="K20" s="355" t="e">
        <f>AVERAGEIFS($K$5:$K$19,$K$5:$K$19,"&gt;0")</f>
        <v>#DIV/0!</v>
      </c>
    </row>
    <row r="21" spans="1:6" ht="14.4">
      <c r="A21">
        <v>19</v>
      </c>
      <c r="B21" s="267" t="s">
        <v>1198</v>
      </c>
      <c r="C21" s="267" t="str">
        <f>"Early Failure "&amp;C9</f>
        <v>Early Failure Total Installed Cost</v>
      </c>
      <c r="D21" s="267" t="s">
        <v>740</v>
      </c>
      <c r="E21" s="354"/>
      <c r="F21" t="s">
        <v>1322</v>
      </c>
    </row>
    <row r="22" spans="1:6" ht="14.4">
      <c r="A22" s="865">
        <v>20</v>
      </c>
      <c r="B22" s="865" t="s">
        <v>1198</v>
      </c>
      <c r="C22" s="865" t="s">
        <v>762</v>
      </c>
      <c r="D22" s="865" t="s">
        <v>740</v>
      </c>
      <c r="E22" s="1048"/>
      <c r="F22" t="s">
        <v>1322</v>
      </c>
    </row>
    <row r="23" spans="1:6" ht="14.4">
      <c r="A23" s="865">
        <v>21</v>
      </c>
      <c r="B23" s="865" t="s">
        <v>1198</v>
      </c>
      <c r="C23" s="865" t="s">
        <v>796</v>
      </c>
      <c r="D23" s="865" t="s">
        <v>795</v>
      </c>
      <c r="E23" s="1048"/>
      <c r="F23" t="s">
        <v>1322</v>
      </c>
    </row>
    <row r="24" spans="1:5" ht="14.4">
      <c r="A24" s="865">
        <v>22</v>
      </c>
      <c r="B24" s="865" t="s">
        <v>1198</v>
      </c>
      <c r="C24" s="865" t="s">
        <v>761</v>
      </c>
      <c r="D24" s="865" t="s">
        <v>760</v>
      </c>
      <c r="E24" s="865">
        <f>E5*E10*10^-3</f>
        <v>4447.30</v>
      </c>
    </row>
    <row r="25" spans="1:5" ht="14.4">
      <c r="A25" s="865">
        <v>23</v>
      </c>
      <c r="B25" s="865" t="s">
        <v>1198</v>
      </c>
      <c r="C25" s="865" t="s">
        <v>759</v>
      </c>
      <c r="D25" s="865" t="s">
        <v>758</v>
      </c>
      <c r="E25" s="865">
        <f>E24*E12</f>
        <v>16500</v>
      </c>
    </row>
    <row r="26" spans="1:5" ht="14.4">
      <c r="A26" s="865">
        <v>24</v>
      </c>
      <c r="B26" s="865" t="s">
        <v>1198</v>
      </c>
      <c r="C26" s="865" t="s">
        <v>757</v>
      </c>
      <c r="D26" s="865" t="s">
        <v>756</v>
      </c>
      <c r="E26" s="1050">
        <f>E24/12</f>
        <v>370.60833333333335</v>
      </c>
    </row>
    <row r="27" spans="1:6" ht="14.4">
      <c r="A27" s="865">
        <v>25</v>
      </c>
      <c r="B27" s="865" t="s">
        <v>1198</v>
      </c>
      <c r="C27" s="865" t="s">
        <v>754</v>
      </c>
      <c r="D27" s="865" t="s">
        <v>753</v>
      </c>
      <c r="E27" s="1040"/>
      <c r="F27" t="s">
        <v>1322</v>
      </c>
    </row>
    <row r="28" spans="1:6" ht="14.4">
      <c r="A28" s="865">
        <v>26</v>
      </c>
      <c r="B28" s="865" t="s">
        <v>1198</v>
      </c>
      <c r="C28" s="865" t="s">
        <v>792</v>
      </c>
      <c r="D28" s="865" t="s">
        <v>791</v>
      </c>
      <c r="E28" s="1051"/>
      <c r="F28" t="s">
        <v>1322</v>
      </c>
    </row>
    <row r="29" ht="14.4"/>
    <row r="30" spans="1:8" s="281" customFormat="1" ht="14.4">
      <c r="A30" s="281" t="s">
        <v>789</v>
      </c>
      <c r="B30" s="281" t="s">
        <v>788</v>
      </c>
      <c r="C30" s="281" t="s">
        <v>192</v>
      </c>
      <c r="D30" s="281" t="s">
        <v>195</v>
      </c>
      <c r="E30" s="281" t="s">
        <v>194</v>
      </c>
      <c r="F30" s="281" t="s">
        <v>78</v>
      </c>
      <c r="H30" s="281" t="s">
        <v>787</v>
      </c>
    </row>
    <row r="31" spans="1:8" ht="14.4">
      <c r="A31">
        <v>1</v>
      </c>
      <c r="B31" t="s">
        <v>1325</v>
      </c>
      <c r="C31" t="s">
        <v>786</v>
      </c>
      <c r="D31" t="s">
        <v>185</v>
      </c>
      <c r="F31" t="s">
        <v>1322</v>
      </c>
      <c r="H31" s="364">
        <f>1-EXP(-$E$38/$E$42)</f>
        <v>0.10220483077859088</v>
      </c>
    </row>
    <row r="32" spans="1:11" ht="14.4">
      <c r="A32">
        <v>2</v>
      </c>
      <c r="B32" t="s">
        <v>1325</v>
      </c>
      <c r="C32" t="s">
        <v>785</v>
      </c>
      <c r="D32" t="s">
        <v>185</v>
      </c>
      <c r="F32" t="s">
        <v>1322</v>
      </c>
      <c r="H32" s="363" t="s">
        <v>784</v>
      </c>
      <c r="I32" s="363" t="s">
        <v>783</v>
      </c>
      <c r="J32" s="362" t="s">
        <v>782</v>
      </c>
      <c r="K32" s="361" t="s">
        <v>775</v>
      </c>
    </row>
    <row r="33" spans="1:12" ht="14.4">
      <c r="A33" s="173">
        <v>3</v>
      </c>
      <c r="B33" s="173" t="s">
        <v>1325</v>
      </c>
      <c r="C33" s="173" t="s">
        <v>781</v>
      </c>
      <c r="D33" s="173" t="s">
        <v>185</v>
      </c>
      <c r="E33" s="173">
        <v>316</v>
      </c>
      <c r="F33" s="173"/>
      <c r="G33" s="173"/>
      <c r="H33" s="174">
        <v>1</v>
      </c>
      <c r="I33" s="1056">
        <f t="shared" si="3" ref="I33:I47">IF($H33&lt;=5,0%,IF((H33-5)*$H$31&gt;=100%,100%,(H33-5)*$H$31))</f>
        <v>0</v>
      </c>
      <c r="J33" s="1057">
        <f t="shared" si="4" ref="J33:J47">1-I33</f>
        <v>1</v>
      </c>
      <c r="K33" s="1058">
        <f t="shared" si="5" ref="K33:K47">IF(OR($H33&gt;=$E$40,$H33&lt;=$E$44),0,$E$37+($E$49*$I33))</f>
        <v>0</v>
      </c>
      <c r="L33" s="173"/>
    </row>
    <row r="34" spans="1:12" ht="14.4">
      <c r="A34" s="173">
        <v>4</v>
      </c>
      <c r="B34" s="173" t="s">
        <v>1325</v>
      </c>
      <c r="C34" s="173" t="s">
        <v>780</v>
      </c>
      <c r="D34" s="173" t="s">
        <v>740</v>
      </c>
      <c r="E34" s="1059"/>
      <c r="F34" s="173" t="s">
        <v>1322</v>
      </c>
      <c r="G34" s="173"/>
      <c r="H34" s="174">
        <v>2</v>
      </c>
      <c r="I34" s="1056">
        <f t="shared" si="3"/>
        <v>0</v>
      </c>
      <c r="J34" s="1057">
        <f t="shared" si="4"/>
        <v>1</v>
      </c>
      <c r="K34" s="1058">
        <f t="shared" si="5"/>
        <v>0</v>
      </c>
      <c r="L34" s="173"/>
    </row>
    <row r="35" spans="1:12" ht="14.4">
      <c r="A35" s="173">
        <v>5</v>
      </c>
      <c r="B35" s="173" t="s">
        <v>1325</v>
      </c>
      <c r="C35" s="173" t="s">
        <v>778</v>
      </c>
      <c r="D35" s="173" t="s">
        <v>183</v>
      </c>
      <c r="E35" s="1060"/>
      <c r="F35" s="173" t="s">
        <v>1322</v>
      </c>
      <c r="G35" s="173"/>
      <c r="H35" s="174">
        <v>3</v>
      </c>
      <c r="I35" s="1056">
        <f t="shared" si="3"/>
        <v>0</v>
      </c>
      <c r="J35" s="1057">
        <f t="shared" si="4"/>
        <v>1</v>
      </c>
      <c r="K35" s="1058">
        <f t="shared" si="5"/>
        <v>0</v>
      </c>
      <c r="L35" s="173"/>
    </row>
    <row r="36" spans="1:12" ht="14.4">
      <c r="A36" s="173">
        <v>6</v>
      </c>
      <c r="B36" s="173" t="s">
        <v>1325</v>
      </c>
      <c r="C36" s="173" t="s">
        <v>776</v>
      </c>
      <c r="D36" s="173" t="s">
        <v>740</v>
      </c>
      <c r="E36" s="1059"/>
      <c r="F36" s="173" t="s">
        <v>1322</v>
      </c>
      <c r="G36" s="173"/>
      <c r="H36" s="174">
        <v>4</v>
      </c>
      <c r="I36" s="1056">
        <f t="shared" si="3"/>
        <v>0</v>
      </c>
      <c r="J36" s="1057">
        <f t="shared" si="4"/>
        <v>1</v>
      </c>
      <c r="K36" s="1058">
        <f t="shared" si="5"/>
        <v>0</v>
      </c>
      <c r="L36" s="173"/>
    </row>
    <row r="37" spans="1:12" ht="14.4">
      <c r="A37" s="173">
        <v>7</v>
      </c>
      <c r="B37" s="173" t="s">
        <v>1325</v>
      </c>
      <c r="C37" s="173" t="s">
        <v>775</v>
      </c>
      <c r="D37" s="173" t="s">
        <v>740</v>
      </c>
      <c r="E37" s="1059"/>
      <c r="F37" s="173" t="s">
        <v>1322</v>
      </c>
      <c r="G37" s="173"/>
      <c r="H37" s="174">
        <v>5</v>
      </c>
      <c r="I37" s="1056">
        <f t="shared" si="3"/>
        <v>0</v>
      </c>
      <c r="J37" s="1057">
        <f t="shared" si="4"/>
        <v>1</v>
      </c>
      <c r="K37" s="1058">
        <f t="shared" si="5"/>
        <v>0</v>
      </c>
      <c r="L37" s="173"/>
    </row>
    <row r="38" spans="1:12" ht="14.4">
      <c r="A38" s="173">
        <v>8</v>
      </c>
      <c r="B38" s="173" t="s">
        <v>1325</v>
      </c>
      <c r="C38" s="173" t="s">
        <v>774</v>
      </c>
      <c r="D38" s="173" t="s">
        <v>773</v>
      </c>
      <c r="E38" s="173">
        <v>4043</v>
      </c>
      <c r="F38" s="173"/>
      <c r="G38" s="173"/>
      <c r="H38" s="174">
        <v>6</v>
      </c>
      <c r="I38" s="1056">
        <f t="shared" si="3"/>
        <v>0.10220483077859088</v>
      </c>
      <c r="J38" s="1057">
        <f t="shared" si="4"/>
        <v>0.89779516922140912</v>
      </c>
      <c r="K38" s="1058">
        <f t="shared" si="5"/>
        <v>0</v>
      </c>
      <c r="L38" s="173"/>
    </row>
    <row r="39" spans="1:12" ht="14.4">
      <c r="A39" s="173">
        <v>9</v>
      </c>
      <c r="B39" s="173" t="s">
        <v>1325</v>
      </c>
      <c r="C39" s="173" t="s">
        <v>262</v>
      </c>
      <c r="D39" s="173" t="s">
        <v>183</v>
      </c>
      <c r="E39" s="173">
        <v>50000</v>
      </c>
      <c r="F39" s="173"/>
      <c r="G39" s="173"/>
      <c r="H39" s="174">
        <v>7</v>
      </c>
      <c r="I39" s="1056">
        <f t="shared" si="3"/>
        <v>0.20440966155718177</v>
      </c>
      <c r="J39" s="1057">
        <f t="shared" si="4"/>
        <v>0.79559033844281823</v>
      </c>
      <c r="K39" s="1058">
        <f t="shared" si="5"/>
        <v>0</v>
      </c>
      <c r="L39" s="173"/>
    </row>
    <row r="40" spans="1:12" ht="14.4">
      <c r="A40" s="173">
        <v>10</v>
      </c>
      <c r="B40" s="173" t="s">
        <v>1325</v>
      </c>
      <c r="C40" s="173" t="s">
        <v>262</v>
      </c>
      <c r="D40" s="173" t="s">
        <v>174</v>
      </c>
      <c r="E40" s="1061">
        <f>E39/E38</f>
        <v>12.367054167697255</v>
      </c>
      <c r="F40" s="173"/>
      <c r="G40" s="173"/>
      <c r="H40" s="174">
        <v>8</v>
      </c>
      <c r="I40" s="1056">
        <f t="shared" si="3"/>
        <v>0.30661449233577265</v>
      </c>
      <c r="J40" s="1057">
        <f t="shared" si="4"/>
        <v>0.69338550766422735</v>
      </c>
      <c r="K40" s="1058">
        <f t="shared" si="5"/>
        <v>0</v>
      </c>
      <c r="L40" s="173"/>
    </row>
    <row r="41" spans="1:12" ht="14.4">
      <c r="A41" s="173">
        <v>11</v>
      </c>
      <c r="B41" s="173" t="s">
        <v>1325</v>
      </c>
      <c r="C41" s="173" t="s">
        <v>772</v>
      </c>
      <c r="D41" s="173" t="s">
        <v>169</v>
      </c>
      <c r="E41" s="1062">
        <v>0.75</v>
      </c>
      <c r="F41" s="173" t="s">
        <v>771</v>
      </c>
      <c r="G41" s="173"/>
      <c r="H41" s="174">
        <v>9</v>
      </c>
      <c r="I41" s="1056">
        <f t="shared" si="3"/>
        <v>0.40881932311436353</v>
      </c>
      <c r="J41" s="1057">
        <f t="shared" si="4"/>
        <v>0.59118067688563647</v>
      </c>
      <c r="K41" s="1058">
        <f t="shared" si="5"/>
        <v>0</v>
      </c>
      <c r="L41" s="173"/>
    </row>
    <row r="42" spans="1:12" ht="14.4">
      <c r="A42" s="173">
        <v>12</v>
      </c>
      <c r="B42" s="173" t="s">
        <v>1325</v>
      </c>
      <c r="C42" s="173" t="s">
        <v>770</v>
      </c>
      <c r="D42" s="173" t="s">
        <v>183</v>
      </c>
      <c r="E42" s="1063">
        <f>E43*E38</f>
        <v>37500</v>
      </c>
      <c r="F42" s="173"/>
      <c r="G42" s="173"/>
      <c r="H42" s="174">
        <v>10</v>
      </c>
      <c r="I42" s="1056">
        <f t="shared" si="3"/>
        <v>0.51102415389295441</v>
      </c>
      <c r="J42" s="1057">
        <f t="shared" si="4"/>
        <v>0.48897584610704559</v>
      </c>
      <c r="K42" s="1058">
        <f t="shared" si="5"/>
        <v>0</v>
      </c>
      <c r="L42" s="173"/>
    </row>
    <row r="43" spans="1:12" ht="14.4">
      <c r="A43" s="173">
        <v>13</v>
      </c>
      <c r="B43" s="173" t="s">
        <v>1325</v>
      </c>
      <c r="C43" s="173" t="s">
        <v>769</v>
      </c>
      <c r="D43" s="173" t="s">
        <v>174</v>
      </c>
      <c r="E43" s="1061">
        <f>E41*E40</f>
        <v>9.2752906257729411</v>
      </c>
      <c r="F43" s="173"/>
      <c r="G43" s="173"/>
      <c r="H43" s="174">
        <v>11</v>
      </c>
      <c r="I43" s="1056">
        <f t="shared" si="3"/>
        <v>0.6132289846715453</v>
      </c>
      <c r="J43" s="1057">
        <f t="shared" si="4"/>
        <v>0.3867710153284547</v>
      </c>
      <c r="K43" s="1058">
        <f t="shared" si="5"/>
        <v>0</v>
      </c>
      <c r="L43" s="173"/>
    </row>
    <row r="44" spans="1:12" ht="14.4">
      <c r="A44" s="173">
        <v>14</v>
      </c>
      <c r="B44" s="173" t="s">
        <v>1325</v>
      </c>
      <c r="C44" s="173" t="s">
        <v>768</v>
      </c>
      <c r="D44" s="173" t="s">
        <v>174</v>
      </c>
      <c r="E44" s="173">
        <v>5</v>
      </c>
      <c r="F44" s="173"/>
      <c r="G44" s="173"/>
      <c r="H44" s="174">
        <v>12</v>
      </c>
      <c r="I44" s="1056">
        <f t="shared" si="3"/>
        <v>0.71543381545013618</v>
      </c>
      <c r="J44" s="1057">
        <f t="shared" si="4"/>
        <v>0.28456618454986382</v>
      </c>
      <c r="K44" s="1058">
        <f t="shared" si="5"/>
        <v>0</v>
      </c>
      <c r="L44" s="173"/>
    </row>
    <row r="45" spans="1:12" ht="14.4">
      <c r="A45" s="173">
        <v>15</v>
      </c>
      <c r="B45" s="173" t="s">
        <v>1325</v>
      </c>
      <c r="C45" s="173" t="s">
        <v>767</v>
      </c>
      <c r="D45" s="173" t="s">
        <v>169</v>
      </c>
      <c r="E45" s="1064">
        <v>0.10</v>
      </c>
      <c r="F45" s="173" t="s">
        <v>1738</v>
      </c>
      <c r="G45" s="173"/>
      <c r="H45" s="174">
        <v>13</v>
      </c>
      <c r="I45" s="1056">
        <f t="shared" si="3"/>
        <v>0.81763864622872706</v>
      </c>
      <c r="J45" s="1057">
        <f t="shared" si="4"/>
        <v>0.18236135377127294</v>
      </c>
      <c r="K45" s="1058">
        <f t="shared" si="5"/>
        <v>0</v>
      </c>
      <c r="L45" s="173"/>
    </row>
    <row r="46" spans="1:12" ht="14.4">
      <c r="A46" s="173">
        <v>16</v>
      </c>
      <c r="B46" s="173" t="s">
        <v>1325</v>
      </c>
      <c r="C46" s="173" t="s">
        <v>766</v>
      </c>
      <c r="D46" s="173" t="s">
        <v>183</v>
      </c>
      <c r="E46" s="173">
        <v>2</v>
      </c>
      <c r="F46" s="173" t="s">
        <v>765</v>
      </c>
      <c r="G46" s="173"/>
      <c r="H46" s="174">
        <v>14</v>
      </c>
      <c r="I46" s="1056">
        <f t="shared" si="3"/>
        <v>0.91984347700731794</v>
      </c>
      <c r="J46" s="1057">
        <f t="shared" si="4"/>
        <v>0.080156522992682055</v>
      </c>
      <c r="K46" s="1058">
        <f t="shared" si="5"/>
        <v>0</v>
      </c>
      <c r="L46" s="173"/>
    </row>
    <row r="47" spans="1:12" ht="14.4">
      <c r="A47" s="173">
        <v>17</v>
      </c>
      <c r="B47" s="173" t="s">
        <v>1325</v>
      </c>
      <c r="C47" s="173" t="str">
        <f>"Early Failure "&amp;C36</f>
        <v>Early Failure Labor Cost to Install</v>
      </c>
      <c r="D47" s="173" t="s">
        <v>740</v>
      </c>
      <c r="E47" s="1065"/>
      <c r="F47" s="173" t="s">
        <v>1322</v>
      </c>
      <c r="G47" s="173"/>
      <c r="H47" s="174">
        <v>15</v>
      </c>
      <c r="I47" s="1056">
        <f t="shared" si="3"/>
        <v>1</v>
      </c>
      <c r="J47" s="1057">
        <f t="shared" si="4"/>
        <v>0</v>
      </c>
      <c r="K47" s="1058">
        <f t="shared" si="5"/>
        <v>0</v>
      </c>
      <c r="L47" s="173"/>
    </row>
    <row r="48" spans="1:11" ht="14.4">
      <c r="A48">
        <v>18</v>
      </c>
      <c r="B48" t="s">
        <v>1325</v>
      </c>
      <c r="C48" t="s">
        <v>764</v>
      </c>
      <c r="D48" t="s">
        <v>740</v>
      </c>
      <c r="E48" s="351"/>
      <c r="F48" t="s">
        <v>1322</v>
      </c>
      <c r="H48" s="1628" t="s">
        <v>763</v>
      </c>
      <c r="I48" s="1808"/>
      <c r="J48" s="1629"/>
      <c r="K48" s="355" t="e">
        <f>AVERAGEIFS($K$33:$K$47,$K$33:$K$47,"&gt;0")</f>
        <v>#DIV/0!</v>
      </c>
    </row>
    <row r="49" spans="1:6" ht="14.4">
      <c r="A49">
        <v>19</v>
      </c>
      <c r="B49" s="267" t="s">
        <v>1325</v>
      </c>
      <c r="C49" s="267" t="str">
        <f>"Early Failure "&amp;C37</f>
        <v>Early Failure Total Installed Cost</v>
      </c>
      <c r="D49" s="267" t="s">
        <v>740</v>
      </c>
      <c r="E49" s="354"/>
      <c r="F49" t="s">
        <v>1322</v>
      </c>
    </row>
    <row r="50" spans="1:6" ht="14.4">
      <c r="A50" s="865">
        <v>20</v>
      </c>
      <c r="B50" s="865" t="s">
        <v>1325</v>
      </c>
      <c r="C50" s="865" t="s">
        <v>762</v>
      </c>
      <c r="D50" s="865" t="s">
        <v>740</v>
      </c>
      <c r="E50" s="1048"/>
      <c r="F50" t="s">
        <v>1322</v>
      </c>
    </row>
    <row r="51" spans="1:5" ht="14.4">
      <c r="A51" s="865">
        <v>21</v>
      </c>
      <c r="B51" s="865" t="s">
        <v>1325</v>
      </c>
      <c r="C51" s="865" t="s">
        <v>761</v>
      </c>
      <c r="D51" s="865" t="s">
        <v>760</v>
      </c>
      <c r="E51" s="865">
        <f>E33*E38*10^-3</f>
        <v>1277.588</v>
      </c>
    </row>
    <row r="52" spans="1:5" ht="14.4">
      <c r="A52" s="865">
        <v>22</v>
      </c>
      <c r="B52" s="865" t="s">
        <v>1325</v>
      </c>
      <c r="C52" s="865" t="s">
        <v>759</v>
      </c>
      <c r="D52" s="865" t="s">
        <v>758</v>
      </c>
      <c r="E52" s="865">
        <f>E51*E40</f>
        <v>15800</v>
      </c>
    </row>
    <row r="53" spans="1:5" ht="14.4">
      <c r="A53">
        <v>23</v>
      </c>
      <c r="B53" t="s">
        <v>1325</v>
      </c>
      <c r="C53" t="s">
        <v>757</v>
      </c>
      <c r="D53" t="s">
        <v>756</v>
      </c>
      <c r="E53" s="353">
        <f>E51/12</f>
        <v>106.46566666666666</v>
      </c>
    </row>
    <row r="54" spans="1:5" ht="14.4">
      <c r="A54">
        <v>24</v>
      </c>
      <c r="B54" t="s">
        <v>1325</v>
      </c>
      <c r="C54" t="s">
        <v>754</v>
      </c>
      <c r="D54" t="s">
        <v>753</v>
      </c>
      <c r="E54" s="349"/>
    </row>
    <row r="55" ht="14.4"/>
    <row r="56" spans="3:6" ht="14.4">
      <c r="C56" t="s">
        <v>697</v>
      </c>
      <c r="D56" t="s">
        <v>752</v>
      </c>
      <c r="E56" s="351">
        <f>E50-E22</f>
        <v>0</v>
      </c>
      <c r="F56" t="s">
        <v>1322</v>
      </c>
    </row>
    <row r="57" spans="3:6" ht="14.4">
      <c r="C57" t="s">
        <v>751</v>
      </c>
      <c r="D57" t="s">
        <v>750</v>
      </c>
      <c r="E57" s="351">
        <f>E50-E23</f>
        <v>0</v>
      </c>
      <c r="F57" t="s">
        <v>1322</v>
      </c>
    </row>
    <row r="58" ht="14.4"/>
    <row r="59" spans="2:5" ht="14.4">
      <c r="B59" t="s">
        <v>745</v>
      </c>
      <c r="C59" t="s">
        <v>749</v>
      </c>
      <c r="D59" t="s">
        <v>748</v>
      </c>
      <c r="E59">
        <v>2000</v>
      </c>
    </row>
    <row r="60" spans="2:5" ht="14.4">
      <c r="B60" t="s">
        <v>745</v>
      </c>
      <c r="C60" t="s">
        <v>747</v>
      </c>
      <c r="D60" t="s">
        <v>746</v>
      </c>
      <c r="E60" s="349">
        <v>78.540000000000006</v>
      </c>
    </row>
    <row r="61" spans="2:5" ht="14.4">
      <c r="B61" t="s">
        <v>745</v>
      </c>
      <c r="C61" t="s">
        <v>744</v>
      </c>
      <c r="D61" t="s">
        <v>743</v>
      </c>
      <c r="E61" s="352">
        <v>1</v>
      </c>
    </row>
    <row r="62" ht="14.4"/>
    <row r="63" spans="2:6" ht="14.4">
      <c r="B63" t="s">
        <v>742</v>
      </c>
      <c r="C63" t="s">
        <v>741</v>
      </c>
      <c r="D63" t="s">
        <v>740</v>
      </c>
      <c r="E63" s="349">
        <v>35</v>
      </c>
      <c r="F63" t="s">
        <v>739</v>
      </c>
    </row>
    <row r="64" ht="14.4"/>
    <row r="65" ht="14.4">
      <c r="B65" t="s">
        <v>738</v>
      </c>
    </row>
    <row r="66" spans="2:3" ht="14.4">
      <c r="B66" t="s">
        <v>737</v>
      </c>
      <c r="C66" s="349">
        <v>115</v>
      </c>
    </row>
    <row r="67" spans="2:3" ht="14.4">
      <c r="B67" t="s">
        <v>736</v>
      </c>
      <c r="C67" s="349">
        <v>15</v>
      </c>
    </row>
    <row r="68" spans="2:3" ht="14.4">
      <c r="B68" t="s">
        <v>735</v>
      </c>
      <c r="C68" s="349">
        <v>5.50</v>
      </c>
    </row>
    <row r="69" spans="2:3" ht="14.4">
      <c r="B69" t="s">
        <v>734</v>
      </c>
      <c r="C69" s="351">
        <f>SUM(C66,C68)</f>
        <v>120.50</v>
      </c>
    </row>
    <row r="70" ht="14.4"/>
    <row r="71" ht="14.4">
      <c r="B71" t="s">
        <v>1750</v>
      </c>
    </row>
    <row r="72" spans="2:4" ht="14.4">
      <c r="B72" t="s">
        <v>718</v>
      </c>
      <c r="C72" s="336">
        <v>0.30</v>
      </c>
      <c r="D72" t="s">
        <v>717</v>
      </c>
    </row>
    <row r="73" spans="2:4" ht="14.4">
      <c r="B73" t="s">
        <v>716</v>
      </c>
      <c r="C73" s="336">
        <v>0.70</v>
      </c>
      <c r="D73" t="s">
        <v>715</v>
      </c>
    </row>
    <row r="74" ht="14.4"/>
    <row r="75" spans="2:4" ht="14.4">
      <c r="B75" t="s">
        <v>732</v>
      </c>
      <c r="C75" t="s">
        <v>1751</v>
      </c>
      <c r="D75" t="s">
        <v>723</v>
      </c>
    </row>
    <row r="76" spans="2:5" ht="14.4">
      <c r="B76" t="s">
        <v>730</v>
      </c>
      <c r="C76" t="s">
        <v>721</v>
      </c>
      <c r="D76" t="s">
        <v>721</v>
      </c>
      <c r="E76" t="s">
        <v>78</v>
      </c>
    </row>
    <row r="77" spans="2:4" ht="14.4">
      <c r="B77" t="s">
        <v>729</v>
      </c>
      <c r="C77" s="349">
        <f>C80-SUM(C78:C79)</f>
        <v>-16.50</v>
      </c>
      <c r="D77" s="349" t="s">
        <v>200</v>
      </c>
    </row>
    <row r="78" spans="2:5" ht="14.4">
      <c r="B78" t="s">
        <v>116</v>
      </c>
      <c r="C78" s="349">
        <v>11</v>
      </c>
      <c r="D78" s="349">
        <f>$C$66</f>
        <v>115</v>
      </c>
      <c r="E78" t="s">
        <v>728</v>
      </c>
    </row>
    <row r="79" spans="2:5" ht="14.4">
      <c r="B79" t="s">
        <v>727</v>
      </c>
      <c r="C79" s="349">
        <v>5.50</v>
      </c>
      <c r="D79" s="349">
        <f>$C$68</f>
        <v>5.50</v>
      </c>
      <c r="E79" t="s">
        <v>726</v>
      </c>
    </row>
    <row r="80" spans="2:4" ht="14.4">
      <c r="B80" t="s">
        <v>131</v>
      </c>
      <c r="C80" s="349">
        <f>$E$6</f>
        <v>0</v>
      </c>
      <c r="D80" s="349">
        <f>SUM(D77:D79)</f>
        <v>120.50</v>
      </c>
    </row>
    <row r="81" ht="14.4"/>
    <row r="82" spans="2:4" ht="14.4">
      <c r="B82" t="s">
        <v>725</v>
      </c>
      <c r="C82" t="s">
        <v>1752</v>
      </c>
      <c r="D82" t="s">
        <v>723</v>
      </c>
    </row>
    <row r="83" spans="2:5" ht="14.4">
      <c r="B83" t="s">
        <v>722</v>
      </c>
      <c r="C83" t="s">
        <v>721</v>
      </c>
      <c r="D83" t="s">
        <v>721</v>
      </c>
      <c r="E83" t="s">
        <v>192</v>
      </c>
    </row>
    <row r="84" spans="2:5" ht="14.4">
      <c r="B84">
        <v>2</v>
      </c>
      <c r="C84" s="351">
        <f>B84*$E$60</f>
        <v>157.08000000000001</v>
      </c>
      <c r="E84" t="s">
        <v>717</v>
      </c>
    </row>
    <row r="85" spans="2:5" ht="14.4">
      <c r="B85">
        <v>1</v>
      </c>
      <c r="C85" s="351">
        <f>B85*$E$60</f>
        <v>78.540000000000006</v>
      </c>
      <c r="E85" t="s">
        <v>715</v>
      </c>
    </row>
    <row r="86" spans="2:5" ht="14.4">
      <c r="B86" s="352">
        <f>(B84*$C$72)+(B85*$C$73)</f>
        <v>1.2999999999999998</v>
      </c>
      <c r="C86" s="351">
        <f>(C84*$C$72)+(C85*$C$73)</f>
        <v>102.102</v>
      </c>
      <c r="E86" t="s">
        <v>720</v>
      </c>
    </row>
    <row r="87" ht="14.4"/>
    <row r="88" ht="14.4">
      <c r="B88" t="s">
        <v>1753</v>
      </c>
    </row>
    <row r="89" spans="2:4" ht="14.4">
      <c r="B89" t="s">
        <v>718</v>
      </c>
      <c r="C89" s="351">
        <f>SUM(C80)</f>
        <v>0</v>
      </c>
      <c r="D89" t="s">
        <v>717</v>
      </c>
    </row>
    <row r="90" spans="2:4" ht="14.4">
      <c r="B90" t="s">
        <v>716</v>
      </c>
      <c r="C90" s="351">
        <f>SUM(C78:C79)</f>
        <v>16.50</v>
      </c>
      <c r="D90" t="s">
        <v>715</v>
      </c>
    </row>
    <row r="91" spans="2:4" ht="14.4">
      <c r="B91" t="s">
        <v>714</v>
      </c>
      <c r="C91" s="351">
        <f>(C89*$C$72)+(C90*$C$73)</f>
        <v>11.55</v>
      </c>
      <c r="D91" t="s">
        <v>713</v>
      </c>
    </row>
    <row r="92" ht="14.4"/>
    <row r="93" ht="14.4">
      <c r="C93" s="350"/>
    </row>
    <row r="94" ht="14.4"/>
    <row r="95" ht="14.4">
      <c r="B95" s="281" t="s">
        <v>859</v>
      </c>
    </row>
    <row r="96" spans="2:3" ht="14.4">
      <c r="B96" s="349">
        <v>6.64</v>
      </c>
      <c r="C96" t="s">
        <v>711</v>
      </c>
    </row>
    <row r="97" spans="2:3" ht="14.4">
      <c r="B97" s="349">
        <f>B96*12</f>
        <v>79.679999999999993</v>
      </c>
      <c r="C97" t="s">
        <v>710</v>
      </c>
    </row>
  </sheetData>
  <mergeCells count="2">
    <mergeCell ref="H20:J20"/>
    <mergeCell ref="H48:J48"/>
  </mergeCells>
  <pageMargins left="0.7" right="0.7" top="0.75" bottom="0.75" header="0.3" footer="0.3"/>
  <pageSetup orientation="portrait"/>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5" tint="0.39998"/>
  </sheetPr>
  <dimension ref="A1:AG690"/>
  <sheetViews>
    <sheetView zoomScale="70" zoomScaleNormal="70" workbookViewId="0" topLeftCell="B1">
      <selection pane="topLeft" activeCell="A1" sqref="A1"/>
    </sheetView>
  </sheetViews>
  <sheetFormatPr defaultColWidth="8.77734375" defaultRowHeight="14.4"/>
  <cols>
    <col min="1" max="1" width="4.55555555555556" style="1067" customWidth="1"/>
    <col min="2" max="2" width="7.77777777777778" style="1099" customWidth="1"/>
    <col min="3" max="3" width="14.5555555555556" style="1078" bestFit="1" customWidth="1"/>
    <col min="4" max="4" width="19.7777777777778" style="1099" bestFit="1" customWidth="1"/>
    <col min="5" max="5" width="15.5555555555556" style="1078" bestFit="1" customWidth="1"/>
    <col min="6" max="6" width="9.22222222222222" style="1078" bestFit="1" customWidth="1"/>
    <col min="7" max="7" width="15.7777777777778" style="1078" bestFit="1" customWidth="1"/>
    <col min="8" max="8" width="9.22222222222222" style="1078" bestFit="1" customWidth="1"/>
    <col min="9" max="9" width="10.7777777777778" style="1078" bestFit="1" customWidth="1"/>
    <col min="10" max="10" width="66.7777777777778" style="1101" bestFit="1" customWidth="1"/>
    <col min="11" max="12" width="28.4444444444444" style="1101" customWidth="1"/>
    <col min="13" max="13" width="16.4444444444444" style="1078" bestFit="1" customWidth="1"/>
    <col min="14" max="14" width="13.2222222222222" style="1078" bestFit="1" customWidth="1"/>
    <col min="15" max="15" width="16.4444444444444" style="1078" bestFit="1" customWidth="1"/>
    <col min="16" max="16" width="13.7777777777778" style="1078" customWidth="1"/>
    <col min="17" max="17" width="6.77777777777778" style="1078" bestFit="1" customWidth="1"/>
    <col min="18" max="18" width="10" style="1078" bestFit="1" customWidth="1"/>
    <col min="19" max="19" width="16.5555555555556" style="1078" customWidth="1"/>
    <col min="20" max="22" width="25.7777777777778" style="1078" customWidth="1"/>
    <col min="23" max="31" width="19.2222222222222" style="1078" customWidth="1"/>
    <col min="32" max="32" width="11.4444444444444" style="1078" bestFit="1" customWidth="1"/>
    <col min="33" max="33" width="8.77777777777778" style="1078"/>
    <col min="34" max="16384" width="8.77777777777778" style="1067"/>
  </cols>
  <sheetData>
    <row r="1" ht="14.4">
      <c r="A1" s="1066" t="s">
        <v>1632</v>
      </c>
    </row>
    <row r="2" spans="2:22" ht="23.4">
      <c r="B2" s="1816" t="s">
        <v>312</v>
      </c>
      <c r="C2" s="1816"/>
      <c r="D2" s="1816"/>
      <c r="E2" s="1816"/>
      <c r="F2" s="1816"/>
      <c r="G2" s="1816"/>
      <c r="H2" s="1816"/>
      <c r="I2" s="1816"/>
      <c r="J2" s="1816"/>
      <c r="K2" s="1816"/>
      <c r="L2" s="1816"/>
      <c r="M2" s="1816"/>
      <c r="N2" s="1816"/>
      <c r="O2" s="1816"/>
      <c r="P2" s="1816"/>
      <c r="Q2" s="1816"/>
      <c r="S2" s="1825" t="s">
        <v>310</v>
      </c>
      <c r="T2" s="1826"/>
      <c r="U2" s="1826"/>
      <c r="V2" s="1827"/>
    </row>
    <row r="3" spans="19:22" ht="14.4">
      <c r="S3" s="1825" t="s">
        <v>308</v>
      </c>
      <c r="T3" s="1826"/>
      <c r="U3" s="1826"/>
      <c r="V3" s="1827"/>
    </row>
    <row r="4" spans="2:22" ht="14.4">
      <c r="B4" s="1078"/>
      <c r="D4" s="1078"/>
      <c r="S4" s="1131" t="s">
        <v>307</v>
      </c>
      <c r="T4" s="1131" t="s">
        <v>306</v>
      </c>
      <c r="U4" s="1131" t="s">
        <v>305</v>
      </c>
      <c r="V4" s="1131" t="s">
        <v>304</v>
      </c>
    </row>
    <row r="5" spans="2:32" ht="23.4">
      <c r="B5" s="1817" t="s">
        <v>311</v>
      </c>
      <c r="C5" s="1817"/>
      <c r="D5" s="1817"/>
      <c r="E5" s="1817"/>
      <c r="F5" s="1817"/>
      <c r="G5" s="1817"/>
      <c r="H5" s="1817"/>
      <c r="I5" s="1817"/>
      <c r="S5" s="1131" t="s">
        <v>302</v>
      </c>
      <c r="T5" s="1132">
        <v>41</v>
      </c>
      <c r="U5" s="1132">
        <v>2.70</v>
      </c>
      <c r="V5" s="1132">
        <v>3.23</v>
      </c>
      <c r="AB5" s="865"/>
      <c r="AC5" s="865"/>
      <c r="AD5" s="865"/>
      <c r="AE5" s="865"/>
      <c r="AF5" s="865"/>
    </row>
    <row r="6" spans="2:32" ht="18">
      <c r="B6" s="1818" t="s">
        <v>309</v>
      </c>
      <c r="C6" s="1818"/>
      <c r="D6" s="1818"/>
      <c r="E6" s="1818"/>
      <c r="F6" s="1818"/>
      <c r="G6" s="1818"/>
      <c r="H6" s="1818"/>
      <c r="I6" s="1818"/>
      <c r="S6" s="1131" t="s">
        <v>264</v>
      </c>
      <c r="T6" s="1132">
        <v>29.30</v>
      </c>
      <c r="U6" s="1132">
        <v>1.90</v>
      </c>
      <c r="V6" s="1132">
        <v>1.97</v>
      </c>
      <c r="AB6" s="865"/>
      <c r="AC6" s="865"/>
      <c r="AD6" s="865"/>
      <c r="AE6" s="865"/>
      <c r="AF6" s="865"/>
    </row>
    <row r="7" spans="2:32" ht="14.4">
      <c r="B7" s="1078"/>
      <c r="D7" s="1078"/>
      <c r="S7" s="1131" t="s">
        <v>260</v>
      </c>
      <c r="T7" s="1132">
        <v>11.70</v>
      </c>
      <c r="U7" s="1132">
        <v>0.80</v>
      </c>
      <c r="V7" s="1132">
        <v>1.26</v>
      </c>
      <c r="AB7" s="865"/>
      <c r="AC7" s="865"/>
      <c r="AD7" s="865"/>
      <c r="AE7" s="865"/>
      <c r="AF7" s="865"/>
    </row>
    <row r="8" spans="2:32" ht="15" thickBot="1">
      <c r="B8" s="1078"/>
      <c r="D8" s="1078"/>
      <c r="S8" s="1131" t="s">
        <v>289</v>
      </c>
      <c r="T8" s="1132">
        <v>85.40</v>
      </c>
      <c r="U8" s="1132">
        <v>4.1500000000000004</v>
      </c>
      <c r="V8" s="1132">
        <v>5.03</v>
      </c>
      <c r="AB8" s="865"/>
      <c r="AC8" s="865"/>
      <c r="AD8" s="865"/>
      <c r="AE8" s="865"/>
      <c r="AF8" s="865"/>
    </row>
    <row r="9" spans="2:32" ht="21">
      <c r="B9" s="1078"/>
      <c r="D9" s="1078"/>
      <c r="E9" s="1819" t="s">
        <v>301</v>
      </c>
      <c r="F9" s="1820"/>
      <c r="G9" s="1820"/>
      <c r="H9" s="1820"/>
      <c r="I9" s="1821"/>
      <c r="S9" s="1131" t="s">
        <v>264</v>
      </c>
      <c r="T9" s="1132">
        <v>56.60</v>
      </c>
      <c r="U9" s="1132">
        <v>3.95</v>
      </c>
      <c r="V9" s="1132">
        <v>3.70</v>
      </c>
      <c r="AB9" s="865"/>
      <c r="AC9" s="865"/>
      <c r="AD9" s="865"/>
      <c r="AE9" s="865"/>
      <c r="AF9" s="865"/>
    </row>
    <row r="10" spans="2:32" ht="21.6" thickBot="1">
      <c r="B10" s="1068"/>
      <c r="C10" s="1068"/>
      <c r="D10" s="1069"/>
      <c r="E10" s="1106">
        <v>15</v>
      </c>
      <c r="F10" s="1107">
        <v>16</v>
      </c>
      <c r="G10" s="1107">
        <v>17</v>
      </c>
      <c r="H10" s="1107">
        <v>18</v>
      </c>
      <c r="I10" s="1108">
        <v>19</v>
      </c>
      <c r="S10" s="1131" t="s">
        <v>260</v>
      </c>
      <c r="T10" s="1132">
        <v>28.80</v>
      </c>
      <c r="U10" s="1132">
        <v>0.20</v>
      </c>
      <c r="V10" s="1132">
        <v>1.33</v>
      </c>
      <c r="AB10" s="865"/>
      <c r="AC10" s="865"/>
      <c r="AD10" s="865"/>
      <c r="AE10" s="865"/>
      <c r="AF10" s="865"/>
    </row>
    <row r="11" spans="2:32" ht="15" thickBot="1">
      <c r="B11" s="1133"/>
      <c r="C11" s="1133"/>
      <c r="D11" s="1109" t="s">
        <v>297</v>
      </c>
      <c r="E11" s="1110" t="s">
        <v>296</v>
      </c>
      <c r="F11" s="1111" t="s">
        <v>295</v>
      </c>
      <c r="G11" s="1111" t="s">
        <v>294</v>
      </c>
      <c r="H11" s="1111" t="s">
        <v>293</v>
      </c>
      <c r="I11" s="1112" t="s">
        <v>292</v>
      </c>
      <c r="S11" s="1825" t="s">
        <v>281</v>
      </c>
      <c r="T11" s="1826"/>
      <c r="U11" s="1826"/>
      <c r="V11" s="1827"/>
      <c r="AB11" s="865"/>
      <c r="AC11" s="865"/>
      <c r="AD11" s="865"/>
      <c r="AE11" s="865"/>
      <c r="AF11" s="865"/>
    </row>
    <row r="12" spans="2:32" ht="21">
      <c r="B12" s="1822" t="s">
        <v>288</v>
      </c>
      <c r="C12" s="1113">
        <v>12000</v>
      </c>
      <c r="D12" s="1070" t="s">
        <v>287</v>
      </c>
      <c r="E12" s="1114">
        <v>50</v>
      </c>
      <c r="F12" s="1115">
        <v>75</v>
      </c>
      <c r="G12" s="1115">
        <v>75</v>
      </c>
      <c r="H12" s="1115">
        <v>100</v>
      </c>
      <c r="I12" s="1116">
        <v>100</v>
      </c>
      <c r="S12" s="1131" t="s">
        <v>278</v>
      </c>
      <c r="T12" s="1132">
        <v>57.40</v>
      </c>
      <c r="U12" s="1132">
        <v>3.38</v>
      </c>
      <c r="V12" s="1132">
        <v>4.2300000000000004</v>
      </c>
      <c r="AB12" s="865"/>
      <c r="AC12" s="865"/>
      <c r="AD12" s="865"/>
      <c r="AE12" s="865"/>
      <c r="AF12" s="865"/>
    </row>
    <row r="13" spans="2:32" ht="21">
      <c r="B13" s="1823"/>
      <c r="C13" s="1117">
        <v>18000</v>
      </c>
      <c r="D13" s="1071" t="s">
        <v>284</v>
      </c>
      <c r="E13" s="1118">
        <v>100</v>
      </c>
      <c r="F13" s="1119">
        <v>125</v>
      </c>
      <c r="G13" s="1119">
        <v>125</v>
      </c>
      <c r="H13" s="1119">
        <v>150</v>
      </c>
      <c r="I13" s="1120">
        <v>150</v>
      </c>
      <c r="S13" s="1131" t="s">
        <v>264</v>
      </c>
      <c r="T13" s="1132">
        <v>27.40</v>
      </c>
      <c r="U13" s="1132">
        <v>1.74</v>
      </c>
      <c r="V13" s="1132">
        <v>1.69</v>
      </c>
      <c r="AB13" s="865"/>
      <c r="AC13" s="865"/>
      <c r="AD13" s="865"/>
      <c r="AE13" s="865"/>
      <c r="AF13" s="865"/>
    </row>
    <row r="14" spans="2:32" ht="21">
      <c r="B14" s="1823"/>
      <c r="C14" s="1117">
        <v>24000</v>
      </c>
      <c r="D14" s="1071" t="s">
        <v>283</v>
      </c>
      <c r="E14" s="1118">
        <v>125</v>
      </c>
      <c r="F14" s="1119">
        <v>150</v>
      </c>
      <c r="G14" s="1119">
        <v>175</v>
      </c>
      <c r="H14" s="1119">
        <v>200</v>
      </c>
      <c r="I14" s="1120">
        <v>200</v>
      </c>
      <c r="S14" s="1131" t="s">
        <v>260</v>
      </c>
      <c r="T14" s="1132">
        <v>30.30</v>
      </c>
      <c r="U14" s="1132">
        <v>1.64</v>
      </c>
      <c r="V14" s="1132">
        <v>2.54</v>
      </c>
      <c r="AB14" s="865"/>
      <c r="AC14" s="865"/>
      <c r="AD14" s="865"/>
      <c r="AE14" s="865"/>
      <c r="AF14" s="865"/>
    </row>
    <row r="15" spans="2:32" ht="21">
      <c r="B15" s="1823"/>
      <c r="C15" s="1117">
        <v>30000</v>
      </c>
      <c r="D15" s="1071" t="s">
        <v>280</v>
      </c>
      <c r="E15" s="1118">
        <v>150</v>
      </c>
      <c r="F15" s="1119">
        <v>175</v>
      </c>
      <c r="G15" s="1119">
        <v>200</v>
      </c>
      <c r="H15" s="1119">
        <v>225</v>
      </c>
      <c r="I15" s="1120">
        <v>250</v>
      </c>
      <c r="S15" s="1131" t="s">
        <v>272</v>
      </c>
      <c r="T15" s="1132">
        <v>61.20</v>
      </c>
      <c r="U15" s="1132">
        <v>4.01</v>
      </c>
      <c r="V15" s="1132">
        <v>5.0599999999999996</v>
      </c>
      <c r="AB15" s="865"/>
      <c r="AC15" s="865"/>
      <c r="AD15" s="865"/>
      <c r="AE15" s="865"/>
      <c r="AF15" s="865"/>
    </row>
    <row r="16" spans="2:32" ht="21">
      <c r="B16" s="1823"/>
      <c r="C16" s="1117">
        <v>36000</v>
      </c>
      <c r="D16" s="1071" t="s">
        <v>277</v>
      </c>
      <c r="E16" s="1118">
        <v>175</v>
      </c>
      <c r="F16" s="1119">
        <v>225</v>
      </c>
      <c r="G16" s="1119">
        <v>250</v>
      </c>
      <c r="H16" s="1119">
        <v>275</v>
      </c>
      <c r="I16" s="1120">
        <v>300</v>
      </c>
      <c r="S16" s="1131" t="s">
        <v>264</v>
      </c>
      <c r="T16" s="1132">
        <v>32.200000000000003</v>
      </c>
      <c r="U16" s="1132">
        <v>2.5099999999999998</v>
      </c>
      <c r="V16" s="1132">
        <v>3.45</v>
      </c>
      <c r="AB16" s="865"/>
      <c r="AC16" s="865"/>
      <c r="AD16" s="865"/>
      <c r="AE16" s="865"/>
      <c r="AF16" s="865"/>
    </row>
    <row r="17" spans="2:32" ht="21">
      <c r="B17" s="1823"/>
      <c r="C17" s="1117">
        <v>42000</v>
      </c>
      <c r="D17" s="1071" t="s">
        <v>275</v>
      </c>
      <c r="E17" s="1118">
        <v>225</v>
      </c>
      <c r="F17" s="1119">
        <v>250</v>
      </c>
      <c r="G17" s="1119">
        <v>300</v>
      </c>
      <c r="H17" s="1119">
        <v>325</v>
      </c>
      <c r="I17" s="1120">
        <v>350</v>
      </c>
      <c r="S17" s="1131" t="s">
        <v>260</v>
      </c>
      <c r="T17" s="1132">
        <v>29</v>
      </c>
      <c r="U17" s="1132">
        <v>1.50</v>
      </c>
      <c r="V17" s="1132">
        <v>1.61</v>
      </c>
      <c r="AB17" s="865"/>
      <c r="AC17" s="865"/>
      <c r="AD17" s="865"/>
      <c r="AE17" s="865"/>
      <c r="AF17" s="865"/>
    </row>
    <row r="18" spans="2:32" ht="21">
      <c r="B18" s="1823"/>
      <c r="C18" s="1121">
        <v>48000</v>
      </c>
      <c r="D18" s="1071" t="s">
        <v>274</v>
      </c>
      <c r="E18" s="1118">
        <v>250</v>
      </c>
      <c r="F18" s="1119">
        <v>300</v>
      </c>
      <c r="G18" s="1119">
        <v>325</v>
      </c>
      <c r="H18" s="1119">
        <v>350</v>
      </c>
      <c r="I18" s="1120">
        <v>400</v>
      </c>
      <c r="S18" s="1131" t="s">
        <v>266</v>
      </c>
      <c r="T18" s="1132">
        <v>36.50</v>
      </c>
      <c r="U18" s="1132">
        <v>3.30</v>
      </c>
      <c r="V18" s="1132">
        <v>3.69</v>
      </c>
      <c r="AB18" s="865"/>
      <c r="AC18" s="865"/>
      <c r="AD18" s="865"/>
      <c r="AE18" s="865"/>
      <c r="AF18" s="865"/>
    </row>
    <row r="19" spans="2:32" ht="21.6" thickBot="1">
      <c r="B19" s="1824"/>
      <c r="C19" s="1122">
        <v>60000</v>
      </c>
      <c r="D19" s="1072" t="s">
        <v>271</v>
      </c>
      <c r="E19" s="1123">
        <v>325</v>
      </c>
      <c r="F19" s="1124">
        <v>375</v>
      </c>
      <c r="G19" s="1124">
        <v>425</v>
      </c>
      <c r="H19" s="1124">
        <v>450</v>
      </c>
      <c r="I19" s="1125">
        <v>500</v>
      </c>
      <c r="S19" s="1131" t="s">
        <v>264</v>
      </c>
      <c r="T19" s="1132">
        <v>15.10</v>
      </c>
      <c r="U19" s="1132">
        <v>1.89</v>
      </c>
      <c r="V19" s="1132" t="s">
        <v>259</v>
      </c>
      <c r="AB19" s="865"/>
      <c r="AC19" s="865"/>
      <c r="AD19" s="865"/>
      <c r="AE19" s="865"/>
      <c r="AF19" s="865"/>
    </row>
    <row r="20" spans="2:32" ht="14.4">
      <c r="B20" s="1078"/>
      <c r="D20" s="1078"/>
      <c r="S20" s="1131" t="s">
        <v>260</v>
      </c>
      <c r="T20" s="1132">
        <v>21.40</v>
      </c>
      <c r="U20" s="1132">
        <v>1.46</v>
      </c>
      <c r="V20" s="1132" t="s">
        <v>259</v>
      </c>
      <c r="AB20" s="865"/>
      <c r="AC20" s="865"/>
      <c r="AD20" s="865"/>
      <c r="AE20" s="865"/>
      <c r="AF20" s="865"/>
    </row>
    <row r="21" spans="2:32" ht="14.4">
      <c r="B21" s="1078"/>
      <c r="D21" s="1078"/>
      <c r="S21" s="1825" t="s">
        <v>258</v>
      </c>
      <c r="T21" s="1826"/>
      <c r="U21" s="1826"/>
      <c r="V21" s="1827"/>
      <c r="AB21" s="865"/>
      <c r="AC21" s="865"/>
      <c r="AD21" s="865"/>
      <c r="AE21" s="865"/>
      <c r="AF21" s="865"/>
    </row>
    <row r="22" spans="2:32" s="1078" customFormat="1" ht="14.4">
      <c r="B22" s="1809" t="s">
        <v>905</v>
      </c>
      <c r="C22" s="1810"/>
      <c r="D22" s="1810"/>
      <c r="E22" s="1810"/>
      <c r="F22" s="1810"/>
      <c r="G22" s="1810"/>
      <c r="H22" s="1811"/>
      <c r="J22" s="1105" t="s">
        <v>303</v>
      </c>
      <c r="K22" s="1101"/>
      <c r="L22" s="1101"/>
      <c r="P22" s="1075"/>
      <c r="S22" s="1078" t="s">
        <v>257</v>
      </c>
      <c r="T22" s="865"/>
      <c r="U22" s="865"/>
      <c r="V22" s="865"/>
      <c r="AB22" s="865"/>
      <c r="AC22" s="865"/>
      <c r="AD22" s="865"/>
      <c r="AE22" s="865"/>
      <c r="AF22" s="865"/>
    </row>
    <row r="23" spans="2:32" s="1078" customFormat="1" ht="15.6">
      <c r="B23" s="1813" t="s">
        <v>263</v>
      </c>
      <c r="C23" s="1814"/>
      <c r="D23" s="1814"/>
      <c r="E23" s="1814"/>
      <c r="F23" s="1814"/>
      <c r="G23" s="1814"/>
      <c r="H23" s="1815"/>
      <c r="J23" s="1101" t="s">
        <v>300</v>
      </c>
      <c r="K23" s="1101"/>
      <c r="L23" s="1101"/>
      <c r="P23" s="1073"/>
      <c r="S23" s="865"/>
      <c r="T23" s="865"/>
      <c r="U23" s="865"/>
      <c r="V23" s="865"/>
      <c r="AB23" s="865"/>
      <c r="AC23" s="865"/>
      <c r="AD23" s="865"/>
      <c r="AE23" s="865"/>
      <c r="AF23" s="865"/>
    </row>
    <row r="24" spans="2:32" s="1078" customFormat="1" ht="69">
      <c r="B24" s="1082" t="s">
        <v>206</v>
      </c>
      <c r="C24" s="1082" t="s">
        <v>205</v>
      </c>
      <c r="D24" s="1082" t="s">
        <v>233</v>
      </c>
      <c r="E24" s="1083" t="s">
        <v>203</v>
      </c>
      <c r="F24" s="1083" t="s">
        <v>202</v>
      </c>
      <c r="G24" s="1082" t="s">
        <v>1767</v>
      </c>
      <c r="H24" s="1082" t="s">
        <v>1683</v>
      </c>
      <c r="J24" s="1101" t="s">
        <v>299</v>
      </c>
      <c r="K24" s="1101" t="s">
        <v>298</v>
      </c>
      <c r="L24" s="1101"/>
      <c r="P24" s="1076"/>
      <c r="S24" s="1084" t="s">
        <v>256</v>
      </c>
      <c r="T24" s="1045">
        <v>0.30</v>
      </c>
      <c r="AB24" s="865"/>
      <c r="AC24" s="865"/>
      <c r="AD24" s="865"/>
      <c r="AE24" s="865"/>
      <c r="AF24" s="865"/>
    </row>
    <row r="25" spans="2:32" s="1078" customFormat="1" ht="14.55" customHeight="1">
      <c r="B25" s="1085">
        <v>1</v>
      </c>
      <c r="C25" s="1086">
        <f>SUMIF($M$60:$M$690,"=1",N$60:N$690)</f>
        <v>37675</v>
      </c>
      <c r="D25" s="1087">
        <f>SUMIF($M$60:$M$690,"=1",O$60:O$690)</f>
        <v>529487.75326711428</v>
      </c>
      <c r="E25" s="1087">
        <f>SUMIF($M$60:$M$690,B25,P$60:P$690)</f>
        <v>144</v>
      </c>
      <c r="F25" s="1087">
        <f>SUMIF($M$60:$M$690,"=1",Q$60:Q$690)</f>
        <v>1</v>
      </c>
      <c r="G25" s="1087">
        <f>SUMIF($M$60:$M$690,$B25,X$60:X$690)</f>
        <v>501296.2123567707</v>
      </c>
      <c r="H25" s="1088">
        <f>(G25/D25)-1</f>
        <v>-0.053243046201526756</v>
      </c>
      <c r="J25" s="1101" t="s">
        <v>291</v>
      </c>
      <c r="K25" s="1101" t="s">
        <v>290</v>
      </c>
      <c r="L25" s="1101"/>
      <c r="P25" s="1077"/>
      <c r="S25" s="1812" t="s">
        <v>255</v>
      </c>
      <c r="T25" s="1812"/>
      <c r="U25" s="1812"/>
      <c r="V25" s="1812"/>
      <c r="AB25" s="865"/>
      <c r="AC25" s="865"/>
      <c r="AD25" s="865"/>
      <c r="AE25" s="865"/>
      <c r="AF25" s="865"/>
    </row>
    <row r="26" spans="2:32" s="1078" customFormat="1" ht="14.4">
      <c r="B26" s="1085">
        <v>2</v>
      </c>
      <c r="C26" s="1086">
        <f>SUMIF($M$60:$M$690,"=2",N$60:N$690)</f>
        <v>36525</v>
      </c>
      <c r="D26" s="1087">
        <f>SUMIF($M$60:$M$690,"=2",O$60:O$690)</f>
        <v>546170.46407127555</v>
      </c>
      <c r="E26" s="1087">
        <f>SUMIF($M$60:$M$690,B26,P$60:P$690)</f>
        <v>152</v>
      </c>
      <c r="F26" s="1087">
        <f>SUMIF($M$60:$M$690,"=2",Q$60:Q$690)</f>
        <v>0</v>
      </c>
      <c r="G26" s="1087">
        <f>SUMIF($M$60:$M$690,$B26,X$60:X$690)</f>
        <v>509842.01805922651</v>
      </c>
      <c r="H26" s="1088">
        <f>(G26/D26)-1</f>
        <v>-0.066514849121002917</v>
      </c>
      <c r="J26" s="1101" t="s">
        <v>286</v>
      </c>
      <c r="K26" s="1101" t="s">
        <v>285</v>
      </c>
      <c r="L26" s="1101"/>
      <c r="P26" s="1077"/>
      <c r="S26" s="1812"/>
      <c r="T26" s="1812"/>
      <c r="U26" s="1812"/>
      <c r="V26" s="1812"/>
      <c r="AB26" s="865"/>
      <c r="AC26" s="865"/>
      <c r="AD26" s="865"/>
      <c r="AE26" s="865"/>
      <c r="AF26" s="865"/>
    </row>
    <row r="27" spans="2:32" s="1078" customFormat="1" ht="14.4">
      <c r="B27" s="1085">
        <v>3</v>
      </c>
      <c r="C27" s="1086">
        <f>SUMIF($M$60:$M$690,"=3",N$60:N$690)</f>
        <v>38750</v>
      </c>
      <c r="D27" s="1087">
        <f>SUMIF($M$60:$M$690,"=3",O$60:O$690)</f>
        <v>507873.95014203578</v>
      </c>
      <c r="E27" s="1087">
        <f>SUMIF($M$60:$M$690,B27,P$60:P$690)</f>
        <v>163</v>
      </c>
      <c r="F27" s="1087">
        <f>SUMIF($M$60:$M$690,"=3",Q$60:Q$690)</f>
        <v>2</v>
      </c>
      <c r="G27" s="1087">
        <f>SUMIF($M$60:$M$690,$B27,X$60:X$690)</f>
        <v>436983.35110102512</v>
      </c>
      <c r="H27" s="1088">
        <f>(G27/D27)-1</f>
        <v>-0.13958305800324056</v>
      </c>
      <c r="J27" s="1101"/>
      <c r="K27" s="1101"/>
      <c r="L27" s="1101"/>
      <c r="P27" s="1077"/>
      <c r="S27" s="1812"/>
      <c r="T27" s="1812"/>
      <c r="U27" s="1812"/>
      <c r="V27" s="1812"/>
      <c r="AB27" s="865"/>
      <c r="AC27" s="865"/>
      <c r="AD27" s="865"/>
      <c r="AE27" s="865"/>
      <c r="AF27" s="865"/>
    </row>
    <row r="28" spans="2:32" s="1078" customFormat="1" ht="14.4">
      <c r="B28" s="1085">
        <v>4</v>
      </c>
      <c r="C28" s="1086">
        <f>SUMIF($M$60:$M$690,"=4",N$60:N$690)</f>
        <v>37225</v>
      </c>
      <c r="D28" s="1087">
        <f>SUMIF($M$60:$M$690,"=4",O$60:O$690)</f>
        <v>296871.83703200845</v>
      </c>
      <c r="E28" s="1087">
        <f>SUMIF($M$60:$M$690,B28,P$60:P$690)</f>
        <v>158</v>
      </c>
      <c r="F28" s="1087">
        <f>SUMIF($M$60:$M$690,"=4",Q$60:Q$690)</f>
        <v>11</v>
      </c>
      <c r="G28" s="1087">
        <f>SUMIF($M$60:$M$690,$B28,X$60:X$690)</f>
        <v>209983.54258767283</v>
      </c>
      <c r="H28" s="1088">
        <f>(G28/D28)-1</f>
        <v>-0.29267947850158449</v>
      </c>
      <c r="J28" s="1105" t="s">
        <v>282</v>
      </c>
      <c r="K28" s="1101"/>
      <c r="L28" s="1101"/>
      <c r="P28" s="1077"/>
      <c r="S28" s="1812"/>
      <c r="T28" s="1812"/>
      <c r="U28" s="1812"/>
      <c r="V28" s="1812"/>
      <c r="AB28" s="865"/>
      <c r="AC28" s="865"/>
      <c r="AD28" s="865"/>
      <c r="AE28" s="865"/>
      <c r="AF28" s="865"/>
    </row>
    <row r="29" spans="2:32" s="1078" customFormat="1" ht="14.4">
      <c r="B29" s="1085" t="s">
        <v>222</v>
      </c>
      <c r="C29" s="1086">
        <f>SUM(C25:C28)</f>
        <v>150175</v>
      </c>
      <c r="D29" s="1087">
        <f>SUM(D25:D28)</f>
        <v>1880404.0045124339</v>
      </c>
      <c r="E29" s="1087">
        <f>SUM(E25:E28)</f>
        <v>617</v>
      </c>
      <c r="F29" s="269">
        <f>SUM(F25:F28)</f>
        <v>14</v>
      </c>
      <c r="G29" s="1087">
        <f>SUM(G25:G28)</f>
        <v>1658105.1241046952</v>
      </c>
      <c r="H29" s="1088">
        <f>(G29/D29)-1</f>
        <v>-0.11821868059963958</v>
      </c>
      <c r="J29" s="1054" t="s">
        <v>279</v>
      </c>
      <c r="K29" s="1101"/>
      <c r="L29" s="1101"/>
      <c r="P29" s="1077"/>
      <c r="S29" s="1812"/>
      <c r="T29" s="1812"/>
      <c r="U29" s="1812"/>
      <c r="V29" s="1812"/>
      <c r="AB29" s="865"/>
      <c r="AC29" s="865"/>
      <c r="AD29" s="865"/>
      <c r="AE29" s="865"/>
      <c r="AF29" s="865"/>
    </row>
    <row r="30" spans="2:22" s="1078" customFormat="1" ht="14.4">
      <c r="B30" s="1089"/>
      <c r="C30" s="1090"/>
      <c r="D30" s="1090"/>
      <c r="E30" s="1090"/>
      <c r="F30" s="1090"/>
      <c r="J30" s="1101" t="s">
        <v>276</v>
      </c>
      <c r="K30" s="1101"/>
      <c r="L30" s="1101"/>
      <c r="P30" s="1075"/>
      <c r="S30" s="1812"/>
      <c r="T30" s="1812"/>
      <c r="U30" s="1812"/>
      <c r="V30" s="1812"/>
    </row>
    <row r="31" spans="2:22" s="1078" customFormat="1" ht="14.4">
      <c r="B31" s="1809" t="s">
        <v>906</v>
      </c>
      <c r="C31" s="1810"/>
      <c r="D31" s="1810"/>
      <c r="E31" s="1810"/>
      <c r="F31" s="1810"/>
      <c r="G31" s="1810"/>
      <c r="H31" s="1811"/>
      <c r="J31" s="1101"/>
      <c r="K31" s="1101"/>
      <c r="L31" s="1101"/>
      <c r="S31" s="1091"/>
      <c r="V31" s="1092"/>
    </row>
    <row r="32" spans="2:22" s="1078" customFormat="1" ht="57.6">
      <c r="B32" s="1813" t="s">
        <v>263</v>
      </c>
      <c r="C32" s="1814"/>
      <c r="D32" s="1814"/>
      <c r="E32" s="1814"/>
      <c r="F32" s="1814"/>
      <c r="G32" s="1814"/>
      <c r="H32" s="1815"/>
      <c r="J32" s="1101" t="s">
        <v>273</v>
      </c>
      <c r="K32" s="1101">
        <v>8.50</v>
      </c>
      <c r="L32" s="1101" t="s">
        <v>904</v>
      </c>
      <c r="S32" s="1078" t="s">
        <v>1720</v>
      </c>
      <c r="T32" s="1078">
        <f>'BEopt Demand Results'!$K$22</f>
        <v>0.00041027144934561316</v>
      </c>
      <c r="U32" s="1093" t="s">
        <v>1722</v>
      </c>
      <c r="V32" s="1092"/>
    </row>
    <row r="33" spans="2:27" s="1078" customFormat="1" ht="69">
      <c r="B33" s="1082" t="s">
        <v>206</v>
      </c>
      <c r="C33" s="1082" t="s">
        <v>205</v>
      </c>
      <c r="D33" s="1082" t="s">
        <v>233</v>
      </c>
      <c r="E33" s="1083" t="s">
        <v>203</v>
      </c>
      <c r="F33" s="1083" t="s">
        <v>202</v>
      </c>
      <c r="G33" s="1082" t="s">
        <v>1767</v>
      </c>
      <c r="H33" s="1082" t="s">
        <v>1683</v>
      </c>
      <c r="J33" s="1101" t="s">
        <v>1768</v>
      </c>
      <c r="K33" s="1101">
        <v>7.70</v>
      </c>
      <c r="L33" s="1101" t="s">
        <v>270</v>
      </c>
      <c r="S33" s="1091"/>
      <c r="V33" s="1092"/>
      <c r="Y33" s="1094"/>
      <c r="Z33" s="1094"/>
      <c r="AA33" s="1094"/>
    </row>
    <row r="34" spans="2:27" s="1078" customFormat="1" ht="14.4">
      <c r="B34" s="1085">
        <v>1</v>
      </c>
      <c r="C34" s="1086">
        <f>SUMIF($M$60:$M$690,"=1",N$60:N$690)</f>
        <v>37675</v>
      </c>
      <c r="D34" s="1087">
        <f>SUMIF($M$60:$M$690,"=1",O$60:O$690)</f>
        <v>529487.75326711428</v>
      </c>
      <c r="E34" s="1087">
        <f>SUMIF($M$60:$M$690,B34,P$60:P$690)</f>
        <v>144</v>
      </c>
      <c r="F34" s="1087">
        <f>SUMIF($M$60:$M$690,"=1",Q$60:Q$690)</f>
        <v>1</v>
      </c>
      <c r="G34" s="1087">
        <f>SUMIF($M$60:$M$690,$B34,AA$60:AA$690)</f>
        <v>109243.54934360246</v>
      </c>
      <c r="H34" s="1088">
        <f>(G34/D34)-1</f>
        <v>-0.79368068728779151</v>
      </c>
      <c r="J34" s="1101" t="s">
        <v>1769</v>
      </c>
      <c r="K34" s="1101">
        <v>8.1999999999999993</v>
      </c>
      <c r="L34" s="1101" t="s">
        <v>903</v>
      </c>
      <c r="S34" s="1091"/>
      <c r="V34" s="1092"/>
      <c r="Y34" s="1094"/>
      <c r="Z34" s="1094"/>
      <c r="AA34" s="1094"/>
    </row>
    <row r="35" spans="2:27" s="1078" customFormat="1" ht="14.4">
      <c r="B35" s="1085">
        <v>2</v>
      </c>
      <c r="C35" s="1086">
        <f>SUMIF($M$60:$M$690,"=2",N$60:N$690)</f>
        <v>36525</v>
      </c>
      <c r="D35" s="1087">
        <f>SUMIF($M$60:$M$690,"=2",O$60:O$690)</f>
        <v>546170.46407127555</v>
      </c>
      <c r="E35" s="1087">
        <f>SUMIF($M$60:$M$690,B35,P$60:P$690)</f>
        <v>152</v>
      </c>
      <c r="F35" s="1087">
        <f>SUMIF($M$60:$M$690,"=2",Q$60:Q$690)</f>
        <v>0</v>
      </c>
      <c r="G35" s="1087">
        <f>SUMIF($M$60:$M$690,$B35,AA$60:AA$690)</f>
        <v>109670.69156893237</v>
      </c>
      <c r="H35" s="1088">
        <f>(G35/D35)-1</f>
        <v>-0.79920061815239374</v>
      </c>
      <c r="J35" s="1101" t="s">
        <v>269</v>
      </c>
      <c r="K35" s="1101">
        <f>'EStar EFLH'!$C$38</f>
        <v>2228</v>
      </c>
      <c r="L35" s="1101" t="s">
        <v>267</v>
      </c>
      <c r="S35" s="1091"/>
      <c r="V35" s="1092"/>
      <c r="Y35" s="1094"/>
      <c r="Z35" s="1094"/>
      <c r="AA35" s="1094"/>
    </row>
    <row r="36" spans="2:27" s="1078" customFormat="1" ht="14.4">
      <c r="B36" s="1085">
        <v>3</v>
      </c>
      <c r="C36" s="1086">
        <f>SUMIF($M$60:$M$690,"=3",N$60:N$690)</f>
        <v>38750</v>
      </c>
      <c r="D36" s="1087">
        <f>SUMIF($M$60:$M$690,"=3",O$60:O$690)</f>
        <v>507873.95014203578</v>
      </c>
      <c r="E36" s="1087">
        <f>SUMIF($M$60:$M$690,B36,P$60:P$690)</f>
        <v>163</v>
      </c>
      <c r="F36" s="1087">
        <f>SUMIF($M$60:$M$690,"=3",Q$60:Q$690)</f>
        <v>2</v>
      </c>
      <c r="G36" s="1087">
        <f>SUMIF($M$60:$M$690,$B36,AA$60:AA$690)</f>
        <v>34071.966510572849</v>
      </c>
      <c r="H36" s="1088">
        <f>(G36/D36)-1</f>
        <v>-0.93291255339825163</v>
      </c>
      <c r="J36" s="1101" t="s">
        <v>268</v>
      </c>
      <c r="K36" s="1101">
        <f>'EStar EFLH'!$D$38</f>
        <v>889</v>
      </c>
      <c r="L36" s="1101" t="s">
        <v>267</v>
      </c>
      <c r="S36" s="1091"/>
      <c r="V36" s="1092"/>
      <c r="Y36" s="1094"/>
      <c r="Z36" s="1094"/>
      <c r="AA36" s="1094"/>
    </row>
    <row r="37" spans="2:27" s="1078" customFormat="1" ht="86.4">
      <c r="B37" s="1085">
        <v>4</v>
      </c>
      <c r="C37" s="1086">
        <f>SUMIF($M$60:$M$690,"=4",N$60:N$690)</f>
        <v>37225</v>
      </c>
      <c r="D37" s="1087">
        <f>SUMIF($M$60:$M$690,"=4",O$60:O$690)</f>
        <v>296871.83703200845</v>
      </c>
      <c r="E37" s="1087">
        <f>SUMIF($M$60:$M$690,B37,P$60:P$690)</f>
        <v>158</v>
      </c>
      <c r="F37" s="1087">
        <f>SUMIF($M$60:$M$690,"=4",Q$60:Q$690)</f>
        <v>11</v>
      </c>
      <c r="G37" s="1087">
        <f>SUMIF($M$60:$M$690,$B37,AA$60:AA$690)</f>
        <v>-63642.630889102576</v>
      </c>
      <c r="H37" s="1088">
        <f>(G37/D37)-1</f>
        <v>-1.2143774617537759</v>
      </c>
      <c r="J37" s="1101" t="s">
        <v>265</v>
      </c>
      <c r="K37" s="1104">
        <v>0.16600000000000001</v>
      </c>
      <c r="L37" s="1101" t="s">
        <v>908</v>
      </c>
      <c r="S37" s="1091"/>
      <c r="V37" s="1092"/>
      <c r="Y37" s="1094"/>
      <c r="Z37" s="1094"/>
      <c r="AA37" s="1094"/>
    </row>
    <row r="38" spans="2:27" s="1078" customFormat="1" ht="43.2">
      <c r="B38" s="1085" t="s">
        <v>222</v>
      </c>
      <c r="C38" s="1086">
        <f>SUM(C34:C37)</f>
        <v>150175</v>
      </c>
      <c r="D38" s="1087">
        <f>SUM(D34:D37)</f>
        <v>1880404.0045124339</v>
      </c>
      <c r="E38" s="269">
        <f>SUM(E34:E37)</f>
        <v>617</v>
      </c>
      <c r="F38" s="269">
        <f>SUM(F34:F37)</f>
        <v>14</v>
      </c>
      <c r="G38" s="1087">
        <f>SUM(G34:G37)</f>
        <v>189343.57653400509</v>
      </c>
      <c r="H38" s="1088">
        <f>(G38/D38)-1</f>
        <v>-0.89930697016192562</v>
      </c>
      <c r="J38" s="1101" t="s">
        <v>262</v>
      </c>
      <c r="K38" s="1101">
        <v>12</v>
      </c>
      <c r="L38" s="1101" t="s">
        <v>261</v>
      </c>
      <c r="S38" s="1091"/>
      <c r="V38" s="1092"/>
      <c r="Y38" s="1094"/>
      <c r="Z38" s="1094"/>
      <c r="AA38" s="1094"/>
    </row>
    <row r="39" spans="10:27" s="1078" customFormat="1" ht="14.4">
      <c r="J39" s="1101"/>
      <c r="K39" s="1101"/>
      <c r="L39" s="1101"/>
      <c r="S39" s="1091"/>
      <c r="V39" s="1092"/>
      <c r="Y39" s="1094"/>
      <c r="Z39" s="1094"/>
      <c r="AA39" s="1094"/>
    </row>
    <row r="40" spans="2:27" s="1078" customFormat="1" ht="14.4">
      <c r="B40" s="1809" t="s">
        <v>907</v>
      </c>
      <c r="C40" s="1810"/>
      <c r="D40" s="1810"/>
      <c r="E40" s="1810"/>
      <c r="F40" s="1810"/>
      <c r="G40" s="1810"/>
      <c r="H40" s="1811"/>
      <c r="J40" s="1101"/>
      <c r="K40" s="1101"/>
      <c r="L40" s="1101"/>
      <c r="S40" s="1091"/>
      <c r="V40" s="1092"/>
      <c r="Y40" s="1094"/>
      <c r="Z40" s="1094"/>
      <c r="AA40" s="1094"/>
    </row>
    <row r="41" spans="2:27" s="1078" customFormat="1" ht="15.6">
      <c r="B41" s="1813" t="s">
        <v>263</v>
      </c>
      <c r="C41" s="1814"/>
      <c r="D41" s="1814"/>
      <c r="E41" s="1814"/>
      <c r="F41" s="1814"/>
      <c r="G41" s="1814"/>
      <c r="H41" s="1815"/>
      <c r="J41" s="1101"/>
      <c r="K41" s="1101"/>
      <c r="L41" s="1101"/>
      <c r="S41" s="1091"/>
      <c r="V41" s="1092"/>
      <c r="Y41" s="1094"/>
      <c r="Z41" s="1094"/>
      <c r="AA41" s="1094"/>
    </row>
    <row r="42" spans="2:27" s="1078" customFormat="1" ht="69">
      <c r="B42" s="1082" t="s">
        <v>206</v>
      </c>
      <c r="C42" s="1082" t="s">
        <v>205</v>
      </c>
      <c r="D42" s="1082" t="s">
        <v>233</v>
      </c>
      <c r="E42" s="1083" t="s">
        <v>203</v>
      </c>
      <c r="F42" s="1083" t="s">
        <v>202</v>
      </c>
      <c r="G42" s="1082" t="s">
        <v>1767</v>
      </c>
      <c r="H42" s="1082" t="s">
        <v>1683</v>
      </c>
      <c r="J42" s="1079" t="s">
        <v>915</v>
      </c>
      <c r="K42" s="1079" t="s">
        <v>912</v>
      </c>
      <c r="L42" s="1079" t="s">
        <v>913</v>
      </c>
      <c r="S42" s="1091"/>
      <c r="V42" s="1092"/>
      <c r="Y42" s="1094"/>
      <c r="Z42" s="1094"/>
      <c r="AA42" s="1094"/>
    </row>
    <row r="43" spans="2:27" s="1078" customFormat="1" ht="14.4">
      <c r="B43" s="1085">
        <v>1</v>
      </c>
      <c r="C43" s="1086">
        <f>SUMIF($M$60:$M$690,"=1",N$60:N$690)</f>
        <v>37675</v>
      </c>
      <c r="D43" s="1087">
        <f>SUMIF($M$60:$M$690,"=1",O$60:O$690)</f>
        <v>529487.75326711428</v>
      </c>
      <c r="E43" s="1087">
        <f>SUMIF($M$60:$M$690,B43,P$60:P$690)</f>
        <v>144</v>
      </c>
      <c r="F43" s="1087">
        <f>SUMIF($M$60:$M$690,"=1",Q$60:Q$690)</f>
        <v>1</v>
      </c>
      <c r="G43" s="1087">
        <f>SUMIF($M$60:$M$690,$B43,AD$60:AD$690)</f>
        <v>502073.29571894323</v>
      </c>
      <c r="H43" s="1088">
        <f>(G43/D43)-1</f>
        <v>-0.051775432725336468</v>
      </c>
      <c r="J43" s="1079" t="s">
        <v>909</v>
      </c>
      <c r="K43" s="1083">
        <f>COUNTIFS($S$60:$S$690,$J43,$P$60:$P$690,1)</f>
        <v>107</v>
      </c>
      <c r="L43" s="1102">
        <f>K43/$K$46</f>
        <v>0.17341977309562398</v>
      </c>
      <c r="S43" s="1091"/>
      <c r="V43" s="1092"/>
      <c r="Y43" s="1094"/>
      <c r="Z43" s="1094"/>
      <c r="AA43" s="1094"/>
    </row>
    <row r="44" spans="2:27" s="1078" customFormat="1" ht="14.4">
      <c r="B44" s="1085">
        <v>2</v>
      </c>
      <c r="C44" s="1086">
        <f>SUMIF($M$60:$M$690,"=2",N$60:N$690)</f>
        <v>36525</v>
      </c>
      <c r="D44" s="1087">
        <f>SUMIF($M$60:$M$690,"=2",O$60:O$690)</f>
        <v>546170.46407127555</v>
      </c>
      <c r="E44" s="1087">
        <f>SUMIF($M$60:$M$690,B44,P$60:P$690)</f>
        <v>152</v>
      </c>
      <c r="F44" s="1087">
        <f>SUMIF($M$60:$M$690,"=2",Q$60:Q$690)</f>
        <v>0</v>
      </c>
      <c r="G44" s="1087">
        <f>SUMIF($M$60:$M$690,$B44,AD$60:AD$690)</f>
        <v>532306.50220318302</v>
      </c>
      <c r="H44" s="1088">
        <f>(G44/D44)-1</f>
        <v>-0.025383946551681857</v>
      </c>
      <c r="J44" s="1079" t="s">
        <v>910</v>
      </c>
      <c r="K44" s="1083">
        <f>COUNTIFS($S$60:$S$690,$J44,$P$60:$P$690,1)</f>
        <v>297</v>
      </c>
      <c r="L44" s="1102">
        <f>K44/$K$46</f>
        <v>0.48136142625607781</v>
      </c>
      <c r="S44" s="1091"/>
      <c r="V44" s="1092"/>
      <c r="Y44" s="1094"/>
      <c r="Z44" s="1094"/>
      <c r="AA44" s="1094"/>
    </row>
    <row r="45" spans="2:27" s="1078" customFormat="1" ht="14.4">
      <c r="B45" s="1085">
        <v>3</v>
      </c>
      <c r="C45" s="1086">
        <f>SUMIF($M$60:$M$690,"=3",N$60:N$690)</f>
        <v>38750</v>
      </c>
      <c r="D45" s="1087">
        <f>SUMIF($M$60:$M$690,"=3",O$60:O$690)</f>
        <v>507873.95014203578</v>
      </c>
      <c r="E45" s="1087">
        <f>SUMIF($M$60:$M$690,B45,P$60:P$690)</f>
        <v>163</v>
      </c>
      <c r="F45" s="1087">
        <f>SUMIF($M$60:$M$690,"=3",Q$60:Q$690)</f>
        <v>2</v>
      </c>
      <c r="G45" s="1087">
        <f>SUMIF($M$60:$M$690,$B45,AD$60:AD$690)</f>
        <v>542661.5116293605</v>
      </c>
      <c r="H45" s="1088">
        <f>(G45/D45)-1</f>
        <v>0.068496447745736377</v>
      </c>
      <c r="J45" s="1079" t="s">
        <v>911</v>
      </c>
      <c r="K45" s="1083">
        <f>COUNTIFS($S$60:$S$690,$J45,$P$60:$P$690,1)</f>
        <v>213</v>
      </c>
      <c r="L45" s="1102">
        <f>K45/$K$46</f>
        <v>0.34521880064829824</v>
      </c>
      <c r="S45" s="1091"/>
      <c r="V45" s="1092"/>
      <c r="Y45" s="1094"/>
      <c r="Z45" s="1094"/>
      <c r="AA45" s="1094"/>
    </row>
    <row r="46" spans="2:27" s="1078" customFormat="1" ht="14.4">
      <c r="B46" s="1085">
        <v>4</v>
      </c>
      <c r="C46" s="1086">
        <f>SUMIF($M$60:$M$690,"=4",N$60:N$690)</f>
        <v>37225</v>
      </c>
      <c r="D46" s="1087">
        <f>SUMIF($M$60:$M$690,"=4",O$60:O$690)</f>
        <v>296871.83703200845</v>
      </c>
      <c r="E46" s="1087">
        <f>SUMIF($M$60:$M$690,B46,P$60:P$690)</f>
        <v>158</v>
      </c>
      <c r="F46" s="1087">
        <f>SUMIF($M$60:$M$690,"=4",Q$60:Q$690)</f>
        <v>11</v>
      </c>
      <c r="G46" s="1087">
        <f>SUMIF($M$60:$M$690,$B46,AD$60:AD$690)</f>
        <v>425730.66062701162</v>
      </c>
      <c r="H46" s="1088">
        <f>(G46/D46)-1</f>
        <v>0.43405539873123677</v>
      </c>
      <c r="J46" s="1079" t="s">
        <v>131</v>
      </c>
      <c r="K46" s="1079">
        <f>SUM(K43:K45)</f>
        <v>617</v>
      </c>
      <c r="L46" s="1103">
        <f>SUM(L43:L45)</f>
        <v>1</v>
      </c>
      <c r="S46" s="1091"/>
      <c r="V46" s="1092"/>
      <c r="Y46" s="1094"/>
      <c r="Z46" s="1094"/>
      <c r="AA46" s="1094"/>
    </row>
    <row r="47" spans="2:27" s="1078" customFormat="1" ht="14.4">
      <c r="B47" s="1085" t="s">
        <v>222</v>
      </c>
      <c r="C47" s="1086">
        <f>SUM(C43:C46)</f>
        <v>150175</v>
      </c>
      <c r="D47" s="1087">
        <f>SUM(D43:D46)</f>
        <v>1880404.0045124339</v>
      </c>
      <c r="E47" s="269">
        <f>SUM(E43:E46)</f>
        <v>617</v>
      </c>
      <c r="F47" s="269">
        <f>SUM(F43:F46)</f>
        <v>14</v>
      </c>
      <c r="G47" s="1087">
        <f>SUM(G43:G46)</f>
        <v>2002771.9701784984</v>
      </c>
      <c r="H47" s="1088">
        <f>(G47/D47)-1</f>
        <v>0.065075359003924804</v>
      </c>
      <c r="J47" s="1101" t="s">
        <v>916</v>
      </c>
      <c r="K47" s="1101"/>
      <c r="L47" s="1101"/>
      <c r="S47" s="1091"/>
      <c r="V47" s="1092"/>
      <c r="Y47" s="1094"/>
      <c r="Z47" s="1094"/>
      <c r="AA47" s="1094"/>
    </row>
    <row r="48" spans="10:27" s="1078" customFormat="1" ht="14.4">
      <c r="J48" s="1101"/>
      <c r="K48" s="1101"/>
      <c r="L48" s="1101"/>
      <c r="S48" s="1091"/>
      <c r="V48" s="1092"/>
      <c r="Y48" s="1094"/>
      <c r="Z48" s="1094"/>
      <c r="AA48" s="1094"/>
    </row>
    <row r="49" spans="2:27" s="1078" customFormat="1" ht="14.4">
      <c r="B49" s="1809" t="s">
        <v>917</v>
      </c>
      <c r="C49" s="1810"/>
      <c r="D49" s="1810"/>
      <c r="E49" s="1810"/>
      <c r="F49" s="1810"/>
      <c r="G49" s="1810"/>
      <c r="H49" s="1811"/>
      <c r="J49" s="1079" t="s">
        <v>919</v>
      </c>
      <c r="K49" s="1079" t="s">
        <v>920</v>
      </c>
      <c r="L49" s="1101"/>
      <c r="S49" s="1091"/>
      <c r="V49" s="1092"/>
      <c r="Y49" s="1094"/>
      <c r="Z49" s="1094"/>
      <c r="AA49" s="1094"/>
    </row>
    <row r="50" spans="2:27" s="1078" customFormat="1" ht="15.6">
      <c r="B50" s="1813" t="s">
        <v>263</v>
      </c>
      <c r="C50" s="1814"/>
      <c r="D50" s="1814"/>
      <c r="E50" s="1814"/>
      <c r="F50" s="1814"/>
      <c r="G50" s="1814"/>
      <c r="H50" s="1815"/>
      <c r="J50" s="1096" t="s">
        <v>905</v>
      </c>
      <c r="K50" s="1097">
        <f>G29/E29</f>
        <v>2687.3664896348382</v>
      </c>
      <c r="L50" s="1098"/>
      <c r="M50" s="1098"/>
      <c r="N50" s="1098"/>
      <c r="O50" s="1098"/>
      <c r="P50" s="1098"/>
      <c r="S50" s="1091"/>
      <c r="V50" s="1092"/>
      <c r="Y50" s="1094"/>
      <c r="Z50" s="1094"/>
      <c r="AA50" s="1094"/>
    </row>
    <row r="51" spans="2:27" s="1078" customFormat="1" ht="69">
      <c r="B51" s="1082" t="s">
        <v>206</v>
      </c>
      <c r="C51" s="1082" t="s">
        <v>205</v>
      </c>
      <c r="D51" s="1082" t="s">
        <v>233</v>
      </c>
      <c r="E51" s="1083" t="s">
        <v>203</v>
      </c>
      <c r="F51" s="1083" t="s">
        <v>202</v>
      </c>
      <c r="G51" s="1082" t="s">
        <v>1767</v>
      </c>
      <c r="H51" s="1082" t="s">
        <v>1683</v>
      </c>
      <c r="J51" s="1096" t="s">
        <v>906</v>
      </c>
      <c r="K51" s="1097">
        <f>G38/E38</f>
        <v>306.87775775365492</v>
      </c>
      <c r="L51" s="1098"/>
      <c r="M51" s="1098"/>
      <c r="N51" s="1098"/>
      <c r="O51" s="1098"/>
      <c r="P51" s="1098"/>
      <c r="S51" s="1091"/>
      <c r="V51" s="1092"/>
      <c r="Y51" s="1094"/>
      <c r="Z51" s="1094"/>
      <c r="AA51" s="1094"/>
    </row>
    <row r="52" spans="2:27" s="1078" customFormat="1" ht="30" customHeight="1">
      <c r="B52" s="1085">
        <v>1</v>
      </c>
      <c r="C52" s="1086">
        <f>SUMIF($M$60:$M$690,"=1",N$60:N$690)</f>
        <v>37675</v>
      </c>
      <c r="D52" s="1087">
        <f>SUMIF($M$60:$M$690,"=1",O$60:O$690)</f>
        <v>529487.75326711428</v>
      </c>
      <c r="E52" s="1087">
        <f>SUMIF($M$60:$M$690,B52,P$60:P$690)</f>
        <v>144</v>
      </c>
      <c r="F52" s="1087">
        <f>SUMIF($M$60:$M$690,"=1",Q$60:Q$690)</f>
        <v>1</v>
      </c>
      <c r="G52" s="1087">
        <f>SUMIF($M$60:$M$690,$B52,AG$60:AG$690)</f>
        <v>111552.13701811123</v>
      </c>
      <c r="H52" s="1088">
        <f>(G52/D52)-1</f>
        <v>-0.78932064749411535</v>
      </c>
      <c r="J52" s="1096" t="s">
        <v>907</v>
      </c>
      <c r="K52" s="1097">
        <f>G47/E47</f>
        <v>3245.9837442115049</v>
      </c>
      <c r="L52" s="1098"/>
      <c r="M52" s="1098"/>
      <c r="N52" s="1098"/>
      <c r="O52" s="1098"/>
      <c r="P52" s="1098"/>
      <c r="S52" s="1091"/>
      <c r="V52" s="1092"/>
      <c r="Y52" s="1094"/>
      <c r="Z52" s="1094"/>
      <c r="AA52" s="1094"/>
    </row>
    <row r="53" spans="2:27" s="1078" customFormat="1" ht="14.4">
      <c r="B53" s="1085">
        <v>2</v>
      </c>
      <c r="C53" s="1086">
        <f>SUMIF($M$60:$M$690,"=2",N$60:N$690)</f>
        <v>36525</v>
      </c>
      <c r="D53" s="1087">
        <f>SUMIF($M$60:$M$690,"=2",O$60:O$690)</f>
        <v>546170.46407127555</v>
      </c>
      <c r="E53" s="1087">
        <f>SUMIF($M$60:$M$690,B53,P$60:P$690)</f>
        <v>152</v>
      </c>
      <c r="F53" s="1087">
        <f>SUMIF($M$60:$M$690,"=2",Q$60:Q$690)</f>
        <v>0</v>
      </c>
      <c r="G53" s="1087">
        <f>SUMIF($M$60:$M$690,$B53,AG$60:AG$690)</f>
        <v>126576.02010260927</v>
      </c>
      <c r="H53" s="1088">
        <f>(G53/D53)-1</f>
        <v>-0.76824814150680432</v>
      </c>
      <c r="J53" s="1096" t="s">
        <v>917</v>
      </c>
      <c r="K53" s="1097">
        <f>G56/E56</f>
        <v>767.57462465739445</v>
      </c>
      <c r="L53" s="1098"/>
      <c r="M53" s="1098"/>
      <c r="N53" s="1098"/>
      <c r="O53" s="1098"/>
      <c r="P53" s="1098"/>
      <c r="S53" s="1091"/>
      <c r="V53" s="1092"/>
      <c r="Y53" s="1094"/>
      <c r="Z53" s="1094"/>
      <c r="AA53" s="1094"/>
    </row>
    <row r="54" spans="2:27" s="1078" customFormat="1" ht="14.4">
      <c r="B54" s="1085">
        <v>3</v>
      </c>
      <c r="C54" s="1086">
        <f>SUMIF($M$60:$M$690,"=3",N$60:N$690)</f>
        <v>38750</v>
      </c>
      <c r="D54" s="1087">
        <f>SUMIF($M$60:$M$690,"=3",O$60:O$690)</f>
        <v>507873.95014203578</v>
      </c>
      <c r="E54" s="1087">
        <f>SUMIF($M$60:$M$690,B54,P$60:P$690)</f>
        <v>163</v>
      </c>
      <c r="F54" s="1087">
        <f>SUMIF($M$60:$M$690,"=3",Q$60:Q$690)</f>
        <v>2</v>
      </c>
      <c r="G54" s="1087">
        <f>SUMIF($M$60:$M$690,$B54,AG$60:AG$690)</f>
        <v>120665.90108368741</v>
      </c>
      <c r="H54" s="1088">
        <f>(G54/D54)-1</f>
        <v>-0.76240974546943963</v>
      </c>
      <c r="J54" s="1101"/>
      <c r="K54" s="1101"/>
      <c r="L54" s="1101"/>
      <c r="S54" s="1091"/>
      <c r="V54" s="1092"/>
      <c r="Y54" s="1094"/>
      <c r="Z54" s="1094"/>
      <c r="AA54" s="1094"/>
    </row>
    <row r="55" spans="2:27" s="1078" customFormat="1" ht="14.4">
      <c r="B55" s="1085">
        <v>4</v>
      </c>
      <c r="C55" s="1086">
        <f>SUMIF($M$60:$M$690,"=4",N$60:N$690)</f>
        <v>37225</v>
      </c>
      <c r="D55" s="1087">
        <f>SUMIF($M$60:$M$690,"=4",O$60:O$690)</f>
        <v>296871.83703200845</v>
      </c>
      <c r="E55" s="1087">
        <f>SUMIF($M$60:$M$690,B55,P$60:P$690)</f>
        <v>158</v>
      </c>
      <c r="F55" s="1087">
        <f>SUMIF($M$60:$M$690,"=4",Q$60:Q$690)</f>
        <v>11</v>
      </c>
      <c r="G55" s="1087">
        <f>SUMIF($M$60:$M$690,$B55,AG$60:AG$690)</f>
        <v>114799.48520920446</v>
      </c>
      <c r="H55" s="1088">
        <f>(G55/D55)-1</f>
        <v>-0.61330287723848032</v>
      </c>
      <c r="J55" s="1101"/>
      <c r="K55" s="1101"/>
      <c r="L55" s="1101"/>
      <c r="S55" s="1091"/>
      <c r="V55" s="1092"/>
      <c r="Y55" s="1094"/>
      <c r="Z55" s="1094"/>
      <c r="AA55" s="1094"/>
    </row>
    <row r="56" spans="2:27" s="1078" customFormat="1" ht="14.4">
      <c r="B56" s="1085" t="s">
        <v>222</v>
      </c>
      <c r="C56" s="1086">
        <f>SUM(C52:C55)</f>
        <v>150175</v>
      </c>
      <c r="D56" s="1087">
        <f>SUM(D52:D55)</f>
        <v>1880404.0045124339</v>
      </c>
      <c r="E56" s="269">
        <f>SUM(E52:E55)</f>
        <v>617</v>
      </c>
      <c r="F56" s="269">
        <f>SUM(F52:F55)</f>
        <v>14</v>
      </c>
      <c r="G56" s="1087">
        <f>SUM(G52:G55)</f>
        <v>473593.54341361241</v>
      </c>
      <c r="H56" s="1088">
        <f>(G56/D56)-1</f>
        <v>-0.74814266387588901</v>
      </c>
      <c r="J56" s="1101"/>
      <c r="K56" s="1101"/>
      <c r="L56" s="1101"/>
      <c r="S56" s="1091"/>
      <c r="V56" s="1092"/>
      <c r="Y56" s="1094"/>
      <c r="Z56" s="1094"/>
      <c r="AA56" s="1094"/>
    </row>
    <row r="57" spans="2:30" s="1078" customFormat="1" ht="13.35" customHeight="1">
      <c r="B57" s="1099"/>
      <c r="D57" s="1099"/>
      <c r="J57" s="1101"/>
      <c r="K57" s="1101"/>
      <c r="L57" s="1101"/>
      <c r="V57" s="1091"/>
      <c r="Y57" s="1092"/>
      <c r="AB57" s="1100"/>
      <c r="AC57" s="1100"/>
      <c r="AD57" s="1100"/>
    </row>
    <row r="58" spans="2:33" ht="13.35" customHeight="1">
      <c r="B58" s="1828" t="s">
        <v>254</v>
      </c>
      <c r="C58" s="1828"/>
      <c r="D58" s="1828"/>
      <c r="E58" s="1828"/>
      <c r="F58" s="1828"/>
      <c r="G58" s="1828"/>
      <c r="H58" s="1828"/>
      <c r="I58" s="1828"/>
      <c r="J58" s="1828"/>
      <c r="K58" s="1828"/>
      <c r="L58" s="1828"/>
      <c r="M58" s="1828"/>
      <c r="N58" s="1828"/>
      <c r="O58" s="1828"/>
      <c r="P58" s="1828"/>
      <c r="Q58" s="1828"/>
      <c r="R58" s="1828"/>
      <c r="S58" s="1126"/>
      <c r="T58" s="1127"/>
      <c r="U58" s="1127"/>
      <c r="V58" s="1809" t="s">
        <v>905</v>
      </c>
      <c r="W58" s="1810"/>
      <c r="X58" s="1811"/>
      <c r="Y58" s="1829" t="s">
        <v>906</v>
      </c>
      <c r="Z58" s="1830"/>
      <c r="AA58" s="1830"/>
      <c r="AB58" s="1829" t="s">
        <v>907</v>
      </c>
      <c r="AC58" s="1830"/>
      <c r="AD58" s="1830"/>
      <c r="AE58" s="1809" t="s">
        <v>918</v>
      </c>
      <c r="AF58" s="1810"/>
      <c r="AG58" s="1811"/>
    </row>
    <row r="59" spans="2:33" ht="55.2">
      <c r="B59" s="1128" t="s">
        <v>217</v>
      </c>
      <c r="C59" s="1128" t="s">
        <v>216</v>
      </c>
      <c r="D59" s="1128" t="s">
        <v>215</v>
      </c>
      <c r="E59" s="1128" t="s">
        <v>214</v>
      </c>
      <c r="F59" s="1128" t="s">
        <v>253</v>
      </c>
      <c r="G59" s="1128" t="s">
        <v>252</v>
      </c>
      <c r="H59" s="1128" t="s">
        <v>251</v>
      </c>
      <c r="I59" s="1128" t="s">
        <v>250</v>
      </c>
      <c r="J59" s="1128" t="s">
        <v>249</v>
      </c>
      <c r="K59" s="1128" t="s">
        <v>208</v>
      </c>
      <c r="L59" s="1128" t="s">
        <v>207</v>
      </c>
      <c r="M59" s="1128" t="s">
        <v>206</v>
      </c>
      <c r="N59" s="1128" t="s">
        <v>205</v>
      </c>
      <c r="O59" s="1128" t="s">
        <v>248</v>
      </c>
      <c r="P59" s="1128" t="s">
        <v>203</v>
      </c>
      <c r="Q59" s="1128" t="s">
        <v>202</v>
      </c>
      <c r="R59" s="1129" t="s">
        <v>247</v>
      </c>
      <c r="S59" s="1129" t="s">
        <v>914</v>
      </c>
      <c r="T59" s="1129" t="s">
        <v>1684</v>
      </c>
      <c r="U59" s="1129" t="s">
        <v>1685</v>
      </c>
      <c r="V59" s="1082" t="s">
        <v>1770</v>
      </c>
      <c r="W59" s="1082" t="s">
        <v>1771</v>
      </c>
      <c r="X59" s="1082" t="s">
        <v>1767</v>
      </c>
      <c r="Y59" s="1082" t="s">
        <v>1772</v>
      </c>
      <c r="Z59" s="1082" t="s">
        <v>1771</v>
      </c>
      <c r="AA59" s="1082" t="s">
        <v>1767</v>
      </c>
      <c r="AB59" s="1082" t="s">
        <v>1770</v>
      </c>
      <c r="AC59" s="1082" t="s">
        <v>1771</v>
      </c>
      <c r="AD59" s="1082" t="s">
        <v>1767</v>
      </c>
      <c r="AE59" s="1082" t="s">
        <v>1772</v>
      </c>
      <c r="AF59" s="1082" t="s">
        <v>1771</v>
      </c>
      <c r="AG59" s="1082" t="s">
        <v>1767</v>
      </c>
    </row>
    <row r="60" spans="2:33" ht="14.4">
      <c r="B60" s="1134">
        <v>1047711</v>
      </c>
      <c r="C60" s="1135"/>
      <c r="D60" s="1134">
        <v>104771</v>
      </c>
      <c r="E60" s="1136">
        <v>41902</v>
      </c>
      <c r="F60" s="1137">
        <v>36000</v>
      </c>
      <c r="G60" s="1134">
        <v>10</v>
      </c>
      <c r="H60" s="1137">
        <v>36000</v>
      </c>
      <c r="I60" s="1134">
        <v>16.40</v>
      </c>
      <c r="J60" s="1138">
        <v>7290</v>
      </c>
      <c r="K60" s="1139"/>
      <c r="L60" s="1140">
        <v>42011</v>
      </c>
      <c r="M60" s="269">
        <f t="shared" si="0" ref="M60:M123">IF(MAX(K60,L60)&lt;40000,"",ROUNDUP(MONTH(MAX(K60,L60))/3,0))</f>
        <v>1</v>
      </c>
      <c r="N60" s="1141">
        <v>250</v>
      </c>
      <c r="O60" s="1087">
        <f t="shared" si="1" ref="O60:O123">IF(F60&lt;1,"",2.748*(F60/G60-H60/I60))</f>
        <v>3860.6048780487799</v>
      </c>
      <c r="P60" s="269">
        <f t="shared" si="2" ref="P60:P89">IF(L60&gt;0,1,"")</f>
        <v>1</v>
      </c>
      <c r="Q60" s="269" t="str">
        <f t="shared" si="3" ref="Q60:Q123">IF(K60&gt;0,1,"")</f>
        <v/>
      </c>
      <c r="R60" s="1142"/>
      <c r="S60" s="1143" t="str">
        <f>IF(F60=H60,"Same Size",IF(F60&lt;H60,"Upsize","Downsize"))</f>
        <v>Same Size</v>
      </c>
      <c r="T60" s="1144">
        <f>($F60/$H60)*$K$35</f>
        <v>2228</v>
      </c>
      <c r="U60" s="1144">
        <f>($F60/$H60)*$K$36</f>
        <v>889</v>
      </c>
      <c r="V60" s="1145">
        <f>$P60*$F60/1000*($T60/$G60+$U60/$K$33)</f>
        <v>12177.163636363635</v>
      </c>
      <c r="W60" s="1145">
        <f>$P60*$H60/1000*($T60/$I60+$U60/$K$32)</f>
        <v>8655.9081779053085</v>
      </c>
      <c r="X60" s="1146">
        <f>V60-W60</f>
        <v>3521.2554584583268</v>
      </c>
      <c r="Y60" s="1145">
        <f>$P60*$F60/1000*($T60/14+$U60/$K$34)</f>
        <v>9632.0696864111487</v>
      </c>
      <c r="Z60" s="1145">
        <f>$P60*$H60/1000*($T60/$I60+$U60/$K$32)</f>
        <v>8655.9081779053085</v>
      </c>
      <c r="AA60" s="1146">
        <f>Y60-Z60</f>
        <v>976.16150850584017</v>
      </c>
      <c r="AB60" s="1145">
        <f>$P60*$H60/1000*($T60/$G60+$U60/$K$33)</f>
        <v>12177.163636363635</v>
      </c>
      <c r="AC60" s="1145">
        <f>$P60*$H60/1000*($T60/$I60+$U60/$K$32)</f>
        <v>8655.9081779053085</v>
      </c>
      <c r="AD60" s="1146">
        <f>AB60-AC60</f>
        <v>3521.2554584583268</v>
      </c>
      <c r="AE60" s="1145">
        <f>$P60*$H60/1000*($T60/14+$U60/$K$34)</f>
        <v>9632.0696864111487</v>
      </c>
      <c r="AF60" s="1145">
        <f>$P60*$H60/1000*($T60/$I60+$U60/$K$32)</f>
        <v>8655.9081779053085</v>
      </c>
      <c r="AG60" s="1146">
        <f>AE60-AF60</f>
        <v>976.16150850584017</v>
      </c>
    </row>
    <row r="61" spans="2:33" ht="13.35" customHeight="1">
      <c r="B61" s="1134">
        <v>1478262</v>
      </c>
      <c r="C61" s="1135"/>
      <c r="D61" s="1134">
        <v>147826</v>
      </c>
      <c r="E61" s="1136">
        <v>41963</v>
      </c>
      <c r="F61" s="1137">
        <v>42000</v>
      </c>
      <c r="G61" s="1134">
        <v>10</v>
      </c>
      <c r="H61" s="1137">
        <v>41500</v>
      </c>
      <c r="I61" s="1134">
        <v>15</v>
      </c>
      <c r="J61" s="1138">
        <v>6031</v>
      </c>
      <c r="K61" s="1139"/>
      <c r="L61" s="1140">
        <v>42011</v>
      </c>
      <c r="M61" s="269">
        <f t="shared" si="0"/>
        <v>1</v>
      </c>
      <c r="N61" s="1141">
        <v>250</v>
      </c>
      <c r="O61" s="1087">
        <f t="shared" si="1"/>
        <v>3938.8000000000006</v>
      </c>
      <c r="P61" s="269">
        <f t="shared" si="2"/>
        <v>1</v>
      </c>
      <c r="Q61" s="269" t="str">
        <f t="shared" si="3"/>
        <v/>
      </c>
      <c r="R61" s="1142"/>
      <c r="S61" s="1143" t="str">
        <f t="shared" si="4" ref="S61:S124">IF(F61=H61,"Same Size",IF(F61&lt;H61,"Upsize","Downsize"))</f>
        <v>Downsize</v>
      </c>
      <c r="T61" s="1144">
        <f t="shared" si="5" ref="T61:T124">($F61/$H61)*$K$35</f>
        <v>2254.8433734939758</v>
      </c>
      <c r="U61" s="1144">
        <f t="shared" si="6" ref="U61:U124">($F61/$H61)*$K$36</f>
        <v>899.71084337349396</v>
      </c>
      <c r="V61" s="1146">
        <f t="shared" si="7" ref="V61:V124">$P61*$F61/1000*($T61/$G61+$U61/$K$33)</f>
        <v>14377.855859802847</v>
      </c>
      <c r="W61" s="1146">
        <f t="shared" si="8" ref="W61:W124">$P61*$H61/1000*($T61/$I61+$U61/$K$32)</f>
        <v>10631.10588235294</v>
      </c>
      <c r="X61" s="1146">
        <f t="shared" si="9" ref="X61:X124">V61-W61</f>
        <v>3746.7499774499065</v>
      </c>
      <c r="Y61" s="1146">
        <f t="shared" si="10" ref="Y61:Y124">$P61*$F61/1000*($T61/14+$U61/$K$34)</f>
        <v>11372.805171907141</v>
      </c>
      <c r="Z61" s="1146">
        <f t="shared" si="11" ref="Z61:Z124">$P61*$H61/1000*($T61/$I61+$U61/$K$32)</f>
        <v>10631.10588235294</v>
      </c>
      <c r="AA61" s="1146">
        <f t="shared" si="12" ref="AA61:AA124">Y61-Z61</f>
        <v>741.69928955420073</v>
      </c>
      <c r="AB61" s="1146">
        <f t="shared" si="13" ref="AB61:AB124">$P61*$H61/1000*($T61/$G61+$U61/$K$33)</f>
        <v>14206.690909090907</v>
      </c>
      <c r="AC61" s="1146">
        <f t="shared" si="14" ref="AC61:AC124">$P61*$H61/1000*($T61/$I61+$U61/$K$32)</f>
        <v>10631.10588235294</v>
      </c>
      <c r="AD61" s="1146">
        <f t="shared" si="15" ref="AD61:AD124">AB61-AC61</f>
        <v>3575.5850267379665</v>
      </c>
      <c r="AE61" s="1146">
        <f t="shared" si="16" ref="AE61:AE124">$P61*$H61/1000*($T61/14+$U61/$K$34)</f>
        <v>11237.414634146342</v>
      </c>
      <c r="AF61" s="1146">
        <f t="shared" si="17" ref="AF61:AF124">$P61*$H61/1000*($T61/$I61+$U61/$K$32)</f>
        <v>10631.10588235294</v>
      </c>
      <c r="AG61" s="1146">
        <f t="shared" si="18" ref="AG61:AG124">AE61-AF61</f>
        <v>606.30875179340183</v>
      </c>
    </row>
    <row r="62" spans="2:33" ht="13.35" customHeight="1">
      <c r="B62" s="1134">
        <v>4694741</v>
      </c>
      <c r="C62" s="1135"/>
      <c r="D62" s="1134">
        <v>469474</v>
      </c>
      <c r="E62" s="1136">
        <v>41978</v>
      </c>
      <c r="F62" s="1137">
        <v>36000</v>
      </c>
      <c r="G62" s="1134">
        <v>10</v>
      </c>
      <c r="H62" s="1137">
        <v>37000</v>
      </c>
      <c r="I62" s="1134">
        <v>19</v>
      </c>
      <c r="J62" s="1138">
        <v>6801</v>
      </c>
      <c r="K62" s="1139"/>
      <c r="L62" s="1140">
        <v>42011</v>
      </c>
      <c r="M62" s="269">
        <f t="shared" si="0"/>
        <v>1</v>
      </c>
      <c r="N62" s="1141">
        <v>300</v>
      </c>
      <c r="O62" s="1087">
        <f t="shared" si="1"/>
        <v>4541.4315789473685</v>
      </c>
      <c r="P62" s="269">
        <f t="shared" si="2"/>
        <v>1</v>
      </c>
      <c r="Q62" s="269" t="str">
        <f t="shared" si="3"/>
        <v/>
      </c>
      <c r="R62" s="1142"/>
      <c r="S62" s="1143" t="str">
        <f t="shared" si="4"/>
        <v>Upsize</v>
      </c>
      <c r="T62" s="1144">
        <f t="shared" si="5"/>
        <v>2167.7837837837837</v>
      </c>
      <c r="U62" s="1144">
        <f t="shared" si="6"/>
        <v>864.97297297297303</v>
      </c>
      <c r="V62" s="1146">
        <f t="shared" si="7"/>
        <v>11848.051105651106</v>
      </c>
      <c r="W62" s="1146">
        <f t="shared" si="8"/>
        <v>7986.6501547987618</v>
      </c>
      <c r="X62" s="1146">
        <f t="shared" si="9"/>
        <v>3861.4009508523441</v>
      </c>
      <c r="Y62" s="1146">
        <f t="shared" si="10"/>
        <v>9371.7434786703088</v>
      </c>
      <c r="Z62" s="1146">
        <f t="shared" si="11"/>
        <v>7986.6501547987618</v>
      </c>
      <c r="AA62" s="1146">
        <f t="shared" si="12"/>
        <v>1385.093323871547</v>
      </c>
      <c r="AB62" s="1146">
        <f t="shared" si="13"/>
        <v>12177.163636363637</v>
      </c>
      <c r="AC62" s="1146">
        <f t="shared" si="14"/>
        <v>7986.6501547987618</v>
      </c>
      <c r="AD62" s="1146">
        <f t="shared" si="15"/>
        <v>4190.5134815648753</v>
      </c>
      <c r="AE62" s="1146">
        <f t="shared" si="16"/>
        <v>9632.0696864111524</v>
      </c>
      <c r="AF62" s="1146">
        <f t="shared" si="17"/>
        <v>7986.6501547987618</v>
      </c>
      <c r="AG62" s="1146">
        <f t="shared" si="18"/>
        <v>1645.4195316123905</v>
      </c>
    </row>
    <row r="63" spans="2:33" ht="14.4">
      <c r="B63" s="1134">
        <v>965376</v>
      </c>
      <c r="C63" s="1135"/>
      <c r="D63" s="1134">
        <v>96537</v>
      </c>
      <c r="E63" s="1136">
        <v>41996</v>
      </c>
      <c r="F63" s="1137">
        <v>36000</v>
      </c>
      <c r="G63" s="1134">
        <v>10</v>
      </c>
      <c r="H63" s="1137">
        <v>36000</v>
      </c>
      <c r="I63" s="1134">
        <v>14</v>
      </c>
      <c r="J63" s="1138">
        <v>6000</v>
      </c>
      <c r="K63" s="1139"/>
      <c r="L63" s="1140">
        <v>42011</v>
      </c>
      <c r="M63" s="269">
        <f t="shared" si="0"/>
        <v>1</v>
      </c>
      <c r="N63" s="1141">
        <v>175</v>
      </c>
      <c r="O63" s="1087">
        <f t="shared" si="1"/>
        <v>2826.5142857142855</v>
      </c>
      <c r="P63" s="269">
        <f t="shared" si="2"/>
        <v>1</v>
      </c>
      <c r="Q63" s="269" t="str">
        <f t="shared" si="3"/>
        <v/>
      </c>
      <c r="R63" s="1142"/>
      <c r="S63" s="1143" t="str">
        <f t="shared" si="4"/>
        <v>Same Size</v>
      </c>
      <c r="T63" s="1144">
        <f t="shared" si="5"/>
        <v>2228</v>
      </c>
      <c r="U63" s="1144">
        <f t="shared" si="6"/>
        <v>889</v>
      </c>
      <c r="V63" s="1146">
        <f t="shared" si="7"/>
        <v>12177.163636363635</v>
      </c>
      <c r="W63" s="1146">
        <f t="shared" si="8"/>
        <v>9494.3193277310929</v>
      </c>
      <c r="X63" s="1146">
        <f t="shared" si="9"/>
        <v>2682.8443086325424</v>
      </c>
      <c r="Y63" s="1146">
        <f t="shared" si="10"/>
        <v>9632.0696864111487</v>
      </c>
      <c r="Z63" s="1146">
        <f t="shared" si="11"/>
        <v>9494.3193277310929</v>
      </c>
      <c r="AA63" s="1146">
        <f t="shared" si="12"/>
        <v>137.7503586800558</v>
      </c>
      <c r="AB63" s="1146">
        <f t="shared" si="13"/>
        <v>12177.163636363635</v>
      </c>
      <c r="AC63" s="1146">
        <f t="shared" si="14"/>
        <v>9494.3193277310929</v>
      </c>
      <c r="AD63" s="1146">
        <f t="shared" si="15"/>
        <v>2682.8443086325424</v>
      </c>
      <c r="AE63" s="1146">
        <f t="shared" si="16"/>
        <v>9632.0696864111487</v>
      </c>
      <c r="AF63" s="1146">
        <f t="shared" si="17"/>
        <v>9494.3193277310929</v>
      </c>
      <c r="AG63" s="1146">
        <f t="shared" si="18"/>
        <v>137.7503586800558</v>
      </c>
    </row>
    <row r="64" spans="2:33" ht="14.4">
      <c r="B64" s="1134">
        <v>8825795</v>
      </c>
      <c r="C64" s="1135"/>
      <c r="D64" s="1134">
        <v>398465</v>
      </c>
      <c r="E64" s="1136">
        <v>41844</v>
      </c>
      <c r="F64" s="1137">
        <v>42000</v>
      </c>
      <c r="G64" s="1134">
        <v>10</v>
      </c>
      <c r="H64" s="1137">
        <v>42000</v>
      </c>
      <c r="I64" s="1134">
        <v>15</v>
      </c>
      <c r="J64" s="1138">
        <v>4475</v>
      </c>
      <c r="K64" s="1139"/>
      <c r="L64" s="1140">
        <v>42011</v>
      </c>
      <c r="M64" s="269">
        <f t="shared" si="0"/>
        <v>1</v>
      </c>
      <c r="N64" s="1141">
        <v>250</v>
      </c>
      <c r="O64" s="1087">
        <f t="shared" si="1"/>
        <v>3847.2000000000003</v>
      </c>
      <c r="P64" s="269">
        <f t="shared" si="2"/>
        <v>1</v>
      </c>
      <c r="Q64" s="269" t="str">
        <f t="shared" si="3"/>
        <v/>
      </c>
      <c r="R64" s="1142"/>
      <c r="S64" s="1143" t="str">
        <f t="shared" si="4"/>
        <v>Same Size</v>
      </c>
      <c r="T64" s="1144">
        <f t="shared" si="5"/>
        <v>2228</v>
      </c>
      <c r="U64" s="1144">
        <f t="shared" si="6"/>
        <v>889</v>
      </c>
      <c r="V64" s="1146">
        <f t="shared" si="7"/>
        <v>14206.690909090909</v>
      </c>
      <c r="W64" s="1146">
        <f t="shared" si="8"/>
        <v>10631.105882352942</v>
      </c>
      <c r="X64" s="1146">
        <f t="shared" si="9"/>
        <v>3575.5850267379665</v>
      </c>
      <c r="Y64" s="1146">
        <f t="shared" si="10"/>
        <v>11237.41463414634</v>
      </c>
      <c r="Z64" s="1146">
        <f t="shared" si="11"/>
        <v>10631.105882352942</v>
      </c>
      <c r="AA64" s="1146">
        <f t="shared" si="12"/>
        <v>606.30875179339819</v>
      </c>
      <c r="AB64" s="1146">
        <f t="shared" si="13"/>
        <v>14206.690909090909</v>
      </c>
      <c r="AC64" s="1146">
        <f t="shared" si="14"/>
        <v>10631.105882352942</v>
      </c>
      <c r="AD64" s="1146">
        <f t="shared" si="15"/>
        <v>3575.5850267379665</v>
      </c>
      <c r="AE64" s="1146">
        <f t="shared" si="16"/>
        <v>11237.41463414634</v>
      </c>
      <c r="AF64" s="1146">
        <f t="shared" si="17"/>
        <v>10631.105882352942</v>
      </c>
      <c r="AG64" s="1146">
        <f t="shared" si="18"/>
        <v>606.30875179339819</v>
      </c>
    </row>
    <row r="65" spans="2:33" ht="14.4">
      <c r="B65" s="1134">
        <v>6056048</v>
      </c>
      <c r="C65" s="1135"/>
      <c r="D65" s="1134">
        <v>190657</v>
      </c>
      <c r="E65" s="1136">
        <v>41779</v>
      </c>
      <c r="F65" s="1137">
        <v>35000</v>
      </c>
      <c r="G65" s="1134">
        <v>10</v>
      </c>
      <c r="H65" s="1137">
        <v>36400</v>
      </c>
      <c r="I65" s="1134">
        <v>17</v>
      </c>
      <c r="J65" s="1138">
        <v>7283</v>
      </c>
      <c r="K65" s="1139"/>
      <c r="L65" s="1140">
        <v>42011</v>
      </c>
      <c r="M65" s="269">
        <f t="shared" si="0"/>
        <v>1</v>
      </c>
      <c r="N65" s="1141">
        <v>275</v>
      </c>
      <c r="O65" s="1087">
        <f t="shared" si="1"/>
        <v>3734.0470588235303</v>
      </c>
      <c r="P65" s="269">
        <f t="shared" si="2"/>
        <v>1</v>
      </c>
      <c r="Q65" s="269" t="str">
        <f t="shared" si="3"/>
        <v/>
      </c>
      <c r="R65" s="1142"/>
      <c r="S65" s="1143" t="str">
        <f t="shared" si="4"/>
        <v>Upsize</v>
      </c>
      <c r="T65" s="1144">
        <f t="shared" si="5"/>
        <v>2142.3076923076924</v>
      </c>
      <c r="U65" s="1144">
        <f t="shared" si="6"/>
        <v>854.80769230769238</v>
      </c>
      <c r="V65" s="1146">
        <f t="shared" si="7"/>
        <v>11383.566433566433</v>
      </c>
      <c r="W65" s="1146">
        <f t="shared" si="8"/>
        <v>8247.6470588235297</v>
      </c>
      <c r="X65" s="1146">
        <f t="shared" si="9"/>
        <v>3135.9193747429035</v>
      </c>
      <c r="Y65" s="1146">
        <f t="shared" si="10"/>
        <v>9004.3386491557212</v>
      </c>
      <c r="Z65" s="1146">
        <f t="shared" si="11"/>
        <v>8247.6470588235297</v>
      </c>
      <c r="AA65" s="1146">
        <f t="shared" si="12"/>
        <v>756.69159033219148</v>
      </c>
      <c r="AB65" s="1146">
        <f t="shared" si="13"/>
        <v>11838.90909090909</v>
      </c>
      <c r="AC65" s="1146">
        <f t="shared" si="14"/>
        <v>8247.6470588235297</v>
      </c>
      <c r="AD65" s="1146">
        <f t="shared" si="15"/>
        <v>3591.2620320855603</v>
      </c>
      <c r="AE65" s="1146">
        <f t="shared" si="16"/>
        <v>9364.5121951219498</v>
      </c>
      <c r="AF65" s="1146">
        <f t="shared" si="17"/>
        <v>8247.6470588235297</v>
      </c>
      <c r="AG65" s="1146">
        <f t="shared" si="18"/>
        <v>1116.8651362984201</v>
      </c>
    </row>
    <row r="66" spans="2:33" ht="14.4">
      <c r="B66" s="1134">
        <v>1364496</v>
      </c>
      <c r="C66" s="1135"/>
      <c r="D66" s="1134">
        <v>136449</v>
      </c>
      <c r="E66" s="1136">
        <v>42003</v>
      </c>
      <c r="F66" s="1137">
        <v>34000</v>
      </c>
      <c r="G66" s="1134">
        <v>15</v>
      </c>
      <c r="H66" s="1137">
        <v>34600</v>
      </c>
      <c r="I66" s="1134">
        <v>15</v>
      </c>
      <c r="J66" s="1138">
        <v>6743</v>
      </c>
      <c r="K66" s="1139"/>
      <c r="L66" s="1140">
        <v>42011</v>
      </c>
      <c r="M66" s="269">
        <f t="shared" si="0"/>
        <v>1</v>
      </c>
      <c r="N66" s="1141">
        <v>225</v>
      </c>
      <c r="O66" s="1087">
        <f t="shared" si="1"/>
        <v>-109.92000000000002</v>
      </c>
      <c r="P66" s="269">
        <f t="shared" si="2"/>
        <v>1</v>
      </c>
      <c r="Q66" s="269" t="str">
        <f t="shared" si="3"/>
        <v/>
      </c>
      <c r="R66" s="1142"/>
      <c r="S66" s="1143" t="str">
        <f t="shared" si="4"/>
        <v>Upsize</v>
      </c>
      <c r="T66" s="1144">
        <f t="shared" si="5"/>
        <v>2189.3641618497109</v>
      </c>
      <c r="U66" s="1144">
        <f t="shared" si="6"/>
        <v>873.58381502890165</v>
      </c>
      <c r="V66" s="1146">
        <f t="shared" si="7"/>
        <v>8819.941846207741</v>
      </c>
      <c r="W66" s="1146">
        <f t="shared" si="8"/>
        <v>8606.1333333333332</v>
      </c>
      <c r="X66" s="1146">
        <f t="shared" si="9"/>
        <v>213.80851287440783</v>
      </c>
      <c r="Y66" s="1146">
        <f t="shared" si="10"/>
        <v>8939.2040442287162</v>
      </c>
      <c r="Z66" s="1146">
        <f t="shared" si="11"/>
        <v>8606.1333333333332</v>
      </c>
      <c r="AA66" s="1146">
        <f t="shared" si="12"/>
        <v>333.07071089538294</v>
      </c>
      <c r="AB66" s="1146">
        <f t="shared" si="13"/>
        <v>8975.5878787878773</v>
      </c>
      <c r="AC66" s="1146">
        <f t="shared" si="14"/>
        <v>8606.1333333333332</v>
      </c>
      <c r="AD66" s="1146">
        <f t="shared" si="15"/>
        <v>369.45454545454413</v>
      </c>
      <c r="AE66" s="1146">
        <f t="shared" si="16"/>
        <v>9096.9547038327528</v>
      </c>
      <c r="AF66" s="1146">
        <f t="shared" si="17"/>
        <v>8606.1333333333332</v>
      </c>
      <c r="AG66" s="1146">
        <f t="shared" si="18"/>
        <v>490.82137049941957</v>
      </c>
    </row>
    <row r="67" spans="2:33" ht="14.4">
      <c r="B67" s="1134">
        <v>1965037</v>
      </c>
      <c r="C67" s="1135"/>
      <c r="D67" s="1134">
        <v>196503</v>
      </c>
      <c r="E67" s="1136">
        <v>41991</v>
      </c>
      <c r="F67" s="1137">
        <v>36000</v>
      </c>
      <c r="G67" s="1134">
        <v>13</v>
      </c>
      <c r="H67" s="1137">
        <v>42500</v>
      </c>
      <c r="I67" s="1134">
        <v>15</v>
      </c>
      <c r="J67" s="1138">
        <v>6685</v>
      </c>
      <c r="K67" s="1139"/>
      <c r="L67" s="1140">
        <v>42011</v>
      </c>
      <c r="M67" s="269">
        <f t="shared" si="0"/>
        <v>1</v>
      </c>
      <c r="N67" s="1141">
        <v>250</v>
      </c>
      <c r="O67" s="1087">
        <f t="shared" si="1"/>
        <v>-176.15384615384707</v>
      </c>
      <c r="P67" s="269">
        <f t="shared" si="2"/>
        <v>1</v>
      </c>
      <c r="Q67" s="269" t="str">
        <f t="shared" si="3"/>
        <v/>
      </c>
      <c r="R67" s="1142"/>
      <c r="S67" s="1143" t="str">
        <f t="shared" si="4"/>
        <v>Upsize</v>
      </c>
      <c r="T67" s="1144">
        <f t="shared" si="5"/>
        <v>1887.2470588235294</v>
      </c>
      <c r="U67" s="1144">
        <f t="shared" si="6"/>
        <v>753.03529411764703</v>
      </c>
      <c r="V67" s="1146">
        <f t="shared" si="7"/>
        <v>8746.907116413</v>
      </c>
      <c r="W67" s="1146">
        <f t="shared" si="8"/>
        <v>9112.376470588235</v>
      </c>
      <c r="X67" s="1146">
        <f t="shared" si="9"/>
        <v>-365.46935417523491</v>
      </c>
      <c r="Y67" s="1146">
        <f t="shared" si="10"/>
        <v>8158.9296167247394</v>
      </c>
      <c r="Z67" s="1146">
        <f t="shared" si="11"/>
        <v>9112.376470588235</v>
      </c>
      <c r="AA67" s="1146">
        <f t="shared" si="12"/>
        <v>-953.44685386349556</v>
      </c>
      <c r="AB67" s="1146">
        <f t="shared" si="13"/>
        <v>10326.20979020979</v>
      </c>
      <c r="AC67" s="1146">
        <f t="shared" si="14"/>
        <v>9112.376470588235</v>
      </c>
      <c r="AD67" s="1146">
        <f t="shared" si="15"/>
        <v>1213.8333196215554</v>
      </c>
      <c r="AE67" s="1146">
        <f t="shared" si="16"/>
        <v>9632.0696864111505</v>
      </c>
      <c r="AF67" s="1146">
        <f t="shared" si="17"/>
        <v>9112.376470588235</v>
      </c>
      <c r="AG67" s="1146">
        <f t="shared" si="18"/>
        <v>519.69321582291559</v>
      </c>
    </row>
    <row r="68" spans="2:33" ht="14.4">
      <c r="B68" s="1134">
        <v>8885917</v>
      </c>
      <c r="C68" s="1135"/>
      <c r="D68" s="1134">
        <v>8769093</v>
      </c>
      <c r="E68" s="1136">
        <v>41954</v>
      </c>
      <c r="F68" s="1137">
        <v>36000</v>
      </c>
      <c r="G68" s="1134">
        <v>10</v>
      </c>
      <c r="H68" s="1137">
        <v>35600</v>
      </c>
      <c r="I68" s="1134">
        <v>14.50</v>
      </c>
      <c r="J68" s="1138">
        <v>6000</v>
      </c>
      <c r="K68" s="1139"/>
      <c r="L68" s="1140">
        <v>42011</v>
      </c>
      <c r="M68" s="269">
        <f t="shared" si="0"/>
        <v>1</v>
      </c>
      <c r="N68" s="1141">
        <v>175</v>
      </c>
      <c r="O68" s="1087">
        <f t="shared" si="1"/>
        <v>3145.9862068965526</v>
      </c>
      <c r="P68" s="269">
        <f t="shared" si="2"/>
        <v>1</v>
      </c>
      <c r="Q68" s="269" t="str">
        <f t="shared" si="3"/>
        <v/>
      </c>
      <c r="R68" s="1147"/>
      <c r="S68" s="1143" t="str">
        <f t="shared" si="4"/>
        <v>Downsize</v>
      </c>
      <c r="T68" s="1144">
        <f t="shared" si="5"/>
        <v>2253.0337078651687</v>
      </c>
      <c r="U68" s="1144">
        <f t="shared" si="6"/>
        <v>898.98876404494388</v>
      </c>
      <c r="V68" s="1146">
        <f t="shared" si="7"/>
        <v>12313.985699693565</v>
      </c>
      <c r="W68" s="1146">
        <f t="shared" si="8"/>
        <v>9296.7626774847868</v>
      </c>
      <c r="X68" s="1146">
        <f t="shared" si="9"/>
        <v>3017.2230222087783</v>
      </c>
      <c r="Y68" s="1146">
        <f t="shared" si="10"/>
        <v>9740.2951885056591</v>
      </c>
      <c r="Z68" s="1146">
        <f t="shared" si="11"/>
        <v>9296.7626774847868</v>
      </c>
      <c r="AA68" s="1146">
        <f t="shared" si="12"/>
        <v>443.53251102087233</v>
      </c>
      <c r="AB68" s="1146">
        <f t="shared" si="13"/>
        <v>12177.163636363637</v>
      </c>
      <c r="AC68" s="1146">
        <f t="shared" si="14"/>
        <v>9296.7626774847868</v>
      </c>
      <c r="AD68" s="1146">
        <f t="shared" si="15"/>
        <v>2880.4009588788504</v>
      </c>
      <c r="AE68" s="1146">
        <f t="shared" si="16"/>
        <v>9632.0696864111524</v>
      </c>
      <c r="AF68" s="1146">
        <f t="shared" si="17"/>
        <v>9296.7626774847868</v>
      </c>
      <c r="AG68" s="1146">
        <f t="shared" si="18"/>
        <v>335.3070089263656</v>
      </c>
    </row>
    <row r="69" spans="2:33" ht="14.4">
      <c r="B69" s="1134">
        <v>2403871</v>
      </c>
      <c r="C69" s="1135"/>
      <c r="D69" s="1134">
        <v>164355</v>
      </c>
      <c r="E69" s="1136">
        <v>41989</v>
      </c>
      <c r="F69" s="1137">
        <v>36000</v>
      </c>
      <c r="G69" s="1134">
        <v>8</v>
      </c>
      <c r="H69" s="1137">
        <v>36800</v>
      </c>
      <c r="I69" s="1134">
        <v>15</v>
      </c>
      <c r="J69" s="1138">
        <v>6556</v>
      </c>
      <c r="K69" s="1139"/>
      <c r="L69" s="1140">
        <v>42011</v>
      </c>
      <c r="M69" s="269">
        <f t="shared" si="0"/>
        <v>1</v>
      </c>
      <c r="N69" s="1141">
        <v>225</v>
      </c>
      <c r="O69" s="1087">
        <f t="shared" si="1"/>
        <v>5624.24</v>
      </c>
      <c r="P69" s="269">
        <f t="shared" si="2"/>
        <v>1</v>
      </c>
      <c r="Q69" s="269" t="str">
        <f t="shared" si="3"/>
        <v/>
      </c>
      <c r="R69" s="1147"/>
      <c r="S69" s="1143" t="str">
        <f t="shared" si="4"/>
        <v>Upsize</v>
      </c>
      <c r="T69" s="1144">
        <f t="shared" si="5"/>
        <v>2179.5652173913045</v>
      </c>
      <c r="U69" s="1144">
        <f t="shared" si="6"/>
        <v>869.67391304347825</v>
      </c>
      <c r="V69" s="1146">
        <f t="shared" si="7"/>
        <v>13874.05138339921</v>
      </c>
      <c r="W69" s="1146">
        <f t="shared" si="8"/>
        <v>9112.376470588235</v>
      </c>
      <c r="X69" s="1146">
        <f t="shared" si="9"/>
        <v>4761.674912810975</v>
      </c>
      <c r="Y69" s="1146">
        <f t="shared" si="10"/>
        <v>9422.6768671413429</v>
      </c>
      <c r="Z69" s="1146">
        <f t="shared" si="11"/>
        <v>9112.376470588235</v>
      </c>
      <c r="AA69" s="1146">
        <f t="shared" si="12"/>
        <v>310.30039655310793</v>
      </c>
      <c r="AB69" s="1146">
        <f t="shared" si="13"/>
        <v>14182.363636363636</v>
      </c>
      <c r="AC69" s="1146">
        <f t="shared" si="14"/>
        <v>9112.376470588235</v>
      </c>
      <c r="AD69" s="1146">
        <f t="shared" si="15"/>
        <v>5069.9871657754011</v>
      </c>
      <c r="AE69" s="1146">
        <f t="shared" si="16"/>
        <v>9632.0696864111487</v>
      </c>
      <c r="AF69" s="1146">
        <f t="shared" si="17"/>
        <v>9112.376470588235</v>
      </c>
      <c r="AG69" s="1146">
        <f t="shared" si="18"/>
        <v>519.69321582291377</v>
      </c>
    </row>
    <row r="70" spans="2:33" ht="14.4">
      <c r="B70" s="1134">
        <v>8851114</v>
      </c>
      <c r="C70" s="1135"/>
      <c r="D70" s="1134">
        <v>487654</v>
      </c>
      <c r="E70" s="1136">
        <v>41872</v>
      </c>
      <c r="F70" s="1137">
        <v>40000</v>
      </c>
      <c r="G70" s="1134">
        <v>12</v>
      </c>
      <c r="H70" s="1137">
        <v>34800</v>
      </c>
      <c r="I70" s="1134">
        <v>15</v>
      </c>
      <c r="J70" s="1138">
        <v>5525</v>
      </c>
      <c r="K70" s="1139"/>
      <c r="L70" s="1140">
        <v>42011</v>
      </c>
      <c r="M70" s="269">
        <f t="shared" si="0"/>
        <v>1</v>
      </c>
      <c r="N70" s="1141">
        <v>225</v>
      </c>
      <c r="O70" s="1087">
        <f t="shared" si="1"/>
        <v>2784.6400000000008</v>
      </c>
      <c r="P70" s="269">
        <f t="shared" si="2"/>
        <v>1</v>
      </c>
      <c r="Q70" s="269" t="str">
        <f t="shared" si="3"/>
        <v/>
      </c>
      <c r="R70" s="1147"/>
      <c r="S70" s="1143" t="str">
        <f t="shared" si="4"/>
        <v>Downsize</v>
      </c>
      <c r="T70" s="1144">
        <f t="shared" si="5"/>
        <v>2560.9195402298851</v>
      </c>
      <c r="U70" s="1144">
        <f t="shared" si="6"/>
        <v>1021.83908045977</v>
      </c>
      <c r="V70" s="1146">
        <f t="shared" si="7"/>
        <v>13844.653430860326</v>
      </c>
      <c r="W70" s="1146">
        <f t="shared" si="8"/>
        <v>10124.862745098038</v>
      </c>
      <c r="X70" s="1146">
        <f t="shared" si="9"/>
        <v>3719.7906857622875</v>
      </c>
      <c r="Y70" s="1146">
        <f t="shared" si="10"/>
        <v>12301.493852376949</v>
      </c>
      <c r="Z70" s="1146">
        <f t="shared" si="11"/>
        <v>10124.862745098038</v>
      </c>
      <c r="AA70" s="1146">
        <f t="shared" si="12"/>
        <v>2176.6311072789103</v>
      </c>
      <c r="AB70" s="1146">
        <f t="shared" si="13"/>
        <v>12044.848484848482</v>
      </c>
      <c r="AC70" s="1146">
        <f t="shared" si="14"/>
        <v>10124.862745098038</v>
      </c>
      <c r="AD70" s="1146">
        <f t="shared" si="15"/>
        <v>1919.9857397504438</v>
      </c>
      <c r="AE70" s="1146">
        <f t="shared" si="16"/>
        <v>10702.299651567944</v>
      </c>
      <c r="AF70" s="1146">
        <f t="shared" si="17"/>
        <v>10124.862745098038</v>
      </c>
      <c r="AG70" s="1146">
        <f t="shared" si="18"/>
        <v>577.43690646990581</v>
      </c>
    </row>
    <row r="71" spans="2:33" ht="14.4">
      <c r="B71" s="1134">
        <v>1445980</v>
      </c>
      <c r="C71" s="1135"/>
      <c r="D71" s="1134">
        <v>144598</v>
      </c>
      <c r="E71" s="1136">
        <v>41876</v>
      </c>
      <c r="F71" s="1137">
        <v>40000</v>
      </c>
      <c r="G71" s="1134">
        <v>10</v>
      </c>
      <c r="H71" s="1137">
        <v>43800</v>
      </c>
      <c r="I71" s="1134">
        <v>15.50</v>
      </c>
      <c r="J71" s="1138">
        <v>7191</v>
      </c>
      <c r="K71" s="1139"/>
      <c r="L71" s="1140">
        <v>42011</v>
      </c>
      <c r="M71" s="269">
        <f t="shared" si="0"/>
        <v>1</v>
      </c>
      <c r="N71" s="1141">
        <v>250</v>
      </c>
      <c r="O71" s="1087">
        <f t="shared" si="1"/>
        <v>3226.6838709677418</v>
      </c>
      <c r="P71" s="269">
        <f t="shared" si="2"/>
        <v>1</v>
      </c>
      <c r="Q71" s="269" t="str">
        <f t="shared" si="3"/>
        <v/>
      </c>
      <c r="R71" s="1147"/>
      <c r="S71" s="1143" t="str">
        <f t="shared" si="4"/>
        <v>Upsize</v>
      </c>
      <c r="T71" s="1144">
        <f t="shared" si="5"/>
        <v>2034.703196347032</v>
      </c>
      <c r="U71" s="1144">
        <f t="shared" si="6"/>
        <v>811.87214611872139</v>
      </c>
      <c r="V71" s="1146">
        <f t="shared" si="7"/>
        <v>12356.330427563302</v>
      </c>
      <c r="W71" s="1146">
        <f t="shared" si="8"/>
        <v>9933.2068311195435</v>
      </c>
      <c r="X71" s="1146">
        <f t="shared" si="9"/>
        <v>2423.1235964437583</v>
      </c>
      <c r="Y71" s="1146">
        <f t="shared" si="10"/>
        <v>9773.7896361351086</v>
      </c>
      <c r="Z71" s="1146">
        <f t="shared" si="11"/>
        <v>9933.2068311195435</v>
      </c>
      <c r="AA71" s="1146">
        <f t="shared" si="12"/>
        <v>-159.4171949844349</v>
      </c>
      <c r="AB71" s="1146">
        <f t="shared" si="13"/>
        <v>13530.181818181816</v>
      </c>
      <c r="AC71" s="1146">
        <f t="shared" si="14"/>
        <v>9933.2068311195435</v>
      </c>
      <c r="AD71" s="1146">
        <f t="shared" si="15"/>
        <v>3596.9749870622727</v>
      </c>
      <c r="AE71" s="1146">
        <f t="shared" si="16"/>
        <v>10702.299651567944</v>
      </c>
      <c r="AF71" s="1146">
        <f t="shared" si="17"/>
        <v>9933.2068311195435</v>
      </c>
      <c r="AG71" s="1146">
        <f t="shared" si="18"/>
        <v>769.09282044840074</v>
      </c>
    </row>
    <row r="72" spans="2:33" ht="14.4">
      <c r="B72" s="1134">
        <v>4643276</v>
      </c>
      <c r="C72" s="1135"/>
      <c r="D72" s="1134">
        <v>458549</v>
      </c>
      <c r="E72" s="1136">
        <v>41837</v>
      </c>
      <c r="F72" s="1137">
        <v>60000</v>
      </c>
      <c r="G72" s="1134">
        <v>10</v>
      </c>
      <c r="H72" s="1137">
        <v>56000</v>
      </c>
      <c r="I72" s="1134">
        <v>15</v>
      </c>
      <c r="J72" s="1138">
        <v>7675</v>
      </c>
      <c r="K72" s="1139"/>
      <c r="L72" s="1140">
        <v>42011</v>
      </c>
      <c r="M72" s="269">
        <f t="shared" si="0"/>
        <v>1</v>
      </c>
      <c r="N72" s="1141">
        <v>375</v>
      </c>
      <c r="O72" s="1087">
        <f t="shared" si="1"/>
        <v>6228.80</v>
      </c>
      <c r="P72" s="269">
        <f t="shared" si="2"/>
        <v>1</v>
      </c>
      <c r="Q72" s="269" t="str">
        <f t="shared" si="3"/>
        <v/>
      </c>
      <c r="R72" s="1147"/>
      <c r="S72" s="1143" t="str">
        <f t="shared" si="4"/>
        <v>Downsize</v>
      </c>
      <c r="T72" s="1144">
        <f t="shared" si="5"/>
        <v>2387.1428571428569</v>
      </c>
      <c r="U72" s="1144">
        <f t="shared" si="6"/>
        <v>952.50</v>
      </c>
      <c r="V72" s="1146">
        <f t="shared" si="7"/>
        <v>21744.93506493506</v>
      </c>
      <c r="W72" s="1146">
        <f t="shared" si="8"/>
        <v>15187.29411764706</v>
      </c>
      <c r="X72" s="1146">
        <f t="shared" si="9"/>
        <v>6557.6409472880005</v>
      </c>
      <c r="Y72" s="1146">
        <f t="shared" si="10"/>
        <v>17200.124440019907</v>
      </c>
      <c r="Z72" s="1146">
        <f t="shared" si="11"/>
        <v>15187.29411764706</v>
      </c>
      <c r="AA72" s="1146">
        <f t="shared" si="12"/>
        <v>2012.8303223728472</v>
      </c>
      <c r="AB72" s="1146">
        <f t="shared" si="13"/>
        <v>20295.272727272724</v>
      </c>
      <c r="AC72" s="1146">
        <f t="shared" si="14"/>
        <v>15187.29411764706</v>
      </c>
      <c r="AD72" s="1146">
        <f t="shared" si="15"/>
        <v>5107.9786096256648</v>
      </c>
      <c r="AE72" s="1146">
        <f t="shared" si="16"/>
        <v>16053.449477351915</v>
      </c>
      <c r="AF72" s="1146">
        <f t="shared" si="17"/>
        <v>15187.29411764706</v>
      </c>
      <c r="AG72" s="1146">
        <f t="shared" si="18"/>
        <v>866.15535970485507</v>
      </c>
    </row>
    <row r="73" spans="2:33" ht="14.4">
      <c r="B73" s="1134">
        <v>2196947</v>
      </c>
      <c r="C73" s="1135"/>
      <c r="D73" s="1134">
        <v>219694</v>
      </c>
      <c r="E73" s="1136">
        <v>41984</v>
      </c>
      <c r="F73" s="1137">
        <v>30000</v>
      </c>
      <c r="G73" s="1134">
        <v>12</v>
      </c>
      <c r="H73" s="1137">
        <v>30000</v>
      </c>
      <c r="I73" s="1134">
        <v>15</v>
      </c>
      <c r="J73" s="1138">
        <v>6610</v>
      </c>
      <c r="K73" s="1139"/>
      <c r="L73" s="1140">
        <v>42011</v>
      </c>
      <c r="M73" s="269">
        <f t="shared" si="0"/>
        <v>1</v>
      </c>
      <c r="N73" s="1141">
        <v>175</v>
      </c>
      <c r="O73" s="1087">
        <f t="shared" si="1"/>
        <v>1374</v>
      </c>
      <c r="P73" s="269">
        <f t="shared" si="2"/>
        <v>1</v>
      </c>
      <c r="Q73" s="269" t="str">
        <f t="shared" si="3"/>
        <v/>
      </c>
      <c r="R73" s="1147"/>
      <c r="S73" s="1143" t="str">
        <f t="shared" si="4"/>
        <v>Same Size</v>
      </c>
      <c r="T73" s="1144">
        <f t="shared" si="5"/>
        <v>2228</v>
      </c>
      <c r="U73" s="1144">
        <f t="shared" si="6"/>
        <v>889</v>
      </c>
      <c r="V73" s="1146">
        <f t="shared" si="7"/>
        <v>9033.636363636364</v>
      </c>
      <c r="W73" s="1146">
        <f t="shared" si="8"/>
        <v>7593.6470588235297</v>
      </c>
      <c r="X73" s="1146">
        <f t="shared" si="9"/>
        <v>1439.9893048128342</v>
      </c>
      <c r="Y73" s="1146">
        <f t="shared" si="10"/>
        <v>8026.7247386759582</v>
      </c>
      <c r="Z73" s="1146">
        <f t="shared" si="11"/>
        <v>7593.6470588235297</v>
      </c>
      <c r="AA73" s="1146">
        <f t="shared" si="12"/>
        <v>433.07767985242845</v>
      </c>
      <c r="AB73" s="1146">
        <f t="shared" si="13"/>
        <v>9033.636363636364</v>
      </c>
      <c r="AC73" s="1146">
        <f t="shared" si="14"/>
        <v>7593.6470588235297</v>
      </c>
      <c r="AD73" s="1146">
        <f t="shared" si="15"/>
        <v>1439.9893048128342</v>
      </c>
      <c r="AE73" s="1146">
        <f t="shared" si="16"/>
        <v>8026.7247386759582</v>
      </c>
      <c r="AF73" s="1146">
        <f t="shared" si="17"/>
        <v>7593.6470588235297</v>
      </c>
      <c r="AG73" s="1146">
        <f t="shared" si="18"/>
        <v>433.07767985242845</v>
      </c>
    </row>
    <row r="74" spans="2:33" ht="14.4">
      <c r="B74" s="1134">
        <v>8747420</v>
      </c>
      <c r="C74" s="1135"/>
      <c r="D74" s="1134">
        <v>348146</v>
      </c>
      <c r="E74" s="1136">
        <v>41996</v>
      </c>
      <c r="F74" s="1137">
        <v>58500</v>
      </c>
      <c r="G74" s="1134">
        <v>12</v>
      </c>
      <c r="H74" s="1137">
        <v>58500</v>
      </c>
      <c r="I74" s="1134">
        <v>14</v>
      </c>
      <c r="J74" s="1138">
        <v>3890</v>
      </c>
      <c r="K74" s="1139"/>
      <c r="L74" s="1140">
        <v>42011</v>
      </c>
      <c r="M74" s="269">
        <f t="shared" si="0"/>
        <v>1</v>
      </c>
      <c r="N74" s="1141">
        <v>325</v>
      </c>
      <c r="O74" s="1087">
        <f t="shared" si="1"/>
        <v>1913.7857142857149</v>
      </c>
      <c r="P74" s="269">
        <f t="shared" si="2"/>
        <v>1</v>
      </c>
      <c r="Q74" s="269" t="str">
        <f t="shared" si="3"/>
        <v/>
      </c>
      <c r="R74" s="1147"/>
      <c r="S74" s="1143" t="str">
        <f t="shared" si="4"/>
        <v>Same Size</v>
      </c>
      <c r="T74" s="1144">
        <f t="shared" si="5"/>
        <v>2228</v>
      </c>
      <c r="U74" s="1144">
        <f t="shared" si="6"/>
        <v>889</v>
      </c>
      <c r="V74" s="1146">
        <f t="shared" si="7"/>
        <v>17615.590909090908</v>
      </c>
      <c r="W74" s="1146">
        <f t="shared" si="8"/>
        <v>15428.268907563026</v>
      </c>
      <c r="X74" s="1146">
        <f t="shared" si="9"/>
        <v>2187.3220015278821</v>
      </c>
      <c r="Y74" s="1146">
        <f t="shared" si="10"/>
        <v>15652.113240418117</v>
      </c>
      <c r="Z74" s="1146">
        <f t="shared" si="11"/>
        <v>15428.268907563026</v>
      </c>
      <c r="AA74" s="1146">
        <f t="shared" si="12"/>
        <v>223.84433285509113</v>
      </c>
      <c r="AB74" s="1146">
        <f t="shared" si="13"/>
        <v>17615.590909090908</v>
      </c>
      <c r="AC74" s="1146">
        <f t="shared" si="14"/>
        <v>15428.268907563026</v>
      </c>
      <c r="AD74" s="1146">
        <f t="shared" si="15"/>
        <v>2187.3220015278821</v>
      </c>
      <c r="AE74" s="1146">
        <f t="shared" si="16"/>
        <v>15652.113240418117</v>
      </c>
      <c r="AF74" s="1146">
        <f t="shared" si="17"/>
        <v>15428.268907563026</v>
      </c>
      <c r="AG74" s="1146">
        <f t="shared" si="18"/>
        <v>223.84433285509113</v>
      </c>
    </row>
    <row r="75" spans="2:33" ht="14.4">
      <c r="B75" s="1134">
        <v>5270137</v>
      </c>
      <c r="C75" s="1135"/>
      <c r="D75" s="1134">
        <v>201032</v>
      </c>
      <c r="E75" s="1136">
        <v>41983</v>
      </c>
      <c r="F75" s="1137">
        <v>42000</v>
      </c>
      <c r="G75" s="1134">
        <v>10</v>
      </c>
      <c r="H75" s="1137">
        <v>42500</v>
      </c>
      <c r="I75" s="1134">
        <v>14</v>
      </c>
      <c r="J75" s="1138">
        <v>5877</v>
      </c>
      <c r="K75" s="1139"/>
      <c r="L75" s="1140">
        <v>42011</v>
      </c>
      <c r="M75" s="269">
        <f t="shared" si="0"/>
        <v>1</v>
      </c>
      <c r="N75" s="1141">
        <v>225</v>
      </c>
      <c r="O75" s="1087">
        <f t="shared" si="1"/>
        <v>3199.457142857143</v>
      </c>
      <c r="P75" s="269">
        <f t="shared" si="2"/>
        <v>1</v>
      </c>
      <c r="Q75" s="269" t="str">
        <f t="shared" si="3"/>
        <v/>
      </c>
      <c r="R75" s="1147"/>
      <c r="S75" s="1143" t="str">
        <f t="shared" si="4"/>
        <v>Upsize</v>
      </c>
      <c r="T75" s="1144">
        <f t="shared" si="5"/>
        <v>2201.7882352941178</v>
      </c>
      <c r="U75" s="1144">
        <f t="shared" si="6"/>
        <v>878.54117647058831</v>
      </c>
      <c r="V75" s="1146">
        <f t="shared" si="7"/>
        <v>14039.553368983959</v>
      </c>
      <c r="W75" s="1146">
        <f t="shared" si="8"/>
        <v>11076.705882352942</v>
      </c>
      <c r="X75" s="1146">
        <f t="shared" si="9"/>
        <v>2962.8474866310171</v>
      </c>
      <c r="Y75" s="1146">
        <f t="shared" si="10"/>
        <v>11105.209756097562</v>
      </c>
      <c r="Z75" s="1146">
        <f t="shared" si="11"/>
        <v>11076.705882352942</v>
      </c>
      <c r="AA75" s="1146">
        <f t="shared" si="12"/>
        <v>28.503873744619341</v>
      </c>
      <c r="AB75" s="1146">
        <f t="shared" si="13"/>
        <v>14206.69090909091</v>
      </c>
      <c r="AC75" s="1146">
        <f t="shared" si="14"/>
        <v>11076.705882352942</v>
      </c>
      <c r="AD75" s="1146">
        <f t="shared" si="15"/>
        <v>3129.9850267379679</v>
      </c>
      <c r="AE75" s="1146">
        <f t="shared" si="16"/>
        <v>11237.414634146342</v>
      </c>
      <c r="AF75" s="1146">
        <f t="shared" si="17"/>
        <v>11076.705882352942</v>
      </c>
      <c r="AG75" s="1146">
        <f t="shared" si="18"/>
        <v>160.70875179339964</v>
      </c>
    </row>
    <row r="76" spans="2:33" ht="14.4">
      <c r="B76" s="1134">
        <v>4922886</v>
      </c>
      <c r="C76" s="1135"/>
      <c r="D76" s="1134">
        <v>141803</v>
      </c>
      <c r="E76" s="1136">
        <v>41960</v>
      </c>
      <c r="F76" s="1137">
        <v>36000</v>
      </c>
      <c r="G76" s="1134">
        <v>10</v>
      </c>
      <c r="H76" s="1137">
        <v>46500</v>
      </c>
      <c r="I76" s="1134">
        <v>15</v>
      </c>
      <c r="J76" s="1138">
        <v>6889</v>
      </c>
      <c r="K76" s="1139"/>
      <c r="L76" s="1140">
        <v>42011</v>
      </c>
      <c r="M76" s="269">
        <f t="shared" si="0"/>
        <v>1</v>
      </c>
      <c r="N76" s="1141">
        <v>300</v>
      </c>
      <c r="O76" s="1087">
        <f t="shared" si="1"/>
        <v>1374</v>
      </c>
      <c r="P76" s="269">
        <f t="shared" si="2"/>
        <v>1</v>
      </c>
      <c r="Q76" s="269" t="str">
        <f t="shared" si="3"/>
        <v/>
      </c>
      <c r="R76" s="1147"/>
      <c r="S76" s="1143" t="str">
        <f t="shared" si="4"/>
        <v>Upsize</v>
      </c>
      <c r="T76" s="1144">
        <f t="shared" si="5"/>
        <v>1724.9032258064515</v>
      </c>
      <c r="U76" s="1144">
        <f t="shared" si="6"/>
        <v>688.25806451612902</v>
      </c>
      <c r="V76" s="1146">
        <f t="shared" si="7"/>
        <v>9427.4815249266867</v>
      </c>
      <c r="W76" s="1146">
        <f t="shared" si="8"/>
        <v>9112.376470588235</v>
      </c>
      <c r="X76" s="1146">
        <f t="shared" si="9"/>
        <v>315.10505433845174</v>
      </c>
      <c r="Y76" s="1146">
        <f t="shared" si="10"/>
        <v>7457.0862088344384</v>
      </c>
      <c r="Z76" s="1146">
        <f t="shared" si="11"/>
        <v>9112.376470588235</v>
      </c>
      <c r="AA76" s="1146">
        <f t="shared" si="12"/>
        <v>-1655.2902617537966</v>
      </c>
      <c r="AB76" s="1146">
        <f t="shared" si="13"/>
        <v>12177.163636363637</v>
      </c>
      <c r="AC76" s="1146">
        <f t="shared" si="14"/>
        <v>9112.376470588235</v>
      </c>
      <c r="AD76" s="1146">
        <f t="shared" si="15"/>
        <v>3064.7871657754022</v>
      </c>
      <c r="AE76" s="1146">
        <f t="shared" si="16"/>
        <v>9632.0696864111505</v>
      </c>
      <c r="AF76" s="1146">
        <f t="shared" si="17"/>
        <v>9112.376470588235</v>
      </c>
      <c r="AG76" s="1146">
        <f t="shared" si="18"/>
        <v>519.69321582291559</v>
      </c>
    </row>
    <row r="77" spans="2:33" ht="14.4">
      <c r="B77" s="1134">
        <v>6362396</v>
      </c>
      <c r="C77" s="1135"/>
      <c r="D77" s="1134">
        <v>155215</v>
      </c>
      <c r="E77" s="1136">
        <v>41956</v>
      </c>
      <c r="F77" s="1137">
        <v>36000</v>
      </c>
      <c r="G77" s="1134">
        <v>10</v>
      </c>
      <c r="H77" s="1137">
        <v>36000</v>
      </c>
      <c r="I77" s="1134">
        <v>15</v>
      </c>
      <c r="J77" s="1138">
        <v>4010</v>
      </c>
      <c r="K77" s="1139"/>
      <c r="L77" s="1140">
        <v>42011</v>
      </c>
      <c r="M77" s="269">
        <f t="shared" si="0"/>
        <v>1</v>
      </c>
      <c r="N77" s="1141">
        <v>225</v>
      </c>
      <c r="O77" s="1087">
        <f t="shared" si="1"/>
        <v>3297.6000000000004</v>
      </c>
      <c r="P77" s="269">
        <f t="shared" si="2"/>
        <v>1</v>
      </c>
      <c r="Q77" s="269" t="str">
        <f t="shared" si="3"/>
        <v/>
      </c>
      <c r="R77" s="1147"/>
      <c r="S77" s="1143" t="str">
        <f t="shared" si="4"/>
        <v>Same Size</v>
      </c>
      <c r="T77" s="1144">
        <f t="shared" si="5"/>
        <v>2228</v>
      </c>
      <c r="U77" s="1144">
        <f t="shared" si="6"/>
        <v>889</v>
      </c>
      <c r="V77" s="1146">
        <f t="shared" si="7"/>
        <v>12177.163636363635</v>
      </c>
      <c r="W77" s="1146">
        <f t="shared" si="8"/>
        <v>9112.376470588235</v>
      </c>
      <c r="X77" s="1146">
        <f t="shared" si="9"/>
        <v>3064.7871657754004</v>
      </c>
      <c r="Y77" s="1146">
        <f t="shared" si="10"/>
        <v>9632.0696864111487</v>
      </c>
      <c r="Z77" s="1146">
        <f t="shared" si="11"/>
        <v>9112.376470588235</v>
      </c>
      <c r="AA77" s="1146">
        <f t="shared" si="12"/>
        <v>519.69321582291377</v>
      </c>
      <c r="AB77" s="1146">
        <f t="shared" si="13"/>
        <v>12177.163636363635</v>
      </c>
      <c r="AC77" s="1146">
        <f t="shared" si="14"/>
        <v>9112.376470588235</v>
      </c>
      <c r="AD77" s="1146">
        <f t="shared" si="15"/>
        <v>3064.7871657754004</v>
      </c>
      <c r="AE77" s="1146">
        <f t="shared" si="16"/>
        <v>9632.0696864111487</v>
      </c>
      <c r="AF77" s="1146">
        <f t="shared" si="17"/>
        <v>9112.376470588235</v>
      </c>
      <c r="AG77" s="1146">
        <f t="shared" si="18"/>
        <v>519.69321582291377</v>
      </c>
    </row>
    <row r="78" spans="2:33" ht="14.4">
      <c r="B78" s="1134">
        <v>6315964</v>
      </c>
      <c r="C78" s="1135"/>
      <c r="D78" s="1134">
        <v>147259</v>
      </c>
      <c r="E78" s="1136">
        <v>41862</v>
      </c>
      <c r="F78" s="1137">
        <v>60000</v>
      </c>
      <c r="G78" s="1134">
        <v>10</v>
      </c>
      <c r="H78" s="1137">
        <v>57000</v>
      </c>
      <c r="I78" s="1134">
        <v>15</v>
      </c>
      <c r="J78" s="1138">
        <v>5588</v>
      </c>
      <c r="K78" s="1139"/>
      <c r="L78" s="1140">
        <v>42011</v>
      </c>
      <c r="M78" s="269">
        <f t="shared" si="0"/>
        <v>1</v>
      </c>
      <c r="N78" s="1141">
        <v>375</v>
      </c>
      <c r="O78" s="1087">
        <f t="shared" si="1"/>
        <v>6045.60</v>
      </c>
      <c r="P78" s="269">
        <f t="shared" si="2"/>
        <v>1</v>
      </c>
      <c r="Q78" s="269" t="str">
        <f t="shared" si="3"/>
        <v/>
      </c>
      <c r="R78" s="1147"/>
      <c r="S78" s="1143" t="str">
        <f t="shared" si="4"/>
        <v>Downsize</v>
      </c>
      <c r="T78" s="1144">
        <f t="shared" si="5"/>
        <v>2345.2631578947367</v>
      </c>
      <c r="U78" s="1144">
        <f t="shared" si="6"/>
        <v>935.78947368421052</v>
      </c>
      <c r="V78" s="1146">
        <f t="shared" si="7"/>
        <v>21363.444976076556</v>
      </c>
      <c r="W78" s="1146">
        <f t="shared" si="8"/>
        <v>15187.29411764706</v>
      </c>
      <c r="X78" s="1146">
        <f t="shared" si="9"/>
        <v>6176.150858429497</v>
      </c>
      <c r="Y78" s="1146">
        <f t="shared" si="10"/>
        <v>16898.367870896753</v>
      </c>
      <c r="Z78" s="1146">
        <f t="shared" si="11"/>
        <v>15187.29411764706</v>
      </c>
      <c r="AA78" s="1146">
        <f t="shared" si="12"/>
        <v>1711.0737532496933</v>
      </c>
      <c r="AB78" s="1146">
        <f t="shared" si="13"/>
        <v>20295.272727272728</v>
      </c>
      <c r="AC78" s="1146">
        <f t="shared" si="14"/>
        <v>15187.29411764706</v>
      </c>
      <c r="AD78" s="1146">
        <f t="shared" si="15"/>
        <v>5107.9786096256685</v>
      </c>
      <c r="AE78" s="1146">
        <f t="shared" si="16"/>
        <v>16053.449477351915</v>
      </c>
      <c r="AF78" s="1146">
        <f t="shared" si="17"/>
        <v>15187.29411764706</v>
      </c>
      <c r="AG78" s="1146">
        <f t="shared" si="18"/>
        <v>866.15535970485507</v>
      </c>
    </row>
    <row r="79" spans="2:33" ht="14.4">
      <c r="B79" s="1134">
        <v>1685379</v>
      </c>
      <c r="C79" s="1135"/>
      <c r="D79" s="1134">
        <v>168537</v>
      </c>
      <c r="E79" s="1136">
        <v>41955</v>
      </c>
      <c r="F79" s="1137">
        <v>36000</v>
      </c>
      <c r="G79" s="1134">
        <v>10</v>
      </c>
      <c r="H79" s="1137">
        <v>34600</v>
      </c>
      <c r="I79" s="1134">
        <v>15</v>
      </c>
      <c r="J79" s="1138">
        <v>5915</v>
      </c>
      <c r="K79" s="1139"/>
      <c r="L79" s="1140">
        <v>42011</v>
      </c>
      <c r="M79" s="269">
        <f t="shared" si="0"/>
        <v>1</v>
      </c>
      <c r="N79" s="1141">
        <v>225</v>
      </c>
      <c r="O79" s="1087">
        <f t="shared" si="1"/>
        <v>3554.0800000000008</v>
      </c>
      <c r="P79" s="269">
        <f t="shared" si="2"/>
        <v>1</v>
      </c>
      <c r="Q79" s="269" t="str">
        <f t="shared" si="3"/>
        <v/>
      </c>
      <c r="R79" s="1147"/>
      <c r="S79" s="1143" t="str">
        <f t="shared" si="4"/>
        <v>Downsize</v>
      </c>
      <c r="T79" s="1144">
        <f t="shared" si="5"/>
        <v>2318.150289017341</v>
      </c>
      <c r="U79" s="1144">
        <f t="shared" si="6"/>
        <v>924.97109826589588</v>
      </c>
      <c r="V79" s="1146">
        <f t="shared" si="7"/>
        <v>12669.881240147137</v>
      </c>
      <c r="W79" s="1146">
        <f t="shared" si="8"/>
        <v>9112.3764705882368</v>
      </c>
      <c r="X79" s="1146">
        <f t="shared" si="9"/>
        <v>3557.5047695589001</v>
      </c>
      <c r="Y79" s="1146">
        <f t="shared" si="10"/>
        <v>10021.806610138769</v>
      </c>
      <c r="Z79" s="1146">
        <f t="shared" si="11"/>
        <v>9112.3764705882368</v>
      </c>
      <c r="AA79" s="1146">
        <f t="shared" si="12"/>
        <v>909.43013955053175</v>
      </c>
      <c r="AB79" s="1146">
        <f t="shared" si="13"/>
        <v>12177.163636363637</v>
      </c>
      <c r="AC79" s="1146">
        <f t="shared" si="14"/>
        <v>9112.3764705882368</v>
      </c>
      <c r="AD79" s="1146">
        <f t="shared" si="15"/>
        <v>3064.7871657754004</v>
      </c>
      <c r="AE79" s="1146">
        <f t="shared" si="16"/>
        <v>9632.0696864111505</v>
      </c>
      <c r="AF79" s="1146">
        <f t="shared" si="17"/>
        <v>9112.3764705882368</v>
      </c>
      <c r="AG79" s="1146">
        <f t="shared" si="18"/>
        <v>519.69321582291377</v>
      </c>
    </row>
    <row r="80" spans="2:33" ht="14.4">
      <c r="B80" s="1134">
        <v>4479465</v>
      </c>
      <c r="C80" s="1135"/>
      <c r="D80" s="1134">
        <v>145641</v>
      </c>
      <c r="E80" s="1136">
        <v>41915</v>
      </c>
      <c r="F80" s="1137">
        <v>48000</v>
      </c>
      <c r="G80" s="1134">
        <v>11</v>
      </c>
      <c r="H80" s="1137">
        <v>47500</v>
      </c>
      <c r="I80" s="1134">
        <v>15</v>
      </c>
      <c r="J80" s="1138">
        <v>7516</v>
      </c>
      <c r="K80" s="1139"/>
      <c r="L80" s="1140">
        <v>42011</v>
      </c>
      <c r="M80" s="269">
        <f t="shared" si="0"/>
        <v>1</v>
      </c>
      <c r="N80" s="1141">
        <v>300</v>
      </c>
      <c r="O80" s="1087">
        <f t="shared" si="1"/>
        <v>3289.2727272727288</v>
      </c>
      <c r="P80" s="269">
        <f t="shared" si="2"/>
        <v>1</v>
      </c>
      <c r="Q80" s="269" t="str">
        <f t="shared" si="3"/>
        <v/>
      </c>
      <c r="R80" s="1147"/>
      <c r="S80" s="1143" t="str">
        <f t="shared" si="4"/>
        <v>Downsize</v>
      </c>
      <c r="T80" s="1144">
        <f t="shared" si="5"/>
        <v>2251.4526315789476</v>
      </c>
      <c r="U80" s="1144">
        <f t="shared" si="6"/>
        <v>898.35789473684213</v>
      </c>
      <c r="V80" s="1146">
        <f t="shared" si="7"/>
        <v>15424.673684210527</v>
      </c>
      <c r="W80" s="1146">
        <f t="shared" si="8"/>
        <v>12149.835294117649</v>
      </c>
      <c r="X80" s="1146">
        <f t="shared" si="9"/>
        <v>3274.8383900928784</v>
      </c>
      <c r="Y80" s="1146">
        <f t="shared" si="10"/>
        <v>12977.946524848709</v>
      </c>
      <c r="Z80" s="1146">
        <f t="shared" si="11"/>
        <v>12149.835294117649</v>
      </c>
      <c r="AA80" s="1146">
        <f t="shared" si="12"/>
        <v>828.11123073105955</v>
      </c>
      <c r="AB80" s="1146">
        <f t="shared" si="13"/>
        <v>15264</v>
      </c>
      <c r="AC80" s="1146">
        <f t="shared" si="14"/>
        <v>12149.835294117649</v>
      </c>
      <c r="AD80" s="1146">
        <f t="shared" si="15"/>
        <v>3114.164705882351</v>
      </c>
      <c r="AE80" s="1146">
        <f t="shared" si="16"/>
        <v>12842.759581881535</v>
      </c>
      <c r="AF80" s="1146">
        <f t="shared" si="17"/>
        <v>12149.835294117649</v>
      </c>
      <c r="AG80" s="1146">
        <f t="shared" si="18"/>
        <v>692.92428776388624</v>
      </c>
    </row>
    <row r="81" spans="2:33" ht="14.4">
      <c r="B81" s="1134">
        <v>5625256</v>
      </c>
      <c r="C81" s="1135"/>
      <c r="D81" s="1134">
        <v>182541</v>
      </c>
      <c r="E81" s="1136">
        <v>41915</v>
      </c>
      <c r="F81" s="1137">
        <v>36000</v>
      </c>
      <c r="G81" s="1134">
        <v>13</v>
      </c>
      <c r="H81" s="1137">
        <v>35200</v>
      </c>
      <c r="I81" s="1134">
        <v>16</v>
      </c>
      <c r="J81" s="1138">
        <v>8928</v>
      </c>
      <c r="K81" s="1139"/>
      <c r="L81" s="1140">
        <v>42023</v>
      </c>
      <c r="M81" s="269">
        <f t="shared" si="0"/>
        <v>1</v>
      </c>
      <c r="N81" s="1141">
        <v>250</v>
      </c>
      <c r="O81" s="1087">
        <f t="shared" si="1"/>
        <v>1564.2461538461535</v>
      </c>
      <c r="P81" s="269">
        <f t="shared" si="2"/>
        <v>1</v>
      </c>
      <c r="Q81" s="269" t="str">
        <f t="shared" si="3"/>
        <v/>
      </c>
      <c r="R81" s="1147"/>
      <c r="S81" s="1143" t="str">
        <f t="shared" si="4"/>
        <v>Downsize</v>
      </c>
      <c r="T81" s="1144">
        <f t="shared" si="5"/>
        <v>2278.6363636363635</v>
      </c>
      <c r="U81" s="1144">
        <f t="shared" si="6"/>
        <v>909.20454545454538</v>
      </c>
      <c r="V81" s="1146">
        <f t="shared" si="7"/>
        <v>10560.89637635092</v>
      </c>
      <c r="W81" s="1146">
        <f t="shared" si="8"/>
        <v>8778.176470588236</v>
      </c>
      <c r="X81" s="1146">
        <f t="shared" si="9"/>
        <v>1782.719905762684</v>
      </c>
      <c r="Y81" s="1146">
        <f t="shared" si="10"/>
        <v>9850.9803611023126</v>
      </c>
      <c r="Z81" s="1146">
        <f t="shared" si="11"/>
        <v>8778.176470588236</v>
      </c>
      <c r="AA81" s="1146">
        <f t="shared" si="12"/>
        <v>1072.8038905140766</v>
      </c>
      <c r="AB81" s="1146">
        <f t="shared" si="13"/>
        <v>10326.209790209789</v>
      </c>
      <c r="AC81" s="1146">
        <f t="shared" si="14"/>
        <v>8778.176470588236</v>
      </c>
      <c r="AD81" s="1146">
        <f t="shared" si="15"/>
        <v>1548.0333196215524</v>
      </c>
      <c r="AE81" s="1146">
        <f t="shared" si="16"/>
        <v>9632.0696864111505</v>
      </c>
      <c r="AF81" s="1146">
        <f t="shared" si="17"/>
        <v>8778.176470588236</v>
      </c>
      <c r="AG81" s="1146">
        <f t="shared" si="18"/>
        <v>853.8932158229145</v>
      </c>
    </row>
    <row r="82" spans="2:33" ht="14.4">
      <c r="B82" s="1134">
        <v>1937606</v>
      </c>
      <c r="C82" s="1135"/>
      <c r="D82" s="1134">
        <v>193760</v>
      </c>
      <c r="E82" s="1136">
        <v>41838</v>
      </c>
      <c r="F82" s="1137">
        <v>28000</v>
      </c>
      <c r="G82" s="1134">
        <v>10</v>
      </c>
      <c r="H82" s="1137">
        <v>28000</v>
      </c>
      <c r="I82" s="1134">
        <v>15</v>
      </c>
      <c r="J82" s="1138">
        <v>3500</v>
      </c>
      <c r="K82" s="1139"/>
      <c r="L82" s="1140">
        <v>42023</v>
      </c>
      <c r="M82" s="269">
        <f t="shared" si="0"/>
        <v>1</v>
      </c>
      <c r="N82" s="1141">
        <v>175</v>
      </c>
      <c r="O82" s="1087">
        <f t="shared" si="1"/>
        <v>2564.8000000000002</v>
      </c>
      <c r="P82" s="269">
        <f t="shared" si="2"/>
        <v>1</v>
      </c>
      <c r="Q82" s="269" t="str">
        <f t="shared" si="3"/>
        <v/>
      </c>
      <c r="R82" s="1147"/>
      <c r="S82" s="1143" t="str">
        <f t="shared" si="4"/>
        <v>Same Size</v>
      </c>
      <c r="T82" s="1144">
        <f t="shared" si="5"/>
        <v>2228</v>
      </c>
      <c r="U82" s="1144">
        <f t="shared" si="6"/>
        <v>889</v>
      </c>
      <c r="V82" s="1146">
        <f t="shared" si="7"/>
        <v>9471.1272727272735</v>
      </c>
      <c r="W82" s="1146">
        <f t="shared" si="8"/>
        <v>7087.403921568628</v>
      </c>
      <c r="X82" s="1146">
        <f t="shared" si="9"/>
        <v>2383.7233511586455</v>
      </c>
      <c r="Y82" s="1146">
        <f t="shared" si="10"/>
        <v>7491.6097560975604</v>
      </c>
      <c r="Z82" s="1146">
        <f t="shared" si="11"/>
        <v>7087.403921568628</v>
      </c>
      <c r="AA82" s="1146">
        <f t="shared" si="12"/>
        <v>404.20583452893243</v>
      </c>
      <c r="AB82" s="1146">
        <f t="shared" si="13"/>
        <v>9471.1272727272735</v>
      </c>
      <c r="AC82" s="1146">
        <f t="shared" si="14"/>
        <v>7087.403921568628</v>
      </c>
      <c r="AD82" s="1146">
        <f t="shared" si="15"/>
        <v>2383.7233511586455</v>
      </c>
      <c r="AE82" s="1146">
        <f t="shared" si="16"/>
        <v>7491.6097560975604</v>
      </c>
      <c r="AF82" s="1146">
        <f t="shared" si="17"/>
        <v>7087.403921568628</v>
      </c>
      <c r="AG82" s="1146">
        <f t="shared" si="18"/>
        <v>404.20583452893243</v>
      </c>
    </row>
    <row r="83" spans="2:33" ht="14.4">
      <c r="B83" s="1134">
        <v>3116688</v>
      </c>
      <c r="C83" s="1135"/>
      <c r="D83" s="1134">
        <v>311668</v>
      </c>
      <c r="E83" s="1136">
        <v>41925</v>
      </c>
      <c r="F83" s="1137">
        <v>48000</v>
      </c>
      <c r="G83" s="1134">
        <v>11</v>
      </c>
      <c r="H83" s="1137">
        <v>46000</v>
      </c>
      <c r="I83" s="1134">
        <v>14</v>
      </c>
      <c r="J83" s="1138">
        <v>5494</v>
      </c>
      <c r="K83" s="1139"/>
      <c r="L83" s="1140">
        <v>42024</v>
      </c>
      <c r="M83" s="269">
        <f t="shared" si="0"/>
        <v>1</v>
      </c>
      <c r="N83" s="1141">
        <v>250</v>
      </c>
      <c r="O83" s="1087">
        <f t="shared" si="1"/>
        <v>2962.1298701298711</v>
      </c>
      <c r="P83" s="269">
        <f t="shared" si="2"/>
        <v>1</v>
      </c>
      <c r="Q83" s="269" t="str">
        <f t="shared" si="3"/>
        <v/>
      </c>
      <c r="R83" s="1147"/>
      <c r="S83" s="1143" t="str">
        <f t="shared" si="4"/>
        <v>Downsize</v>
      </c>
      <c r="T83" s="1144">
        <f t="shared" si="5"/>
        <v>2324.869565217391</v>
      </c>
      <c r="U83" s="1144">
        <f t="shared" si="6"/>
        <v>927.6521739130435</v>
      </c>
      <c r="V83" s="1146">
        <f t="shared" si="7"/>
        <v>15927.652173913044</v>
      </c>
      <c r="W83" s="1146">
        <f t="shared" si="8"/>
        <v>12659.092436974792</v>
      </c>
      <c r="X83" s="1146">
        <f t="shared" si="9"/>
        <v>3268.5597369382522</v>
      </c>
      <c r="Y83" s="1146">
        <f t="shared" si="10"/>
        <v>13401.140433267687</v>
      </c>
      <c r="Z83" s="1146">
        <f t="shared" si="11"/>
        <v>12659.092436974792</v>
      </c>
      <c r="AA83" s="1146">
        <f t="shared" si="12"/>
        <v>742.04799629289482</v>
      </c>
      <c r="AB83" s="1146">
        <f t="shared" si="13"/>
        <v>15264</v>
      </c>
      <c r="AC83" s="1146">
        <f t="shared" si="14"/>
        <v>12659.092436974792</v>
      </c>
      <c r="AD83" s="1146">
        <f t="shared" si="15"/>
        <v>2604.9075630252082</v>
      </c>
      <c r="AE83" s="1146">
        <f t="shared" si="16"/>
        <v>12842.759581881533</v>
      </c>
      <c r="AF83" s="1146">
        <f t="shared" si="17"/>
        <v>12659.092436974792</v>
      </c>
      <c r="AG83" s="1146">
        <f t="shared" si="18"/>
        <v>183.66714490674167</v>
      </c>
    </row>
    <row r="84" spans="2:33" ht="14.4">
      <c r="B84" s="1134">
        <v>2497774</v>
      </c>
      <c r="C84" s="1135"/>
      <c r="D84" s="1134">
        <v>249777</v>
      </c>
      <c r="E84" s="1136">
        <v>41984</v>
      </c>
      <c r="F84" s="1137">
        <v>57000</v>
      </c>
      <c r="G84" s="1134">
        <v>10</v>
      </c>
      <c r="H84" s="1137">
        <v>56000</v>
      </c>
      <c r="I84" s="1134">
        <v>16.50</v>
      </c>
      <c r="J84" s="1138">
        <v>9000</v>
      </c>
      <c r="K84" s="1139"/>
      <c r="L84" s="1140">
        <v>42024</v>
      </c>
      <c r="M84" s="269">
        <f t="shared" si="0"/>
        <v>1</v>
      </c>
      <c r="N84" s="1141">
        <v>425</v>
      </c>
      <c r="O84" s="1087">
        <f t="shared" si="1"/>
        <v>6337.0545454545454</v>
      </c>
      <c r="P84" s="269">
        <f t="shared" si="2"/>
        <v>1</v>
      </c>
      <c r="Q84" s="269" t="str">
        <f t="shared" si="3"/>
        <v/>
      </c>
      <c r="R84" s="1147"/>
      <c r="S84" s="1143" t="str">
        <f t="shared" si="4"/>
        <v>Downsize</v>
      </c>
      <c r="T84" s="1144">
        <f t="shared" si="5"/>
        <v>2267.7857142857142</v>
      </c>
      <c r="U84" s="1144">
        <f t="shared" si="6"/>
        <v>904.875</v>
      </c>
      <c r="V84" s="1146">
        <f t="shared" si="7"/>
        <v>19624.803896103895</v>
      </c>
      <c r="W84" s="1146">
        <f t="shared" si="8"/>
        <v>13658.256684491978</v>
      </c>
      <c r="X84" s="1146">
        <f t="shared" si="9"/>
        <v>5966.5472116119163</v>
      </c>
      <c r="Y84" s="1146">
        <f t="shared" si="10"/>
        <v>15523.11230711797</v>
      </c>
      <c r="Z84" s="1146">
        <f t="shared" si="11"/>
        <v>13658.256684491978</v>
      </c>
      <c r="AA84" s="1146">
        <f t="shared" si="12"/>
        <v>1864.8556226259916</v>
      </c>
      <c r="AB84" s="1146">
        <f t="shared" si="13"/>
        <v>19280.50909090909</v>
      </c>
      <c r="AC84" s="1146">
        <f t="shared" si="14"/>
        <v>13658.256684491978</v>
      </c>
      <c r="AD84" s="1146">
        <f t="shared" si="15"/>
        <v>5622.2524064171121</v>
      </c>
      <c r="AE84" s="1146">
        <f t="shared" si="16"/>
        <v>15250.777003484322</v>
      </c>
      <c r="AF84" s="1146">
        <f t="shared" si="17"/>
        <v>13658.256684491978</v>
      </c>
      <c r="AG84" s="1146">
        <f t="shared" si="18"/>
        <v>1592.5203189923432</v>
      </c>
    </row>
    <row r="85" spans="2:33" ht="14.4">
      <c r="B85" s="1134">
        <v>3613015</v>
      </c>
      <c r="C85" s="1135"/>
      <c r="D85" s="1134">
        <v>361301</v>
      </c>
      <c r="E85" s="1136">
        <v>41987</v>
      </c>
      <c r="F85" s="1137">
        <v>30000</v>
      </c>
      <c r="G85" s="1134">
        <v>10</v>
      </c>
      <c r="H85" s="1137">
        <v>31400</v>
      </c>
      <c r="I85" s="1134">
        <v>15</v>
      </c>
      <c r="J85" s="1138">
        <v>4380</v>
      </c>
      <c r="K85" s="1139"/>
      <c r="L85" s="1140">
        <v>42024</v>
      </c>
      <c r="M85" s="269">
        <f t="shared" si="0"/>
        <v>1</v>
      </c>
      <c r="N85" s="1141">
        <v>175</v>
      </c>
      <c r="O85" s="1087">
        <f t="shared" si="1"/>
        <v>2491.52</v>
      </c>
      <c r="P85" s="269">
        <f t="shared" si="2"/>
        <v>1</v>
      </c>
      <c r="Q85" s="269" t="str">
        <f t="shared" si="3"/>
        <v/>
      </c>
      <c r="R85" s="1147"/>
      <c r="S85" s="1143" t="str">
        <f t="shared" si="4"/>
        <v>Upsize</v>
      </c>
      <c r="T85" s="1144">
        <f t="shared" si="5"/>
        <v>2128.6624203821657</v>
      </c>
      <c r="U85" s="1144">
        <f t="shared" si="6"/>
        <v>849.36305732484072</v>
      </c>
      <c r="V85" s="1146">
        <f t="shared" si="7"/>
        <v>9695.1939779965251</v>
      </c>
      <c r="W85" s="1146">
        <f t="shared" si="8"/>
        <v>7593.6470588235297</v>
      </c>
      <c r="X85" s="1146">
        <f t="shared" si="9"/>
        <v>2101.5469191729953</v>
      </c>
      <c r="Y85" s="1146">
        <f t="shared" si="10"/>
        <v>7668.8452917286231</v>
      </c>
      <c r="Z85" s="1146">
        <f t="shared" si="11"/>
        <v>7593.6470588235297</v>
      </c>
      <c r="AA85" s="1146">
        <f t="shared" si="12"/>
        <v>75.198232905093391</v>
      </c>
      <c r="AB85" s="1146">
        <f t="shared" si="13"/>
        <v>10147.636363636362</v>
      </c>
      <c r="AC85" s="1146">
        <f t="shared" si="14"/>
        <v>7593.6470588235297</v>
      </c>
      <c r="AD85" s="1146">
        <f t="shared" si="15"/>
        <v>2553.9893048128324</v>
      </c>
      <c r="AE85" s="1146">
        <f t="shared" si="16"/>
        <v>8026.7247386759591</v>
      </c>
      <c r="AF85" s="1146">
        <f t="shared" si="17"/>
        <v>7593.6470588235297</v>
      </c>
      <c r="AG85" s="1146">
        <f t="shared" si="18"/>
        <v>433.07767985242936</v>
      </c>
    </row>
    <row r="86" spans="2:33" ht="14.4">
      <c r="B86" s="1134">
        <v>8821763</v>
      </c>
      <c r="C86" s="1135"/>
      <c r="D86" s="1134">
        <v>121064</v>
      </c>
      <c r="E86" s="1136">
        <v>41932</v>
      </c>
      <c r="F86" s="1137">
        <v>48000</v>
      </c>
      <c r="G86" s="1134">
        <v>10</v>
      </c>
      <c r="H86" s="1137">
        <v>46000</v>
      </c>
      <c r="I86" s="1134">
        <v>14</v>
      </c>
      <c r="J86" s="1138">
        <v>3000</v>
      </c>
      <c r="K86" s="1139"/>
      <c r="L86" s="1140">
        <v>42024</v>
      </c>
      <c r="M86" s="269">
        <f t="shared" si="0"/>
        <v>1</v>
      </c>
      <c r="N86" s="1141">
        <v>250</v>
      </c>
      <c r="O86" s="1087">
        <f t="shared" si="1"/>
        <v>4161.2571428571428</v>
      </c>
      <c r="P86" s="269">
        <f t="shared" si="2"/>
        <v>1</v>
      </c>
      <c r="Q86" s="269" t="str">
        <f t="shared" si="3"/>
        <v/>
      </c>
      <c r="R86" s="1147"/>
      <c r="S86" s="1143" t="str">
        <f t="shared" si="4"/>
        <v>Downsize</v>
      </c>
      <c r="T86" s="1144">
        <f t="shared" si="5"/>
        <v>2324.869565217391</v>
      </c>
      <c r="U86" s="1144">
        <f t="shared" si="6"/>
        <v>927.6521739130435</v>
      </c>
      <c r="V86" s="1146">
        <f t="shared" si="7"/>
        <v>16942.140711462449</v>
      </c>
      <c r="W86" s="1146">
        <f t="shared" si="8"/>
        <v>12659.092436974792</v>
      </c>
      <c r="X86" s="1146">
        <f t="shared" si="9"/>
        <v>4283.0482744876572</v>
      </c>
      <c r="Y86" s="1146">
        <f t="shared" si="10"/>
        <v>13401.140433267687</v>
      </c>
      <c r="Z86" s="1146">
        <f t="shared" si="11"/>
        <v>12659.092436974792</v>
      </c>
      <c r="AA86" s="1146">
        <f t="shared" si="12"/>
        <v>742.04799629289482</v>
      </c>
      <c r="AB86" s="1146">
        <f t="shared" si="13"/>
        <v>16236.21818181818</v>
      </c>
      <c r="AC86" s="1146">
        <f t="shared" si="14"/>
        <v>12659.092436974792</v>
      </c>
      <c r="AD86" s="1146">
        <f t="shared" si="15"/>
        <v>3577.125744843388</v>
      </c>
      <c r="AE86" s="1146">
        <f t="shared" si="16"/>
        <v>12842.759581881533</v>
      </c>
      <c r="AF86" s="1146">
        <f t="shared" si="17"/>
        <v>12659.092436974792</v>
      </c>
      <c r="AG86" s="1146">
        <f t="shared" si="18"/>
        <v>183.66714490674167</v>
      </c>
    </row>
    <row r="87" spans="2:33" ht="14.4">
      <c r="B87" s="1134">
        <v>8844932</v>
      </c>
      <c r="C87" s="1135"/>
      <c r="D87" s="1134">
        <v>419545</v>
      </c>
      <c r="E87" s="1136">
        <v>41991</v>
      </c>
      <c r="F87" s="1137">
        <v>56500</v>
      </c>
      <c r="G87" s="1134">
        <v>12</v>
      </c>
      <c r="H87" s="1137">
        <v>57000</v>
      </c>
      <c r="I87" s="1134">
        <v>15</v>
      </c>
      <c r="J87" s="1138">
        <v>6021</v>
      </c>
      <c r="K87" s="1139"/>
      <c r="L87" s="1140">
        <v>42024</v>
      </c>
      <c r="M87" s="269">
        <f t="shared" si="0"/>
        <v>1</v>
      </c>
      <c r="N87" s="1141">
        <v>375</v>
      </c>
      <c r="O87" s="1087">
        <f t="shared" si="1"/>
        <v>2496.0999999999995</v>
      </c>
      <c r="P87" s="269">
        <f t="shared" si="2"/>
        <v>1</v>
      </c>
      <c r="Q87" s="269" t="str">
        <f t="shared" si="3"/>
        <v/>
      </c>
      <c r="R87" s="1147"/>
      <c r="S87" s="1143" t="str">
        <f t="shared" si="4"/>
        <v>Upsize</v>
      </c>
      <c r="T87" s="1144">
        <f t="shared" si="5"/>
        <v>2208.4561403508769</v>
      </c>
      <c r="U87" s="1144">
        <f t="shared" si="6"/>
        <v>881.20175438596493</v>
      </c>
      <c r="V87" s="1146">
        <f t="shared" si="7"/>
        <v>16864.108585858587</v>
      </c>
      <c r="W87" s="1146">
        <f t="shared" si="8"/>
        <v>14301.36862745098</v>
      </c>
      <c r="X87" s="1146">
        <f t="shared" si="9"/>
        <v>2562.7399584076065</v>
      </c>
      <c r="Y87" s="1146">
        <f t="shared" si="10"/>
        <v>14984.393009963935</v>
      </c>
      <c r="Z87" s="1146">
        <f t="shared" si="11"/>
        <v>14301.36862745098</v>
      </c>
      <c r="AA87" s="1146">
        <f t="shared" si="12"/>
        <v>683.02438251295462</v>
      </c>
      <c r="AB87" s="1146">
        <f t="shared" si="13"/>
        <v>17013.348484848484</v>
      </c>
      <c r="AC87" s="1146">
        <f t="shared" si="14"/>
        <v>14301.36862745098</v>
      </c>
      <c r="AD87" s="1146">
        <f t="shared" si="15"/>
        <v>2711.979857397504</v>
      </c>
      <c r="AE87" s="1146">
        <f t="shared" si="16"/>
        <v>15116.998257839721</v>
      </c>
      <c r="AF87" s="1146">
        <f t="shared" si="17"/>
        <v>14301.36862745098</v>
      </c>
      <c r="AG87" s="1146">
        <f t="shared" si="18"/>
        <v>815.62963038874113</v>
      </c>
    </row>
    <row r="88" spans="2:33" ht="14.4">
      <c r="B88" s="1134">
        <v>8863976</v>
      </c>
      <c r="C88" s="1135"/>
      <c r="D88" s="1134">
        <v>562798</v>
      </c>
      <c r="E88" s="1136">
        <v>41841</v>
      </c>
      <c r="F88" s="1137">
        <v>36000</v>
      </c>
      <c r="G88" s="1134">
        <v>10</v>
      </c>
      <c r="H88" s="1137">
        <v>35800</v>
      </c>
      <c r="I88" s="1134">
        <v>14.50</v>
      </c>
      <c r="J88" s="1138">
        <v>5326</v>
      </c>
      <c r="K88" s="1139"/>
      <c r="L88" s="1140">
        <v>42025</v>
      </c>
      <c r="M88" s="269">
        <f t="shared" si="0"/>
        <v>1</v>
      </c>
      <c r="N88" s="1141">
        <v>175</v>
      </c>
      <c r="O88" s="1087">
        <f t="shared" si="1"/>
        <v>3108.0827586206892</v>
      </c>
      <c r="P88" s="269">
        <f t="shared" si="2"/>
        <v>1</v>
      </c>
      <c r="Q88" s="269" t="str">
        <f t="shared" si="3"/>
        <v/>
      </c>
      <c r="R88" s="1147"/>
      <c r="S88" s="1143" t="str">
        <f t="shared" si="4"/>
        <v>Downsize</v>
      </c>
      <c r="T88" s="1144">
        <f t="shared" si="5"/>
        <v>2240.4469273743016</v>
      </c>
      <c r="U88" s="1144">
        <f t="shared" si="6"/>
        <v>893.96648044692745</v>
      </c>
      <c r="V88" s="1146">
        <f t="shared" si="7"/>
        <v>12245.192483494158</v>
      </c>
      <c r="W88" s="1146">
        <f t="shared" si="8"/>
        <v>9296.7626774847868</v>
      </c>
      <c r="X88" s="1146">
        <f t="shared" si="9"/>
        <v>2948.4298060093715</v>
      </c>
      <c r="Y88" s="1146">
        <f t="shared" si="10"/>
        <v>9685.8801315866313</v>
      </c>
      <c r="Z88" s="1146">
        <f t="shared" si="11"/>
        <v>9296.7626774847868</v>
      </c>
      <c r="AA88" s="1146">
        <f t="shared" si="12"/>
        <v>389.11745410184449</v>
      </c>
      <c r="AB88" s="1146">
        <f t="shared" si="13"/>
        <v>12177.163636363635</v>
      </c>
      <c r="AC88" s="1146">
        <f t="shared" si="14"/>
        <v>9296.7626774847868</v>
      </c>
      <c r="AD88" s="1146">
        <f t="shared" si="15"/>
        <v>2880.4009588788485</v>
      </c>
      <c r="AE88" s="1146">
        <f t="shared" si="16"/>
        <v>9632.0696864111505</v>
      </c>
      <c r="AF88" s="1146">
        <f t="shared" si="17"/>
        <v>9296.7626774847868</v>
      </c>
      <c r="AG88" s="1146">
        <f t="shared" si="18"/>
        <v>335.30700892636378</v>
      </c>
    </row>
    <row r="89" spans="2:33" ht="14.4">
      <c r="B89" s="1134">
        <v>1443480</v>
      </c>
      <c r="C89" s="1135"/>
      <c r="D89" s="1134">
        <v>144348</v>
      </c>
      <c r="E89" s="1136">
        <v>41941</v>
      </c>
      <c r="F89" s="1137">
        <v>42000</v>
      </c>
      <c r="G89" s="1134">
        <v>12</v>
      </c>
      <c r="H89" s="1137">
        <v>48500</v>
      </c>
      <c r="I89" s="1134">
        <v>16</v>
      </c>
      <c r="J89" s="1138">
        <v>10695</v>
      </c>
      <c r="K89" s="1139"/>
      <c r="L89" s="1140">
        <v>42025</v>
      </c>
      <c r="M89" s="269">
        <f t="shared" si="0"/>
        <v>1</v>
      </c>
      <c r="N89" s="1141">
        <v>325</v>
      </c>
      <c r="O89" s="1087">
        <f t="shared" si="1"/>
        <v>1288.125</v>
      </c>
      <c r="P89" s="269">
        <f t="shared" si="2"/>
        <v>1</v>
      </c>
      <c r="Q89" s="269" t="str">
        <f t="shared" si="3"/>
        <v/>
      </c>
      <c r="R89" s="1147"/>
      <c r="S89" s="1143" t="str">
        <f t="shared" si="4"/>
        <v>Upsize</v>
      </c>
      <c r="T89" s="1144">
        <f t="shared" si="5"/>
        <v>1929.4020618556701</v>
      </c>
      <c r="U89" s="1144">
        <f t="shared" si="6"/>
        <v>769.85567010309285</v>
      </c>
      <c r="V89" s="1146">
        <f t="shared" si="7"/>
        <v>10952.119962511717</v>
      </c>
      <c r="W89" s="1146">
        <f t="shared" si="8"/>
        <v>10241.205882352942</v>
      </c>
      <c r="X89" s="1146">
        <f t="shared" si="9"/>
        <v>710.9140801587746</v>
      </c>
      <c r="Y89" s="1146">
        <f t="shared" si="10"/>
        <v>9731.3693738999264</v>
      </c>
      <c r="Z89" s="1146">
        <f t="shared" si="11"/>
        <v>10241.205882352942</v>
      </c>
      <c r="AA89" s="1146">
        <f t="shared" si="12"/>
        <v>-509.83650845301599</v>
      </c>
      <c r="AB89" s="1146">
        <f t="shared" si="13"/>
        <v>12647.09090909091</v>
      </c>
      <c r="AC89" s="1146">
        <f t="shared" si="14"/>
        <v>10241.205882352942</v>
      </c>
      <c r="AD89" s="1146">
        <f t="shared" si="15"/>
        <v>2405.8850267379676</v>
      </c>
      <c r="AE89" s="1146">
        <f t="shared" si="16"/>
        <v>11237.414634146342</v>
      </c>
      <c r="AF89" s="1146">
        <f t="shared" si="17"/>
        <v>10241.205882352942</v>
      </c>
      <c r="AG89" s="1146">
        <f t="shared" si="18"/>
        <v>996.20875179339964</v>
      </c>
    </row>
    <row r="90" spans="2:33" ht="14.4">
      <c r="B90" s="1134">
        <v>8397085</v>
      </c>
      <c r="C90" s="1135"/>
      <c r="D90" s="1134">
        <v>569742</v>
      </c>
      <c r="E90" s="1136">
        <v>41887</v>
      </c>
      <c r="F90" s="1137">
        <v>48000</v>
      </c>
      <c r="G90" s="1134">
        <v>13</v>
      </c>
      <c r="H90" s="1137">
        <v>48000</v>
      </c>
      <c r="I90" s="1134">
        <v>13</v>
      </c>
      <c r="J90" s="1138">
        <v>6656</v>
      </c>
      <c r="K90" s="1140">
        <v>42025</v>
      </c>
      <c r="L90" s="1140"/>
      <c r="M90" s="269">
        <f t="shared" si="0"/>
        <v>1</v>
      </c>
      <c r="N90" s="1141">
        <v>0</v>
      </c>
      <c r="O90" s="1087">
        <f t="shared" si="1"/>
        <v>0</v>
      </c>
      <c r="P90" s="269">
        <v>0</v>
      </c>
      <c r="Q90" s="269">
        <f t="shared" si="3"/>
        <v>1</v>
      </c>
      <c r="R90" s="1147"/>
      <c r="S90" s="1143" t="str">
        <f t="shared" si="4"/>
        <v>Same Size</v>
      </c>
      <c r="T90" s="1144">
        <f t="shared" si="5"/>
        <v>2228</v>
      </c>
      <c r="U90" s="1144">
        <f t="shared" si="6"/>
        <v>889</v>
      </c>
      <c r="V90" s="1146">
        <f t="shared" si="7"/>
        <v>0</v>
      </c>
      <c r="W90" s="1146">
        <f t="shared" si="8"/>
        <v>0</v>
      </c>
      <c r="X90" s="1146">
        <f t="shared" si="9"/>
        <v>0</v>
      </c>
      <c r="Y90" s="1146">
        <f t="shared" si="10"/>
        <v>0</v>
      </c>
      <c r="Z90" s="1146">
        <f t="shared" si="11"/>
        <v>0</v>
      </c>
      <c r="AA90" s="1146">
        <f t="shared" si="12"/>
        <v>0</v>
      </c>
      <c r="AB90" s="1146">
        <f t="shared" si="13"/>
        <v>0</v>
      </c>
      <c r="AC90" s="1146">
        <f t="shared" si="14"/>
        <v>0</v>
      </c>
      <c r="AD90" s="1146">
        <f t="shared" si="15"/>
        <v>0</v>
      </c>
      <c r="AE90" s="1146">
        <f t="shared" si="16"/>
        <v>0</v>
      </c>
      <c r="AF90" s="1146">
        <f t="shared" si="17"/>
        <v>0</v>
      </c>
      <c r="AG90" s="1146">
        <f t="shared" si="18"/>
        <v>0</v>
      </c>
    </row>
    <row r="91" spans="2:33" ht="14.4">
      <c r="B91" s="1134">
        <v>7692601</v>
      </c>
      <c r="C91" s="1135"/>
      <c r="D91" s="1134">
        <v>530860</v>
      </c>
      <c r="E91" s="1136">
        <v>41976</v>
      </c>
      <c r="F91" s="1137">
        <v>30000</v>
      </c>
      <c r="G91" s="1134">
        <v>12</v>
      </c>
      <c r="H91" s="1137">
        <v>32200</v>
      </c>
      <c r="I91" s="1134">
        <v>16</v>
      </c>
      <c r="J91" s="1138">
        <v>4255</v>
      </c>
      <c r="K91" s="1139"/>
      <c r="L91" s="1140">
        <v>42026</v>
      </c>
      <c r="M91" s="269">
        <f t="shared" si="0"/>
        <v>1</v>
      </c>
      <c r="N91" s="1141">
        <v>200</v>
      </c>
      <c r="O91" s="1087">
        <f t="shared" si="1"/>
        <v>1339.65</v>
      </c>
      <c r="P91" s="269">
        <f t="shared" si="19" ref="P91:P154">IF(L91&gt;0,1,"")</f>
        <v>1</v>
      </c>
      <c r="Q91" s="269" t="str">
        <f t="shared" si="3"/>
        <v/>
      </c>
      <c r="R91" s="1147"/>
      <c r="S91" s="1143" t="str">
        <f t="shared" si="4"/>
        <v>Upsize</v>
      </c>
      <c r="T91" s="1144">
        <f t="shared" si="5"/>
        <v>2075.7763975155281</v>
      </c>
      <c r="U91" s="1144">
        <f t="shared" si="6"/>
        <v>828.26086956521738</v>
      </c>
      <c r="V91" s="1146">
        <f t="shared" si="7"/>
        <v>8416.4313946922648</v>
      </c>
      <c r="W91" s="1146">
        <f t="shared" si="8"/>
        <v>7315.1470588235306</v>
      </c>
      <c r="X91" s="1146">
        <f t="shared" si="9"/>
        <v>1101.2843358687342</v>
      </c>
      <c r="Y91" s="1146">
        <f t="shared" si="10"/>
        <v>7478.3149739217006</v>
      </c>
      <c r="Z91" s="1146">
        <f t="shared" si="11"/>
        <v>7315.1470588235306</v>
      </c>
      <c r="AA91" s="1146">
        <f t="shared" si="12"/>
        <v>163.16791509816994</v>
      </c>
      <c r="AB91" s="1146">
        <f t="shared" si="13"/>
        <v>9033.636363636364</v>
      </c>
      <c r="AC91" s="1146">
        <f t="shared" si="14"/>
        <v>7315.1470588235306</v>
      </c>
      <c r="AD91" s="1146">
        <f t="shared" si="15"/>
        <v>1718.4893048128333</v>
      </c>
      <c r="AE91" s="1146">
        <f t="shared" si="16"/>
        <v>8026.7247386759591</v>
      </c>
      <c r="AF91" s="1146">
        <f t="shared" si="17"/>
        <v>7315.1470588235306</v>
      </c>
      <c r="AG91" s="1146">
        <f t="shared" si="18"/>
        <v>711.57767985242845</v>
      </c>
    </row>
    <row r="92" spans="2:33" ht="14.4">
      <c r="B92" s="1134">
        <v>8894240</v>
      </c>
      <c r="C92" s="1135"/>
      <c r="D92" s="1134">
        <v>8769478</v>
      </c>
      <c r="E92" s="1136">
        <v>41888</v>
      </c>
      <c r="F92" s="1137">
        <v>36000</v>
      </c>
      <c r="G92" s="1134">
        <v>10</v>
      </c>
      <c r="H92" s="1137">
        <v>36000</v>
      </c>
      <c r="I92" s="1134">
        <v>14</v>
      </c>
      <c r="J92" s="1138">
        <v>2400</v>
      </c>
      <c r="K92" s="1139"/>
      <c r="L92" s="1140">
        <v>42027</v>
      </c>
      <c r="M92" s="269">
        <f t="shared" si="0"/>
        <v>1</v>
      </c>
      <c r="N92" s="1141">
        <v>175</v>
      </c>
      <c r="O92" s="1087">
        <f t="shared" si="1"/>
        <v>2826.5142857142855</v>
      </c>
      <c r="P92" s="269">
        <f t="shared" si="19"/>
        <v>1</v>
      </c>
      <c r="Q92" s="269" t="str">
        <f t="shared" si="3"/>
        <v/>
      </c>
      <c r="R92" s="1147"/>
      <c r="S92" s="1143" t="str">
        <f t="shared" si="4"/>
        <v>Same Size</v>
      </c>
      <c r="T92" s="1144">
        <f t="shared" si="5"/>
        <v>2228</v>
      </c>
      <c r="U92" s="1144">
        <f t="shared" si="6"/>
        <v>889</v>
      </c>
      <c r="V92" s="1146">
        <f t="shared" si="7"/>
        <v>12177.163636363635</v>
      </c>
      <c r="W92" s="1146">
        <f t="shared" si="8"/>
        <v>9494.3193277310929</v>
      </c>
      <c r="X92" s="1146">
        <f t="shared" si="9"/>
        <v>2682.8443086325424</v>
      </c>
      <c r="Y92" s="1146">
        <f t="shared" si="10"/>
        <v>9632.0696864111487</v>
      </c>
      <c r="Z92" s="1146">
        <f t="shared" si="11"/>
        <v>9494.3193277310929</v>
      </c>
      <c r="AA92" s="1146">
        <f t="shared" si="12"/>
        <v>137.7503586800558</v>
      </c>
      <c r="AB92" s="1146">
        <f t="shared" si="13"/>
        <v>12177.163636363635</v>
      </c>
      <c r="AC92" s="1146">
        <f t="shared" si="14"/>
        <v>9494.3193277310929</v>
      </c>
      <c r="AD92" s="1146">
        <f t="shared" si="15"/>
        <v>2682.8443086325424</v>
      </c>
      <c r="AE92" s="1146">
        <f t="shared" si="16"/>
        <v>9632.0696864111487</v>
      </c>
      <c r="AF92" s="1146">
        <f t="shared" si="17"/>
        <v>9494.3193277310929</v>
      </c>
      <c r="AG92" s="1146">
        <f t="shared" si="18"/>
        <v>137.7503586800558</v>
      </c>
    </row>
    <row r="93" spans="2:33" ht="14.4">
      <c r="B93" s="1134">
        <v>889220</v>
      </c>
      <c r="C93" s="1135"/>
      <c r="D93" s="1134">
        <v>88922</v>
      </c>
      <c r="E93" s="1136">
        <v>41976</v>
      </c>
      <c r="F93" s="1137">
        <v>24000</v>
      </c>
      <c r="G93" s="1134">
        <v>10</v>
      </c>
      <c r="H93" s="1137">
        <v>24000</v>
      </c>
      <c r="I93" s="1134">
        <v>15</v>
      </c>
      <c r="J93" s="1138">
        <v>5626</v>
      </c>
      <c r="K93" s="1139"/>
      <c r="L93" s="1140">
        <v>42027</v>
      </c>
      <c r="M93" s="269">
        <f t="shared" si="0"/>
        <v>1</v>
      </c>
      <c r="N93" s="1141">
        <v>150</v>
      </c>
      <c r="O93" s="1087">
        <f t="shared" si="1"/>
        <v>2198.40</v>
      </c>
      <c r="P93" s="269">
        <f t="shared" si="19"/>
        <v>1</v>
      </c>
      <c r="Q93" s="269" t="str">
        <f t="shared" si="3"/>
        <v/>
      </c>
      <c r="R93" s="1147"/>
      <c r="S93" s="1143" t="str">
        <f t="shared" si="4"/>
        <v>Same Size</v>
      </c>
      <c r="T93" s="1144">
        <f t="shared" si="5"/>
        <v>2228</v>
      </c>
      <c r="U93" s="1144">
        <f t="shared" si="6"/>
        <v>889</v>
      </c>
      <c r="V93" s="1146">
        <f t="shared" si="7"/>
        <v>8118.1090909090908</v>
      </c>
      <c r="W93" s="1146">
        <f t="shared" si="8"/>
        <v>6074.9176470588236</v>
      </c>
      <c r="X93" s="1146">
        <f t="shared" si="9"/>
        <v>2043.1914438502672</v>
      </c>
      <c r="Y93" s="1146">
        <f t="shared" si="10"/>
        <v>6421.3797909407658</v>
      </c>
      <c r="Z93" s="1146">
        <f t="shared" si="11"/>
        <v>6074.9176470588236</v>
      </c>
      <c r="AA93" s="1146">
        <f t="shared" si="12"/>
        <v>346.46214388194221</v>
      </c>
      <c r="AB93" s="1146">
        <f t="shared" si="13"/>
        <v>8118.1090909090908</v>
      </c>
      <c r="AC93" s="1146">
        <f t="shared" si="14"/>
        <v>6074.9176470588236</v>
      </c>
      <c r="AD93" s="1146">
        <f t="shared" si="15"/>
        <v>2043.1914438502672</v>
      </c>
      <c r="AE93" s="1146">
        <f t="shared" si="16"/>
        <v>6421.3797909407658</v>
      </c>
      <c r="AF93" s="1146">
        <f t="shared" si="17"/>
        <v>6074.9176470588236</v>
      </c>
      <c r="AG93" s="1146">
        <f t="shared" si="18"/>
        <v>346.46214388194221</v>
      </c>
    </row>
    <row r="94" spans="2:33" ht="14.4">
      <c r="B94" s="1134">
        <v>8865779</v>
      </c>
      <c r="C94" s="1135"/>
      <c r="D94" s="1134">
        <v>8767946</v>
      </c>
      <c r="E94" s="1136">
        <v>41969</v>
      </c>
      <c r="F94" s="1137">
        <v>60000</v>
      </c>
      <c r="G94" s="1134">
        <v>10</v>
      </c>
      <c r="H94" s="1137">
        <v>60000</v>
      </c>
      <c r="I94" s="1134">
        <v>16</v>
      </c>
      <c r="J94" s="1138">
        <v>4190</v>
      </c>
      <c r="K94" s="1139"/>
      <c r="L94" s="1140">
        <v>42027</v>
      </c>
      <c r="M94" s="269">
        <f t="shared" si="0"/>
        <v>1</v>
      </c>
      <c r="N94" s="1141">
        <v>425</v>
      </c>
      <c r="O94" s="1087">
        <f t="shared" si="1"/>
        <v>6183.0000000000009</v>
      </c>
      <c r="P94" s="269">
        <f t="shared" si="19"/>
        <v>1</v>
      </c>
      <c r="Q94" s="269" t="str">
        <f t="shared" si="3"/>
        <v/>
      </c>
      <c r="R94" s="1147"/>
      <c r="S94" s="1143" t="str">
        <f t="shared" si="4"/>
        <v>Same Size</v>
      </c>
      <c r="T94" s="1144">
        <f t="shared" si="5"/>
        <v>2228</v>
      </c>
      <c r="U94" s="1144">
        <f t="shared" si="6"/>
        <v>889</v>
      </c>
      <c r="V94" s="1146">
        <f t="shared" si="7"/>
        <v>20295.272727272728</v>
      </c>
      <c r="W94" s="1146">
        <f t="shared" si="8"/>
        <v>14630.29411764706</v>
      </c>
      <c r="X94" s="1146">
        <f t="shared" si="9"/>
        <v>5664.9786096256685</v>
      </c>
      <c r="Y94" s="1146">
        <f t="shared" si="10"/>
        <v>16053.449477351916</v>
      </c>
      <c r="Z94" s="1146">
        <f t="shared" si="11"/>
        <v>14630.29411764706</v>
      </c>
      <c r="AA94" s="1146">
        <f t="shared" si="12"/>
        <v>1423.1553597048569</v>
      </c>
      <c r="AB94" s="1146">
        <f t="shared" si="13"/>
        <v>20295.272727272728</v>
      </c>
      <c r="AC94" s="1146">
        <f t="shared" si="14"/>
        <v>14630.29411764706</v>
      </c>
      <c r="AD94" s="1146">
        <f t="shared" si="15"/>
        <v>5664.9786096256685</v>
      </c>
      <c r="AE94" s="1146">
        <f t="shared" si="16"/>
        <v>16053.449477351916</v>
      </c>
      <c r="AF94" s="1146">
        <f t="shared" si="17"/>
        <v>14630.29411764706</v>
      </c>
      <c r="AG94" s="1146">
        <f t="shared" si="18"/>
        <v>1423.1553597048569</v>
      </c>
    </row>
    <row r="95" spans="2:33" ht="14.4">
      <c r="B95" s="1134">
        <v>7085707</v>
      </c>
      <c r="C95" s="1135"/>
      <c r="D95" s="1134">
        <v>500628</v>
      </c>
      <c r="E95" s="1136">
        <v>41963</v>
      </c>
      <c r="F95" s="1137">
        <v>42000</v>
      </c>
      <c r="G95" s="1134">
        <v>10</v>
      </c>
      <c r="H95" s="1137">
        <v>42000</v>
      </c>
      <c r="I95" s="1134">
        <v>16</v>
      </c>
      <c r="J95" s="1138">
        <v>4550</v>
      </c>
      <c r="K95" s="1139"/>
      <c r="L95" s="1140">
        <v>42027</v>
      </c>
      <c r="M95" s="269">
        <f t="shared" si="0"/>
        <v>1</v>
      </c>
      <c r="N95" s="1141">
        <v>250</v>
      </c>
      <c r="O95" s="1087">
        <f t="shared" si="1"/>
        <v>4328.1000000000004</v>
      </c>
      <c r="P95" s="269">
        <f t="shared" si="19"/>
        <v>1</v>
      </c>
      <c r="Q95" s="269" t="str">
        <f t="shared" si="3"/>
        <v/>
      </c>
      <c r="R95" s="1147"/>
      <c r="S95" s="1143" t="str">
        <f t="shared" si="4"/>
        <v>Same Size</v>
      </c>
      <c r="T95" s="1144">
        <f t="shared" si="5"/>
        <v>2228</v>
      </c>
      <c r="U95" s="1144">
        <f t="shared" si="6"/>
        <v>889</v>
      </c>
      <c r="V95" s="1146">
        <f t="shared" si="7"/>
        <v>14206.690909090909</v>
      </c>
      <c r="W95" s="1146">
        <f t="shared" si="8"/>
        <v>10241.205882352941</v>
      </c>
      <c r="X95" s="1146">
        <f t="shared" si="9"/>
        <v>3965.4850267379679</v>
      </c>
      <c r="Y95" s="1146">
        <f t="shared" si="10"/>
        <v>11237.41463414634</v>
      </c>
      <c r="Z95" s="1146">
        <f t="shared" si="11"/>
        <v>10241.205882352941</v>
      </c>
      <c r="AA95" s="1146">
        <f t="shared" si="12"/>
        <v>996.20875179339964</v>
      </c>
      <c r="AB95" s="1146">
        <f t="shared" si="13"/>
        <v>14206.690909090909</v>
      </c>
      <c r="AC95" s="1146">
        <f t="shared" si="14"/>
        <v>10241.205882352941</v>
      </c>
      <c r="AD95" s="1146">
        <f t="shared" si="15"/>
        <v>3965.4850267379679</v>
      </c>
      <c r="AE95" s="1146">
        <f t="shared" si="16"/>
        <v>11237.41463414634</v>
      </c>
      <c r="AF95" s="1146">
        <f t="shared" si="17"/>
        <v>10241.205882352941</v>
      </c>
      <c r="AG95" s="1146">
        <f t="shared" si="18"/>
        <v>996.20875179339964</v>
      </c>
    </row>
    <row r="96" spans="2:33" ht="14.4">
      <c r="B96" s="1134">
        <v>1483312</v>
      </c>
      <c r="C96" s="1135"/>
      <c r="D96" s="1134">
        <v>148331</v>
      </c>
      <c r="E96" s="1136">
        <v>41962</v>
      </c>
      <c r="F96" s="1137">
        <v>48000</v>
      </c>
      <c r="G96" s="1134">
        <v>12</v>
      </c>
      <c r="H96" s="1137">
        <v>47500</v>
      </c>
      <c r="I96" s="1134">
        <v>15</v>
      </c>
      <c r="J96" s="1138">
        <v>5175</v>
      </c>
      <c r="K96" s="1139"/>
      <c r="L96" s="1140">
        <v>42027</v>
      </c>
      <c r="M96" s="269">
        <f t="shared" si="0"/>
        <v>1</v>
      </c>
      <c r="N96" s="1141">
        <v>300</v>
      </c>
      <c r="O96" s="1087">
        <f t="shared" si="1"/>
        <v>2290.0000000000005</v>
      </c>
      <c r="P96" s="269">
        <f t="shared" si="19"/>
        <v>1</v>
      </c>
      <c r="Q96" s="269" t="str">
        <f t="shared" si="3"/>
        <v/>
      </c>
      <c r="R96" s="1147"/>
      <c r="S96" s="1143" t="str">
        <f t="shared" si="4"/>
        <v>Downsize</v>
      </c>
      <c r="T96" s="1144">
        <f t="shared" si="5"/>
        <v>2251.4526315789476</v>
      </c>
      <c r="U96" s="1144">
        <f t="shared" si="6"/>
        <v>898.35789473684213</v>
      </c>
      <c r="V96" s="1146">
        <f t="shared" si="7"/>
        <v>14605.963636363638</v>
      </c>
      <c r="W96" s="1146">
        <f t="shared" si="8"/>
        <v>12149.835294117649</v>
      </c>
      <c r="X96" s="1146">
        <f t="shared" si="9"/>
        <v>2456.1283422459892</v>
      </c>
      <c r="Y96" s="1146">
        <f t="shared" si="10"/>
        <v>12977.946524848709</v>
      </c>
      <c r="Z96" s="1146">
        <f t="shared" si="11"/>
        <v>12149.835294117649</v>
      </c>
      <c r="AA96" s="1146">
        <f t="shared" si="12"/>
        <v>828.11123073105955</v>
      </c>
      <c r="AB96" s="1146">
        <f t="shared" si="13"/>
        <v>14453.818181818182</v>
      </c>
      <c r="AC96" s="1146">
        <f t="shared" si="14"/>
        <v>12149.835294117649</v>
      </c>
      <c r="AD96" s="1146">
        <f t="shared" si="15"/>
        <v>2303.982887700533</v>
      </c>
      <c r="AE96" s="1146">
        <f t="shared" si="16"/>
        <v>12842.759581881535</v>
      </c>
      <c r="AF96" s="1146">
        <f t="shared" si="17"/>
        <v>12149.835294117649</v>
      </c>
      <c r="AG96" s="1146">
        <f t="shared" si="18"/>
        <v>692.92428776388624</v>
      </c>
    </row>
    <row r="97" spans="2:33" ht="14.4">
      <c r="B97" s="1134">
        <v>4955951</v>
      </c>
      <c r="C97" s="1135"/>
      <c r="D97" s="1134">
        <v>469732</v>
      </c>
      <c r="E97" s="1136">
        <v>41963</v>
      </c>
      <c r="F97" s="1137">
        <v>42000</v>
      </c>
      <c r="G97" s="1134">
        <v>13</v>
      </c>
      <c r="H97" s="1137">
        <v>41500</v>
      </c>
      <c r="I97" s="1134">
        <v>15</v>
      </c>
      <c r="J97" s="1138">
        <v>5100</v>
      </c>
      <c r="K97" s="1139"/>
      <c r="L97" s="1140">
        <v>42027</v>
      </c>
      <c r="M97" s="269">
        <f t="shared" si="0"/>
        <v>1</v>
      </c>
      <c r="N97" s="1141">
        <v>225</v>
      </c>
      <c r="O97" s="1087">
        <f t="shared" si="1"/>
        <v>1275.3538461538471</v>
      </c>
      <c r="P97" s="269">
        <f t="shared" si="19"/>
        <v>1</v>
      </c>
      <c r="Q97" s="269" t="str">
        <f t="shared" si="3"/>
        <v/>
      </c>
      <c r="R97" s="1147"/>
      <c r="S97" s="1143" t="str">
        <f t="shared" si="4"/>
        <v>Downsize</v>
      </c>
      <c r="T97" s="1144">
        <f t="shared" si="5"/>
        <v>2254.8433734939758</v>
      </c>
      <c r="U97" s="1144">
        <f t="shared" si="6"/>
        <v>899.71084337349396</v>
      </c>
      <c r="V97" s="1146">
        <f t="shared" si="7"/>
        <v>12192.392282416378</v>
      </c>
      <c r="W97" s="1146">
        <f t="shared" si="8"/>
        <v>10631.10588235294</v>
      </c>
      <c r="X97" s="1146">
        <f t="shared" si="9"/>
        <v>1561.2864000634381</v>
      </c>
      <c r="Y97" s="1146">
        <f t="shared" si="10"/>
        <v>11372.805171907141</v>
      </c>
      <c r="Z97" s="1146">
        <f t="shared" si="11"/>
        <v>10631.10588235294</v>
      </c>
      <c r="AA97" s="1146">
        <f t="shared" si="12"/>
        <v>741.69928955420073</v>
      </c>
      <c r="AB97" s="1146">
        <f t="shared" si="13"/>
        <v>12047.244755244756</v>
      </c>
      <c r="AC97" s="1146">
        <f t="shared" si="14"/>
        <v>10631.10588235294</v>
      </c>
      <c r="AD97" s="1146">
        <f t="shared" si="15"/>
        <v>1416.1388728918155</v>
      </c>
      <c r="AE97" s="1146">
        <f t="shared" si="16"/>
        <v>11237.414634146342</v>
      </c>
      <c r="AF97" s="1146">
        <f t="shared" si="17"/>
        <v>10631.10588235294</v>
      </c>
      <c r="AG97" s="1146">
        <f t="shared" si="18"/>
        <v>606.30875179340183</v>
      </c>
    </row>
    <row r="98" spans="2:33" ht="14.4">
      <c r="B98" s="1134">
        <v>6064224</v>
      </c>
      <c r="C98" s="1135"/>
      <c r="D98" s="1134">
        <v>589161</v>
      </c>
      <c r="E98" s="1136">
        <v>41879</v>
      </c>
      <c r="F98" s="1137">
        <v>42000</v>
      </c>
      <c r="G98" s="1134">
        <v>10</v>
      </c>
      <c r="H98" s="1137">
        <v>41500</v>
      </c>
      <c r="I98" s="1134">
        <v>14.50</v>
      </c>
      <c r="J98" s="1138">
        <v>5821</v>
      </c>
      <c r="K98" s="1139"/>
      <c r="L98" s="1140">
        <v>42027</v>
      </c>
      <c r="M98" s="269">
        <f t="shared" si="0"/>
        <v>1</v>
      </c>
      <c r="N98" s="1141">
        <v>225</v>
      </c>
      <c r="O98" s="1087">
        <f t="shared" si="1"/>
        <v>3676.6344827586208</v>
      </c>
      <c r="P98" s="269">
        <f t="shared" si="19"/>
        <v>1</v>
      </c>
      <c r="Q98" s="269" t="str">
        <f t="shared" si="3"/>
        <v/>
      </c>
      <c r="R98" s="1147"/>
      <c r="S98" s="1143" t="str">
        <f t="shared" si="4"/>
        <v>Downsize</v>
      </c>
      <c r="T98" s="1144">
        <f t="shared" si="5"/>
        <v>2254.8433734939758</v>
      </c>
      <c r="U98" s="1144">
        <f t="shared" si="6"/>
        <v>899.71084337349396</v>
      </c>
      <c r="V98" s="1146">
        <f t="shared" si="7"/>
        <v>14377.855859802847</v>
      </c>
      <c r="W98" s="1146">
        <f t="shared" si="8"/>
        <v>10846.22312373225</v>
      </c>
      <c r="X98" s="1146">
        <f t="shared" si="9"/>
        <v>3531.6327360705964</v>
      </c>
      <c r="Y98" s="1146">
        <f t="shared" si="10"/>
        <v>11372.805171907141</v>
      </c>
      <c r="Z98" s="1146">
        <f t="shared" si="11"/>
        <v>10846.22312373225</v>
      </c>
      <c r="AA98" s="1146">
        <f t="shared" si="12"/>
        <v>526.58204817489059</v>
      </c>
      <c r="AB98" s="1146">
        <f t="shared" si="13"/>
        <v>14206.690909090907</v>
      </c>
      <c r="AC98" s="1146">
        <f t="shared" si="14"/>
        <v>10846.22312373225</v>
      </c>
      <c r="AD98" s="1146">
        <f t="shared" si="15"/>
        <v>3360.4677853586563</v>
      </c>
      <c r="AE98" s="1146">
        <f t="shared" si="16"/>
        <v>11237.414634146342</v>
      </c>
      <c r="AF98" s="1146">
        <f t="shared" si="17"/>
        <v>10846.22312373225</v>
      </c>
      <c r="AG98" s="1146">
        <f t="shared" si="18"/>
        <v>391.19151041409168</v>
      </c>
    </row>
    <row r="99" spans="2:33" ht="14.4">
      <c r="B99" s="1134">
        <v>1401512</v>
      </c>
      <c r="C99" s="1135"/>
      <c r="D99" s="1134">
        <v>140151</v>
      </c>
      <c r="E99" s="1136">
        <v>41974</v>
      </c>
      <c r="F99" s="1137">
        <v>36000</v>
      </c>
      <c r="G99" s="1134">
        <v>10</v>
      </c>
      <c r="H99" s="1137">
        <v>34800</v>
      </c>
      <c r="I99" s="1134">
        <v>15.20</v>
      </c>
      <c r="J99" s="1138">
        <v>5117</v>
      </c>
      <c r="K99" s="1139"/>
      <c r="L99" s="1140">
        <v>42027</v>
      </c>
      <c r="M99" s="269">
        <f t="shared" si="0"/>
        <v>1</v>
      </c>
      <c r="N99" s="1141">
        <v>225</v>
      </c>
      <c r="O99" s="1087">
        <f t="shared" si="1"/>
        <v>3601.3263157894744</v>
      </c>
      <c r="P99" s="269">
        <f t="shared" si="19"/>
        <v>1</v>
      </c>
      <c r="Q99" s="269" t="str">
        <f t="shared" si="3"/>
        <v/>
      </c>
      <c r="R99" s="1147"/>
      <c r="S99" s="1143" t="str">
        <f t="shared" si="4"/>
        <v>Downsize</v>
      </c>
      <c r="T99" s="1144">
        <f t="shared" si="5"/>
        <v>2304.8275862068967</v>
      </c>
      <c r="U99" s="1144">
        <f t="shared" si="6"/>
        <v>919.65517241379314</v>
      </c>
      <c r="V99" s="1146">
        <f t="shared" si="7"/>
        <v>12597.065830721003</v>
      </c>
      <c r="W99" s="1146">
        <f t="shared" si="8"/>
        <v>9042.0185758513926</v>
      </c>
      <c r="X99" s="1146">
        <f t="shared" si="9"/>
        <v>3555.0472548696107</v>
      </c>
      <c r="Y99" s="1146">
        <f t="shared" si="10"/>
        <v>9964.2100204253293</v>
      </c>
      <c r="Z99" s="1146">
        <f t="shared" si="11"/>
        <v>9042.0185758513926</v>
      </c>
      <c r="AA99" s="1146">
        <f t="shared" si="12"/>
        <v>922.19144457393668</v>
      </c>
      <c r="AB99" s="1146">
        <f t="shared" si="13"/>
        <v>12177.163636363635</v>
      </c>
      <c r="AC99" s="1146">
        <f t="shared" si="14"/>
        <v>9042.0185758513926</v>
      </c>
      <c r="AD99" s="1146">
        <f t="shared" si="15"/>
        <v>3135.1450605122427</v>
      </c>
      <c r="AE99" s="1146">
        <f t="shared" si="16"/>
        <v>9632.0696864111505</v>
      </c>
      <c r="AF99" s="1146">
        <f t="shared" si="17"/>
        <v>9042.0185758513926</v>
      </c>
      <c r="AG99" s="1146">
        <f t="shared" si="18"/>
        <v>590.05111055975794</v>
      </c>
    </row>
    <row r="100" spans="2:33" ht="14.4">
      <c r="B100" s="1134">
        <v>2570497</v>
      </c>
      <c r="C100" s="1135"/>
      <c r="D100" s="1134">
        <v>139181</v>
      </c>
      <c r="E100" s="1136">
        <v>41967</v>
      </c>
      <c r="F100" s="1137">
        <v>48000</v>
      </c>
      <c r="G100" s="1134">
        <v>10</v>
      </c>
      <c r="H100" s="1137">
        <v>48000</v>
      </c>
      <c r="I100" s="1134">
        <v>20</v>
      </c>
      <c r="J100" s="1138">
        <v>5200</v>
      </c>
      <c r="K100" s="1139"/>
      <c r="L100" s="1140">
        <v>42027</v>
      </c>
      <c r="M100" s="269">
        <f t="shared" si="0"/>
        <v>1</v>
      </c>
      <c r="N100" s="1141">
        <v>400</v>
      </c>
      <c r="O100" s="1087">
        <f t="shared" si="1"/>
        <v>6595.2000000000007</v>
      </c>
      <c r="P100" s="269">
        <f t="shared" si="19"/>
        <v>1</v>
      </c>
      <c r="Q100" s="269" t="str">
        <f t="shared" si="3"/>
        <v/>
      </c>
      <c r="R100" s="1147"/>
      <c r="S100" s="1143" t="str">
        <f t="shared" si="4"/>
        <v>Same Size</v>
      </c>
      <c r="T100" s="1144">
        <f t="shared" si="5"/>
        <v>2228</v>
      </c>
      <c r="U100" s="1144">
        <f t="shared" si="6"/>
        <v>889</v>
      </c>
      <c r="V100" s="1146">
        <f t="shared" si="7"/>
        <v>16236.218181818182</v>
      </c>
      <c r="W100" s="1146">
        <f t="shared" si="8"/>
        <v>10367.435294117648</v>
      </c>
      <c r="X100" s="1146">
        <f t="shared" si="9"/>
        <v>5868.782887700534</v>
      </c>
      <c r="Y100" s="1146">
        <f t="shared" si="10"/>
        <v>12842.759581881532</v>
      </c>
      <c r="Z100" s="1146">
        <f t="shared" si="11"/>
        <v>10367.435294117648</v>
      </c>
      <c r="AA100" s="1146">
        <f t="shared" si="12"/>
        <v>2475.3242877638841</v>
      </c>
      <c r="AB100" s="1146">
        <f t="shared" si="13"/>
        <v>16236.218181818182</v>
      </c>
      <c r="AC100" s="1146">
        <f t="shared" si="14"/>
        <v>10367.435294117648</v>
      </c>
      <c r="AD100" s="1146">
        <f t="shared" si="15"/>
        <v>5868.782887700534</v>
      </c>
      <c r="AE100" s="1146">
        <f t="shared" si="16"/>
        <v>12842.759581881532</v>
      </c>
      <c r="AF100" s="1146">
        <f t="shared" si="17"/>
        <v>10367.435294117648</v>
      </c>
      <c r="AG100" s="1146">
        <f t="shared" si="18"/>
        <v>2475.3242877638841</v>
      </c>
    </row>
    <row r="101" spans="2:33" ht="14.4">
      <c r="B101" s="1134">
        <v>8833781</v>
      </c>
      <c r="C101" s="1135"/>
      <c r="D101" s="1134">
        <v>533129</v>
      </c>
      <c r="E101" s="1136">
        <v>41760</v>
      </c>
      <c r="F101" s="1137">
        <v>36000</v>
      </c>
      <c r="G101" s="1134">
        <v>10</v>
      </c>
      <c r="H101" s="1137">
        <v>36000</v>
      </c>
      <c r="I101" s="1134">
        <v>14</v>
      </c>
      <c r="J101" s="1138">
        <v>4200</v>
      </c>
      <c r="K101" s="1139"/>
      <c r="L101" s="1140">
        <v>42027</v>
      </c>
      <c r="M101" s="269">
        <f t="shared" si="0"/>
        <v>1</v>
      </c>
      <c r="N101" s="1141">
        <v>175</v>
      </c>
      <c r="O101" s="1087">
        <f t="shared" si="1"/>
        <v>2826.5142857142855</v>
      </c>
      <c r="P101" s="269">
        <f t="shared" si="19"/>
        <v>1</v>
      </c>
      <c r="Q101" s="269" t="str">
        <f t="shared" si="3"/>
        <v/>
      </c>
      <c r="R101" s="1147"/>
      <c r="S101" s="1143" t="str">
        <f t="shared" si="4"/>
        <v>Same Size</v>
      </c>
      <c r="T101" s="1144">
        <f t="shared" si="5"/>
        <v>2228</v>
      </c>
      <c r="U101" s="1144">
        <f t="shared" si="6"/>
        <v>889</v>
      </c>
      <c r="V101" s="1146">
        <f t="shared" si="7"/>
        <v>12177.163636363635</v>
      </c>
      <c r="W101" s="1146">
        <f t="shared" si="8"/>
        <v>9494.3193277310929</v>
      </c>
      <c r="X101" s="1146">
        <f t="shared" si="9"/>
        <v>2682.8443086325424</v>
      </c>
      <c r="Y101" s="1146">
        <f t="shared" si="10"/>
        <v>9632.0696864111487</v>
      </c>
      <c r="Z101" s="1146">
        <f t="shared" si="11"/>
        <v>9494.3193277310929</v>
      </c>
      <c r="AA101" s="1146">
        <f t="shared" si="12"/>
        <v>137.7503586800558</v>
      </c>
      <c r="AB101" s="1146">
        <f t="shared" si="13"/>
        <v>12177.163636363635</v>
      </c>
      <c r="AC101" s="1146">
        <f t="shared" si="14"/>
        <v>9494.3193277310929</v>
      </c>
      <c r="AD101" s="1146">
        <f t="shared" si="15"/>
        <v>2682.8443086325424</v>
      </c>
      <c r="AE101" s="1146">
        <f t="shared" si="16"/>
        <v>9632.0696864111487</v>
      </c>
      <c r="AF101" s="1146">
        <f t="shared" si="17"/>
        <v>9494.3193277310929</v>
      </c>
      <c r="AG101" s="1146">
        <f t="shared" si="18"/>
        <v>137.7503586800558</v>
      </c>
    </row>
    <row r="102" spans="2:33" ht="14.4">
      <c r="B102" s="1134">
        <v>8855722</v>
      </c>
      <c r="C102" s="1135"/>
      <c r="D102" s="1134">
        <v>165591</v>
      </c>
      <c r="E102" s="1136">
        <v>41990</v>
      </c>
      <c r="F102" s="1137">
        <v>48000</v>
      </c>
      <c r="G102" s="1134">
        <v>10</v>
      </c>
      <c r="H102" s="1137">
        <v>47500</v>
      </c>
      <c r="I102" s="1134">
        <v>15</v>
      </c>
      <c r="J102" s="1138">
        <v>6332</v>
      </c>
      <c r="K102" s="1139"/>
      <c r="L102" s="1140">
        <v>42027</v>
      </c>
      <c r="M102" s="269">
        <f t="shared" si="0"/>
        <v>1</v>
      </c>
      <c r="N102" s="1141">
        <v>300</v>
      </c>
      <c r="O102" s="1087">
        <f t="shared" si="1"/>
        <v>4488.4000000000005</v>
      </c>
      <c r="P102" s="269">
        <f t="shared" si="19"/>
        <v>1</v>
      </c>
      <c r="Q102" s="269" t="str">
        <f t="shared" si="3"/>
        <v/>
      </c>
      <c r="R102" s="1147"/>
      <c r="S102" s="1143" t="str">
        <f t="shared" si="4"/>
        <v>Downsize</v>
      </c>
      <c r="T102" s="1144">
        <f t="shared" si="5"/>
        <v>2251.4526315789476</v>
      </c>
      <c r="U102" s="1144">
        <f t="shared" si="6"/>
        <v>898.35789473684213</v>
      </c>
      <c r="V102" s="1146">
        <f t="shared" si="7"/>
        <v>16407.125741626798</v>
      </c>
      <c r="W102" s="1146">
        <f t="shared" si="8"/>
        <v>12149.835294117649</v>
      </c>
      <c r="X102" s="1146">
        <f t="shared" si="9"/>
        <v>4257.2904475091491</v>
      </c>
      <c r="Y102" s="1146">
        <f t="shared" si="10"/>
        <v>12977.946524848709</v>
      </c>
      <c r="Z102" s="1146">
        <f t="shared" si="11"/>
        <v>12149.835294117649</v>
      </c>
      <c r="AA102" s="1146">
        <f t="shared" si="12"/>
        <v>828.11123073105955</v>
      </c>
      <c r="AB102" s="1146">
        <f t="shared" si="13"/>
        <v>16236.218181818183</v>
      </c>
      <c r="AC102" s="1146">
        <f t="shared" si="14"/>
        <v>12149.835294117649</v>
      </c>
      <c r="AD102" s="1146">
        <f t="shared" si="15"/>
        <v>4086.3828877005344</v>
      </c>
      <c r="AE102" s="1146">
        <f t="shared" si="16"/>
        <v>12842.759581881535</v>
      </c>
      <c r="AF102" s="1146">
        <f t="shared" si="17"/>
        <v>12149.835294117649</v>
      </c>
      <c r="AG102" s="1146">
        <f t="shared" si="18"/>
        <v>692.92428776388624</v>
      </c>
    </row>
    <row r="103" spans="2:33" ht="14.4">
      <c r="B103" s="1134">
        <v>1032366</v>
      </c>
      <c r="C103" s="1135"/>
      <c r="D103" s="1134">
        <v>103236</v>
      </c>
      <c r="E103" s="1136">
        <v>42011</v>
      </c>
      <c r="F103" s="1137">
        <v>36000</v>
      </c>
      <c r="G103" s="1134">
        <v>12</v>
      </c>
      <c r="H103" s="1137">
        <v>36000</v>
      </c>
      <c r="I103" s="1134">
        <v>15</v>
      </c>
      <c r="J103" s="1138">
        <v>5090</v>
      </c>
      <c r="K103" s="1139"/>
      <c r="L103" s="1140">
        <v>42027</v>
      </c>
      <c r="M103" s="269">
        <f t="shared" si="0"/>
        <v>1</v>
      </c>
      <c r="N103" s="1141">
        <v>175</v>
      </c>
      <c r="O103" s="1087">
        <f t="shared" si="1"/>
        <v>1648.8000000000002</v>
      </c>
      <c r="P103" s="269">
        <f t="shared" si="19"/>
        <v>1</v>
      </c>
      <c r="Q103" s="269" t="str">
        <f t="shared" si="3"/>
        <v/>
      </c>
      <c r="R103" s="1147"/>
      <c r="S103" s="1143" t="str">
        <f t="shared" si="4"/>
        <v>Same Size</v>
      </c>
      <c r="T103" s="1144">
        <f t="shared" si="5"/>
        <v>2228</v>
      </c>
      <c r="U103" s="1144">
        <f t="shared" si="6"/>
        <v>889</v>
      </c>
      <c r="V103" s="1146">
        <f t="shared" si="7"/>
        <v>10840.363636363636</v>
      </c>
      <c r="W103" s="1146">
        <f t="shared" si="8"/>
        <v>9112.376470588235</v>
      </c>
      <c r="X103" s="1146">
        <f t="shared" si="9"/>
        <v>1727.9871657754011</v>
      </c>
      <c r="Y103" s="1146">
        <f t="shared" si="10"/>
        <v>9632.0696864111487</v>
      </c>
      <c r="Z103" s="1146">
        <f t="shared" si="11"/>
        <v>9112.376470588235</v>
      </c>
      <c r="AA103" s="1146">
        <f t="shared" si="12"/>
        <v>519.69321582291377</v>
      </c>
      <c r="AB103" s="1146">
        <f t="shared" si="13"/>
        <v>10840.363636363636</v>
      </c>
      <c r="AC103" s="1146">
        <f t="shared" si="14"/>
        <v>9112.376470588235</v>
      </c>
      <c r="AD103" s="1146">
        <f t="shared" si="15"/>
        <v>1727.9871657754011</v>
      </c>
      <c r="AE103" s="1146">
        <f t="shared" si="16"/>
        <v>9632.0696864111487</v>
      </c>
      <c r="AF103" s="1146">
        <f t="shared" si="17"/>
        <v>9112.376470588235</v>
      </c>
      <c r="AG103" s="1146">
        <f t="shared" si="18"/>
        <v>519.69321582291377</v>
      </c>
    </row>
    <row r="104" spans="2:33" ht="14.4">
      <c r="B104" s="1134">
        <v>8223018</v>
      </c>
      <c r="C104" s="1135"/>
      <c r="D104" s="1134">
        <v>122380</v>
      </c>
      <c r="E104" s="1136">
        <v>41822</v>
      </c>
      <c r="F104" s="1137">
        <v>36000</v>
      </c>
      <c r="G104" s="1134">
        <v>14</v>
      </c>
      <c r="H104" s="1137">
        <v>37600</v>
      </c>
      <c r="I104" s="1134">
        <v>15</v>
      </c>
      <c r="J104" s="1138">
        <v>6266</v>
      </c>
      <c r="K104" s="1139"/>
      <c r="L104" s="1140">
        <v>42027</v>
      </c>
      <c r="M104" s="269">
        <f t="shared" si="0"/>
        <v>1</v>
      </c>
      <c r="N104" s="1141">
        <v>225</v>
      </c>
      <c r="O104" s="1087">
        <f t="shared" si="1"/>
        <v>177.96571428571508</v>
      </c>
      <c r="P104" s="269">
        <f t="shared" si="19"/>
        <v>1</v>
      </c>
      <c r="Q104" s="269" t="str">
        <f t="shared" si="3"/>
        <v/>
      </c>
      <c r="R104" s="1147"/>
      <c r="S104" s="1143" t="str">
        <f t="shared" si="4"/>
        <v>Upsize</v>
      </c>
      <c r="T104" s="1144">
        <f t="shared" si="5"/>
        <v>2133.1914893617022</v>
      </c>
      <c r="U104" s="1144">
        <f t="shared" si="6"/>
        <v>851.17021276595744</v>
      </c>
      <c r="V104" s="1146">
        <f t="shared" si="7"/>
        <v>9464.8466427189833</v>
      </c>
      <c r="W104" s="1146">
        <f t="shared" si="8"/>
        <v>9112.3764705882368</v>
      </c>
      <c r="X104" s="1146">
        <f t="shared" si="9"/>
        <v>352.4701721307465</v>
      </c>
      <c r="Y104" s="1146">
        <f t="shared" si="10"/>
        <v>9222.194380606421</v>
      </c>
      <c r="Z104" s="1146">
        <f t="shared" si="11"/>
        <v>9112.3764705882368</v>
      </c>
      <c r="AA104" s="1146">
        <f t="shared" si="12"/>
        <v>109.81791001818419</v>
      </c>
      <c r="AB104" s="1146">
        <f t="shared" si="13"/>
        <v>9885.5064935064947</v>
      </c>
      <c r="AC104" s="1146">
        <f t="shared" si="14"/>
        <v>9112.3764705882368</v>
      </c>
      <c r="AD104" s="1146">
        <f t="shared" si="15"/>
        <v>773.13002291825796</v>
      </c>
      <c r="AE104" s="1146">
        <f t="shared" si="16"/>
        <v>9632.0696864111524</v>
      </c>
      <c r="AF104" s="1146">
        <f t="shared" si="17"/>
        <v>9112.3764705882368</v>
      </c>
      <c r="AG104" s="1146">
        <f t="shared" si="18"/>
        <v>519.69321582291559</v>
      </c>
    </row>
    <row r="105" spans="2:33" ht="14.4">
      <c r="B105" s="1134">
        <v>8153520</v>
      </c>
      <c r="C105" s="1135"/>
      <c r="D105" s="1134">
        <v>81396</v>
      </c>
      <c r="E105" s="1136">
        <v>41806</v>
      </c>
      <c r="F105" s="1137">
        <v>42000</v>
      </c>
      <c r="G105" s="1134">
        <v>10</v>
      </c>
      <c r="H105" s="1137">
        <v>42000</v>
      </c>
      <c r="I105" s="1134">
        <v>15.50</v>
      </c>
      <c r="J105" s="1138">
        <v>6591</v>
      </c>
      <c r="K105" s="1139"/>
      <c r="L105" s="1140">
        <v>42027</v>
      </c>
      <c r="M105" s="269">
        <f t="shared" si="0"/>
        <v>1</v>
      </c>
      <c r="N105" s="1141">
        <v>250</v>
      </c>
      <c r="O105" s="1087">
        <f t="shared" si="1"/>
        <v>4095.4064516129042</v>
      </c>
      <c r="P105" s="269">
        <f t="shared" si="19"/>
        <v>1</v>
      </c>
      <c r="Q105" s="269" t="str">
        <f t="shared" si="3"/>
        <v/>
      </c>
      <c r="R105" s="1147"/>
      <c r="S105" s="1143" t="str">
        <f t="shared" si="4"/>
        <v>Same Size</v>
      </c>
      <c r="T105" s="1144">
        <f t="shared" si="5"/>
        <v>2228</v>
      </c>
      <c r="U105" s="1144">
        <f t="shared" si="6"/>
        <v>889</v>
      </c>
      <c r="V105" s="1146">
        <f t="shared" si="7"/>
        <v>14206.690909090909</v>
      </c>
      <c r="W105" s="1146">
        <f t="shared" si="8"/>
        <v>10429.867172675522</v>
      </c>
      <c r="X105" s="1146">
        <f t="shared" si="9"/>
        <v>3776.8237364153865</v>
      </c>
      <c r="Y105" s="1146">
        <f t="shared" si="10"/>
        <v>11237.41463414634</v>
      </c>
      <c r="Z105" s="1146">
        <f t="shared" si="11"/>
        <v>10429.867172675522</v>
      </c>
      <c r="AA105" s="1146">
        <f t="shared" si="12"/>
        <v>807.54746147081823</v>
      </c>
      <c r="AB105" s="1146">
        <f t="shared" si="13"/>
        <v>14206.690909090909</v>
      </c>
      <c r="AC105" s="1146">
        <f t="shared" si="14"/>
        <v>10429.867172675522</v>
      </c>
      <c r="AD105" s="1146">
        <f t="shared" si="15"/>
        <v>3776.8237364153865</v>
      </c>
      <c r="AE105" s="1146">
        <f t="shared" si="16"/>
        <v>11237.41463414634</v>
      </c>
      <c r="AF105" s="1146">
        <f t="shared" si="17"/>
        <v>10429.867172675522</v>
      </c>
      <c r="AG105" s="1146">
        <f t="shared" si="18"/>
        <v>807.54746147081823</v>
      </c>
    </row>
    <row r="106" spans="2:33" ht="14.4">
      <c r="B106" s="1134">
        <v>1512052</v>
      </c>
      <c r="C106" s="1135"/>
      <c r="D106" s="1134">
        <v>151205</v>
      </c>
      <c r="E106" s="1136">
        <v>42010</v>
      </c>
      <c r="F106" s="1137">
        <v>36000</v>
      </c>
      <c r="G106" s="1134">
        <v>12</v>
      </c>
      <c r="H106" s="1137">
        <v>36000</v>
      </c>
      <c r="I106" s="1134">
        <v>15</v>
      </c>
      <c r="J106" s="1138">
        <v>5486</v>
      </c>
      <c r="K106" s="1139"/>
      <c r="L106" s="1140">
        <v>42032</v>
      </c>
      <c r="M106" s="269">
        <f t="shared" si="0"/>
        <v>1</v>
      </c>
      <c r="N106" s="1141">
        <v>175</v>
      </c>
      <c r="O106" s="1087">
        <f t="shared" si="1"/>
        <v>1648.8000000000002</v>
      </c>
      <c r="P106" s="269">
        <f t="shared" si="19"/>
        <v>1</v>
      </c>
      <c r="Q106" s="269" t="str">
        <f t="shared" si="3"/>
        <v/>
      </c>
      <c r="R106" s="1147"/>
      <c r="S106" s="1143" t="str">
        <f t="shared" si="4"/>
        <v>Same Size</v>
      </c>
      <c r="T106" s="1144">
        <f t="shared" si="5"/>
        <v>2228</v>
      </c>
      <c r="U106" s="1144">
        <f t="shared" si="6"/>
        <v>889</v>
      </c>
      <c r="V106" s="1146">
        <f t="shared" si="7"/>
        <v>10840.363636363636</v>
      </c>
      <c r="W106" s="1146">
        <f t="shared" si="8"/>
        <v>9112.376470588235</v>
      </c>
      <c r="X106" s="1146">
        <f t="shared" si="9"/>
        <v>1727.9871657754011</v>
      </c>
      <c r="Y106" s="1146">
        <f t="shared" si="10"/>
        <v>9632.0696864111487</v>
      </c>
      <c r="Z106" s="1146">
        <f t="shared" si="11"/>
        <v>9112.376470588235</v>
      </c>
      <c r="AA106" s="1146">
        <f t="shared" si="12"/>
        <v>519.69321582291377</v>
      </c>
      <c r="AB106" s="1146">
        <f t="shared" si="13"/>
        <v>10840.363636363636</v>
      </c>
      <c r="AC106" s="1146">
        <f t="shared" si="14"/>
        <v>9112.376470588235</v>
      </c>
      <c r="AD106" s="1146">
        <f t="shared" si="15"/>
        <v>1727.9871657754011</v>
      </c>
      <c r="AE106" s="1146">
        <f t="shared" si="16"/>
        <v>9632.0696864111487</v>
      </c>
      <c r="AF106" s="1146">
        <f t="shared" si="17"/>
        <v>9112.376470588235</v>
      </c>
      <c r="AG106" s="1146">
        <f t="shared" si="18"/>
        <v>519.69321582291377</v>
      </c>
    </row>
    <row r="107" spans="2:33" ht="14.4">
      <c r="B107" s="1134">
        <v>2482016</v>
      </c>
      <c r="C107" s="1135"/>
      <c r="D107" s="1134">
        <v>116613</v>
      </c>
      <c r="E107" s="1136">
        <v>41946</v>
      </c>
      <c r="F107" s="1137">
        <v>36000</v>
      </c>
      <c r="G107" s="1134">
        <v>10</v>
      </c>
      <c r="H107" s="1137">
        <v>35200</v>
      </c>
      <c r="I107" s="1134">
        <v>17</v>
      </c>
      <c r="J107" s="1138">
        <v>11540</v>
      </c>
      <c r="K107" s="1139"/>
      <c r="L107" s="1140">
        <v>42032</v>
      </c>
      <c r="M107" s="269">
        <f t="shared" si="0"/>
        <v>1</v>
      </c>
      <c r="N107" s="1141">
        <v>275</v>
      </c>
      <c r="O107" s="1087">
        <f t="shared" si="1"/>
        <v>4202.8235294117649</v>
      </c>
      <c r="P107" s="269">
        <f t="shared" si="19"/>
        <v>1</v>
      </c>
      <c r="Q107" s="269" t="str">
        <f t="shared" si="3"/>
        <v/>
      </c>
      <c r="R107" s="1147"/>
      <c r="S107" s="1143" t="str">
        <f t="shared" si="4"/>
        <v>Downsize</v>
      </c>
      <c r="T107" s="1144">
        <f t="shared" si="5"/>
        <v>2278.6363636363635</v>
      </c>
      <c r="U107" s="1144">
        <f t="shared" si="6"/>
        <v>909.20454545454538</v>
      </c>
      <c r="V107" s="1146">
        <f t="shared" si="7"/>
        <v>12453.917355371899</v>
      </c>
      <c r="W107" s="1146">
        <f t="shared" si="8"/>
        <v>8483.2941176470595</v>
      </c>
      <c r="X107" s="1146">
        <f t="shared" si="9"/>
        <v>3970.6232377248398</v>
      </c>
      <c r="Y107" s="1146">
        <f t="shared" si="10"/>
        <v>9850.9803611023126</v>
      </c>
      <c r="Z107" s="1146">
        <f t="shared" si="11"/>
        <v>8483.2941176470595</v>
      </c>
      <c r="AA107" s="1146">
        <f t="shared" si="12"/>
        <v>1367.6862434552531</v>
      </c>
      <c r="AB107" s="1146">
        <f t="shared" si="13"/>
        <v>12177.163636363637</v>
      </c>
      <c r="AC107" s="1146">
        <f t="shared" si="14"/>
        <v>8483.2941176470595</v>
      </c>
      <c r="AD107" s="1146">
        <f t="shared" si="15"/>
        <v>3693.8695187165777</v>
      </c>
      <c r="AE107" s="1146">
        <f t="shared" si="16"/>
        <v>9632.0696864111505</v>
      </c>
      <c r="AF107" s="1146">
        <f t="shared" si="17"/>
        <v>8483.2941176470595</v>
      </c>
      <c r="AG107" s="1146">
        <f t="shared" si="18"/>
        <v>1148.7755687640911</v>
      </c>
    </row>
    <row r="108" spans="2:33" ht="14.4">
      <c r="B108" s="1134">
        <v>8518896</v>
      </c>
      <c r="C108" s="1135"/>
      <c r="D108" s="1134">
        <v>487074</v>
      </c>
      <c r="E108" s="1136">
        <v>41973</v>
      </c>
      <c r="F108" s="1137">
        <v>48000</v>
      </c>
      <c r="G108" s="1134">
        <v>10</v>
      </c>
      <c r="H108" s="1137">
        <v>48000</v>
      </c>
      <c r="I108" s="1134">
        <v>16</v>
      </c>
      <c r="J108" s="1138">
        <v>6285</v>
      </c>
      <c r="K108" s="1139"/>
      <c r="L108" s="1140">
        <v>42032</v>
      </c>
      <c r="M108" s="269">
        <f t="shared" si="0"/>
        <v>1</v>
      </c>
      <c r="N108" s="1141">
        <v>325</v>
      </c>
      <c r="O108" s="1087">
        <f t="shared" si="1"/>
        <v>4946.4000000000005</v>
      </c>
      <c r="P108" s="269">
        <f t="shared" si="19"/>
        <v>1</v>
      </c>
      <c r="Q108" s="269" t="str">
        <f t="shared" si="3"/>
        <v/>
      </c>
      <c r="R108" s="1147"/>
      <c r="S108" s="1143" t="str">
        <f t="shared" si="4"/>
        <v>Same Size</v>
      </c>
      <c r="T108" s="1144">
        <f t="shared" si="5"/>
        <v>2228</v>
      </c>
      <c r="U108" s="1144">
        <f t="shared" si="6"/>
        <v>889</v>
      </c>
      <c r="V108" s="1146">
        <f t="shared" si="7"/>
        <v>16236.218181818182</v>
      </c>
      <c r="W108" s="1146">
        <f t="shared" si="8"/>
        <v>11704.235294117647</v>
      </c>
      <c r="X108" s="1146">
        <f t="shared" si="9"/>
        <v>4531.9828877005348</v>
      </c>
      <c r="Y108" s="1146">
        <f t="shared" si="10"/>
        <v>12842.759581881532</v>
      </c>
      <c r="Z108" s="1146">
        <f t="shared" si="11"/>
        <v>11704.235294117647</v>
      </c>
      <c r="AA108" s="1146">
        <f t="shared" si="12"/>
        <v>1138.5242877638848</v>
      </c>
      <c r="AB108" s="1146">
        <f t="shared" si="13"/>
        <v>16236.218181818182</v>
      </c>
      <c r="AC108" s="1146">
        <f t="shared" si="14"/>
        <v>11704.235294117647</v>
      </c>
      <c r="AD108" s="1146">
        <f t="shared" si="15"/>
        <v>4531.9828877005348</v>
      </c>
      <c r="AE108" s="1146">
        <f t="shared" si="16"/>
        <v>12842.759581881532</v>
      </c>
      <c r="AF108" s="1146">
        <f t="shared" si="17"/>
        <v>11704.235294117647</v>
      </c>
      <c r="AG108" s="1146">
        <f t="shared" si="18"/>
        <v>1138.5242877638848</v>
      </c>
    </row>
    <row r="109" spans="2:33" ht="14.4">
      <c r="B109" s="1134">
        <v>3857117</v>
      </c>
      <c r="C109" s="1135"/>
      <c r="D109" s="1134">
        <v>373620</v>
      </c>
      <c r="E109" s="1136">
        <v>41995</v>
      </c>
      <c r="F109" s="1137">
        <v>48000</v>
      </c>
      <c r="G109" s="1134">
        <v>10</v>
      </c>
      <c r="H109" s="1137">
        <v>48000</v>
      </c>
      <c r="I109" s="1134">
        <v>16</v>
      </c>
      <c r="J109" s="1138">
        <v>7507</v>
      </c>
      <c r="K109" s="1139"/>
      <c r="L109" s="1140">
        <v>42032</v>
      </c>
      <c r="M109" s="269">
        <f t="shared" si="0"/>
        <v>1</v>
      </c>
      <c r="N109" s="1141">
        <v>325</v>
      </c>
      <c r="O109" s="1087">
        <f t="shared" si="1"/>
        <v>4946.4000000000005</v>
      </c>
      <c r="P109" s="269">
        <f t="shared" si="19"/>
        <v>1</v>
      </c>
      <c r="Q109" s="269" t="str">
        <f t="shared" si="3"/>
        <v/>
      </c>
      <c r="R109" s="1147"/>
      <c r="S109" s="1143" t="str">
        <f t="shared" si="4"/>
        <v>Same Size</v>
      </c>
      <c r="T109" s="1144">
        <f t="shared" si="5"/>
        <v>2228</v>
      </c>
      <c r="U109" s="1144">
        <f t="shared" si="6"/>
        <v>889</v>
      </c>
      <c r="V109" s="1146">
        <f t="shared" si="7"/>
        <v>16236.218181818182</v>
      </c>
      <c r="W109" s="1146">
        <f t="shared" si="8"/>
        <v>11704.235294117647</v>
      </c>
      <c r="X109" s="1146">
        <f t="shared" si="9"/>
        <v>4531.9828877005348</v>
      </c>
      <c r="Y109" s="1146">
        <f t="shared" si="10"/>
        <v>12842.759581881532</v>
      </c>
      <c r="Z109" s="1146">
        <f t="shared" si="11"/>
        <v>11704.235294117647</v>
      </c>
      <c r="AA109" s="1146">
        <f t="shared" si="12"/>
        <v>1138.5242877638848</v>
      </c>
      <c r="AB109" s="1146">
        <f t="shared" si="13"/>
        <v>16236.218181818182</v>
      </c>
      <c r="AC109" s="1146">
        <f t="shared" si="14"/>
        <v>11704.235294117647</v>
      </c>
      <c r="AD109" s="1146">
        <f t="shared" si="15"/>
        <v>4531.9828877005348</v>
      </c>
      <c r="AE109" s="1146">
        <f t="shared" si="16"/>
        <v>12842.759581881532</v>
      </c>
      <c r="AF109" s="1146">
        <f t="shared" si="17"/>
        <v>11704.235294117647</v>
      </c>
      <c r="AG109" s="1146">
        <f t="shared" si="18"/>
        <v>1138.5242877638848</v>
      </c>
    </row>
    <row r="110" spans="2:33" ht="14.4">
      <c r="B110" s="1134">
        <v>8847818</v>
      </c>
      <c r="C110" s="1135"/>
      <c r="D110" s="1134">
        <v>189705</v>
      </c>
      <c r="E110" s="1136">
        <v>42011</v>
      </c>
      <c r="F110" s="1137">
        <v>36000</v>
      </c>
      <c r="G110" s="1134">
        <v>9</v>
      </c>
      <c r="H110" s="1137">
        <v>42000</v>
      </c>
      <c r="I110" s="1134">
        <v>15</v>
      </c>
      <c r="J110" s="1138">
        <v>4490</v>
      </c>
      <c r="K110" s="1139"/>
      <c r="L110" s="1140">
        <v>42034</v>
      </c>
      <c r="M110" s="269">
        <f t="shared" si="0"/>
        <v>1</v>
      </c>
      <c r="N110" s="1141">
        <v>225</v>
      </c>
      <c r="O110" s="1087">
        <f t="shared" si="1"/>
        <v>3297.6000000000004</v>
      </c>
      <c r="P110" s="269">
        <f t="shared" si="19"/>
        <v>1</v>
      </c>
      <c r="Q110" s="269" t="str">
        <f t="shared" si="3"/>
        <v/>
      </c>
      <c r="R110" s="1147"/>
      <c r="S110" s="1143" t="str">
        <f t="shared" si="4"/>
        <v>Upsize</v>
      </c>
      <c r="T110" s="1144">
        <f t="shared" si="5"/>
        <v>1909.7142857142856</v>
      </c>
      <c r="U110" s="1144">
        <f t="shared" si="6"/>
        <v>762</v>
      </c>
      <c r="V110" s="1146">
        <f t="shared" si="7"/>
        <v>11201.454545454544</v>
      </c>
      <c r="W110" s="1146">
        <f t="shared" si="8"/>
        <v>9112.376470588235</v>
      </c>
      <c r="X110" s="1146">
        <f t="shared" si="9"/>
        <v>2089.0780748663092</v>
      </c>
      <c r="Y110" s="1146">
        <f t="shared" si="10"/>
        <v>8256.0597312095579</v>
      </c>
      <c r="Z110" s="1146">
        <f t="shared" si="11"/>
        <v>9112.376470588235</v>
      </c>
      <c r="AA110" s="1146">
        <f t="shared" si="12"/>
        <v>-856.31673937867708</v>
      </c>
      <c r="AB110" s="1146">
        <f t="shared" si="13"/>
        <v>13068.363636363636</v>
      </c>
      <c r="AC110" s="1146">
        <f t="shared" si="14"/>
        <v>9112.376470588235</v>
      </c>
      <c r="AD110" s="1146">
        <f t="shared" si="15"/>
        <v>3955.9871657754011</v>
      </c>
      <c r="AE110" s="1146">
        <f t="shared" si="16"/>
        <v>9632.0696864111505</v>
      </c>
      <c r="AF110" s="1146">
        <f t="shared" si="17"/>
        <v>9112.376470588235</v>
      </c>
      <c r="AG110" s="1146">
        <f t="shared" si="18"/>
        <v>519.69321582291559</v>
      </c>
    </row>
    <row r="111" spans="2:33" ht="14.4">
      <c r="B111" s="1134">
        <v>3238672</v>
      </c>
      <c r="C111" s="1135"/>
      <c r="D111" s="1134">
        <v>323867</v>
      </c>
      <c r="E111" s="1136">
        <v>41928</v>
      </c>
      <c r="F111" s="1137">
        <v>48000</v>
      </c>
      <c r="G111" s="1134">
        <v>10</v>
      </c>
      <c r="H111" s="1137">
        <v>48000</v>
      </c>
      <c r="I111" s="1134">
        <v>15</v>
      </c>
      <c r="J111" s="1138">
        <v>5800</v>
      </c>
      <c r="K111" s="1139"/>
      <c r="L111" s="1140">
        <v>42034</v>
      </c>
      <c r="M111" s="269">
        <f t="shared" si="0"/>
        <v>1</v>
      </c>
      <c r="N111" s="1141">
        <v>300</v>
      </c>
      <c r="O111" s="1087">
        <f t="shared" si="1"/>
        <v>4396.80</v>
      </c>
      <c r="P111" s="269">
        <f t="shared" si="19"/>
        <v>1</v>
      </c>
      <c r="Q111" s="269" t="str">
        <f t="shared" si="3"/>
        <v/>
      </c>
      <c r="R111" s="1147"/>
      <c r="S111" s="1143" t="str">
        <f t="shared" si="4"/>
        <v>Same Size</v>
      </c>
      <c r="T111" s="1144">
        <f t="shared" si="5"/>
        <v>2228</v>
      </c>
      <c r="U111" s="1144">
        <f t="shared" si="6"/>
        <v>889</v>
      </c>
      <c r="V111" s="1146">
        <f t="shared" si="7"/>
        <v>16236.218181818182</v>
      </c>
      <c r="W111" s="1146">
        <f t="shared" si="8"/>
        <v>12149.835294117647</v>
      </c>
      <c r="X111" s="1146">
        <f t="shared" si="9"/>
        <v>4086.3828877005344</v>
      </c>
      <c r="Y111" s="1146">
        <f t="shared" si="10"/>
        <v>12842.759581881532</v>
      </c>
      <c r="Z111" s="1146">
        <f t="shared" si="11"/>
        <v>12149.835294117647</v>
      </c>
      <c r="AA111" s="1146">
        <f t="shared" si="12"/>
        <v>692.92428776388442</v>
      </c>
      <c r="AB111" s="1146">
        <f t="shared" si="13"/>
        <v>16236.218181818182</v>
      </c>
      <c r="AC111" s="1146">
        <f t="shared" si="14"/>
        <v>12149.835294117647</v>
      </c>
      <c r="AD111" s="1146">
        <f t="shared" si="15"/>
        <v>4086.3828877005344</v>
      </c>
      <c r="AE111" s="1146">
        <f t="shared" si="16"/>
        <v>12842.759581881532</v>
      </c>
      <c r="AF111" s="1146">
        <f t="shared" si="17"/>
        <v>12149.835294117647</v>
      </c>
      <c r="AG111" s="1146">
        <f t="shared" si="18"/>
        <v>692.92428776388442</v>
      </c>
    </row>
    <row r="112" spans="2:33" ht="14.4">
      <c r="B112" s="1134">
        <v>1564970</v>
      </c>
      <c r="C112" s="1135"/>
      <c r="D112" s="1134">
        <v>156497</v>
      </c>
      <c r="E112" s="1136">
        <v>41949</v>
      </c>
      <c r="F112" s="1137">
        <v>48000</v>
      </c>
      <c r="G112" s="1134">
        <v>12</v>
      </c>
      <c r="H112" s="1137">
        <v>46500</v>
      </c>
      <c r="I112" s="1134">
        <v>15</v>
      </c>
      <c r="J112" s="1138">
        <v>6117</v>
      </c>
      <c r="K112" s="1139"/>
      <c r="L112" s="1140">
        <v>42034</v>
      </c>
      <c r="M112" s="269">
        <f t="shared" si="0"/>
        <v>1</v>
      </c>
      <c r="N112" s="1141">
        <v>300</v>
      </c>
      <c r="O112" s="1087">
        <f t="shared" si="1"/>
        <v>2473.2000000000003</v>
      </c>
      <c r="P112" s="269">
        <f t="shared" si="19"/>
        <v>1</v>
      </c>
      <c r="Q112" s="269" t="str">
        <f t="shared" si="3"/>
        <v/>
      </c>
      <c r="R112" s="1147"/>
      <c r="S112" s="1143" t="str">
        <f t="shared" si="4"/>
        <v>Downsize</v>
      </c>
      <c r="T112" s="1144">
        <f t="shared" si="5"/>
        <v>2299.8709677419356</v>
      </c>
      <c r="U112" s="1144">
        <f t="shared" si="6"/>
        <v>917.67741935483866</v>
      </c>
      <c r="V112" s="1146">
        <f t="shared" si="7"/>
        <v>14920.070381231672</v>
      </c>
      <c r="W112" s="1146">
        <f t="shared" si="8"/>
        <v>12149.835294117649</v>
      </c>
      <c r="X112" s="1146">
        <f t="shared" si="9"/>
        <v>2770.2350871140225</v>
      </c>
      <c r="Y112" s="1146">
        <f t="shared" si="10"/>
        <v>13257.042149039004</v>
      </c>
      <c r="Z112" s="1146">
        <f t="shared" si="11"/>
        <v>12149.835294117649</v>
      </c>
      <c r="AA112" s="1146">
        <f t="shared" si="12"/>
        <v>1107.2068549213545</v>
      </c>
      <c r="AB112" s="1146">
        <f t="shared" si="13"/>
        <v>14453.81818181818</v>
      </c>
      <c r="AC112" s="1146">
        <f t="shared" si="14"/>
        <v>12149.835294117649</v>
      </c>
      <c r="AD112" s="1146">
        <f t="shared" si="15"/>
        <v>2303.9828877005311</v>
      </c>
      <c r="AE112" s="1146">
        <f t="shared" si="16"/>
        <v>12842.759581881533</v>
      </c>
      <c r="AF112" s="1146">
        <f t="shared" si="17"/>
        <v>12149.835294117649</v>
      </c>
      <c r="AG112" s="1146">
        <f t="shared" si="18"/>
        <v>692.92428776388442</v>
      </c>
    </row>
    <row r="113" spans="2:33" ht="14.4">
      <c r="B113" s="1134">
        <v>8880557</v>
      </c>
      <c r="C113" s="1135"/>
      <c r="D113" s="1134">
        <v>132881</v>
      </c>
      <c r="E113" s="1136">
        <v>42002</v>
      </c>
      <c r="F113" s="1137">
        <v>42000</v>
      </c>
      <c r="G113" s="1134">
        <v>13</v>
      </c>
      <c r="H113" s="1137">
        <v>42000</v>
      </c>
      <c r="I113" s="1134">
        <v>14</v>
      </c>
      <c r="J113" s="1138">
        <v>4380</v>
      </c>
      <c r="K113" s="1139"/>
      <c r="L113" s="1140">
        <v>42034</v>
      </c>
      <c r="M113" s="269">
        <f t="shared" si="0"/>
        <v>1</v>
      </c>
      <c r="N113" s="1141">
        <v>225</v>
      </c>
      <c r="O113" s="1087">
        <f t="shared" si="1"/>
        <v>634.15384615384664</v>
      </c>
      <c r="P113" s="269">
        <f t="shared" si="19"/>
        <v>1</v>
      </c>
      <c r="Q113" s="269" t="str">
        <f t="shared" si="3"/>
        <v/>
      </c>
      <c r="R113" s="1147"/>
      <c r="S113" s="1143" t="str">
        <f t="shared" si="4"/>
        <v>Same Size</v>
      </c>
      <c r="T113" s="1144">
        <f t="shared" si="5"/>
        <v>2228</v>
      </c>
      <c r="U113" s="1144">
        <f t="shared" si="6"/>
        <v>889</v>
      </c>
      <c r="V113" s="1146">
        <f t="shared" si="7"/>
        <v>12047.244755244756</v>
      </c>
      <c r="W113" s="1146">
        <f t="shared" si="8"/>
        <v>11076.705882352941</v>
      </c>
      <c r="X113" s="1146">
        <f t="shared" si="9"/>
        <v>970.53887289181512</v>
      </c>
      <c r="Y113" s="1146">
        <f t="shared" si="10"/>
        <v>11237.41463414634</v>
      </c>
      <c r="Z113" s="1146">
        <f t="shared" si="11"/>
        <v>11076.705882352941</v>
      </c>
      <c r="AA113" s="1146">
        <f t="shared" si="12"/>
        <v>160.70875179339964</v>
      </c>
      <c r="AB113" s="1146">
        <f t="shared" si="13"/>
        <v>12047.244755244756</v>
      </c>
      <c r="AC113" s="1146">
        <f t="shared" si="14"/>
        <v>11076.705882352941</v>
      </c>
      <c r="AD113" s="1146">
        <f t="shared" si="15"/>
        <v>970.53887289181512</v>
      </c>
      <c r="AE113" s="1146">
        <f t="shared" si="16"/>
        <v>11237.41463414634</v>
      </c>
      <c r="AF113" s="1146">
        <f t="shared" si="17"/>
        <v>11076.705882352941</v>
      </c>
      <c r="AG113" s="1146">
        <f t="shared" si="18"/>
        <v>160.70875179339964</v>
      </c>
    </row>
    <row r="114" spans="2:33" ht="14.4">
      <c r="B114" s="1134">
        <v>4445904</v>
      </c>
      <c r="C114" s="1135"/>
      <c r="D114" s="1134">
        <v>290375</v>
      </c>
      <c r="E114" s="1136">
        <v>41968</v>
      </c>
      <c r="F114" s="1137">
        <v>60000</v>
      </c>
      <c r="G114" s="1134">
        <v>10</v>
      </c>
      <c r="H114" s="1137">
        <v>57000</v>
      </c>
      <c r="I114" s="1134">
        <v>15</v>
      </c>
      <c r="J114" s="1138">
        <v>5655</v>
      </c>
      <c r="K114" s="1139"/>
      <c r="L114" s="1140">
        <v>42034</v>
      </c>
      <c r="M114" s="269">
        <f t="shared" si="0"/>
        <v>1</v>
      </c>
      <c r="N114" s="1141">
        <v>375</v>
      </c>
      <c r="O114" s="1087">
        <f t="shared" si="1"/>
        <v>6045.60</v>
      </c>
      <c r="P114" s="269">
        <f t="shared" si="19"/>
        <v>1</v>
      </c>
      <c r="Q114" s="269" t="str">
        <f t="shared" si="3"/>
        <v/>
      </c>
      <c r="R114" s="1147"/>
      <c r="S114" s="1143" t="str">
        <f t="shared" si="4"/>
        <v>Downsize</v>
      </c>
      <c r="T114" s="1144">
        <f t="shared" si="5"/>
        <v>2345.2631578947367</v>
      </c>
      <c r="U114" s="1144">
        <f t="shared" si="6"/>
        <v>935.78947368421052</v>
      </c>
      <c r="V114" s="1146">
        <f t="shared" si="7"/>
        <v>21363.444976076556</v>
      </c>
      <c r="W114" s="1146">
        <f t="shared" si="8"/>
        <v>15187.29411764706</v>
      </c>
      <c r="X114" s="1146">
        <f t="shared" si="9"/>
        <v>6176.150858429497</v>
      </c>
      <c r="Y114" s="1146">
        <f t="shared" si="10"/>
        <v>16898.367870896753</v>
      </c>
      <c r="Z114" s="1146">
        <f t="shared" si="11"/>
        <v>15187.29411764706</v>
      </c>
      <c r="AA114" s="1146">
        <f t="shared" si="12"/>
        <v>1711.0737532496933</v>
      </c>
      <c r="AB114" s="1146">
        <f t="shared" si="13"/>
        <v>20295.272727272728</v>
      </c>
      <c r="AC114" s="1146">
        <f t="shared" si="14"/>
        <v>15187.29411764706</v>
      </c>
      <c r="AD114" s="1146">
        <f t="shared" si="15"/>
        <v>5107.9786096256685</v>
      </c>
      <c r="AE114" s="1146">
        <f t="shared" si="16"/>
        <v>16053.449477351915</v>
      </c>
      <c r="AF114" s="1146">
        <f t="shared" si="17"/>
        <v>15187.29411764706</v>
      </c>
      <c r="AG114" s="1146">
        <f t="shared" si="18"/>
        <v>866.15535970485507</v>
      </c>
    </row>
    <row r="115" spans="2:33" ht="14.4">
      <c r="B115" s="1134">
        <v>5550769</v>
      </c>
      <c r="C115" s="1135"/>
      <c r="D115" s="1134">
        <v>202026</v>
      </c>
      <c r="E115" s="1136">
        <v>42012</v>
      </c>
      <c r="F115" s="1137">
        <v>60000</v>
      </c>
      <c r="G115" s="1134">
        <v>10</v>
      </c>
      <c r="H115" s="1137">
        <v>55000</v>
      </c>
      <c r="I115" s="1134">
        <v>16</v>
      </c>
      <c r="J115" s="1138">
        <v>7564</v>
      </c>
      <c r="K115" s="1139"/>
      <c r="L115" s="1140">
        <v>42034</v>
      </c>
      <c r="M115" s="269">
        <f t="shared" si="0"/>
        <v>1</v>
      </c>
      <c r="N115" s="1141">
        <v>375</v>
      </c>
      <c r="O115" s="1087">
        <f t="shared" si="1"/>
        <v>7041.7500000000009</v>
      </c>
      <c r="P115" s="269">
        <f t="shared" si="19"/>
        <v>1</v>
      </c>
      <c r="Q115" s="269" t="str">
        <f t="shared" si="3"/>
        <v/>
      </c>
      <c r="R115" s="1147"/>
      <c r="S115" s="1143" t="str">
        <f t="shared" si="4"/>
        <v>Downsize</v>
      </c>
      <c r="T115" s="1144">
        <f t="shared" si="5"/>
        <v>2430.5454545454545</v>
      </c>
      <c r="U115" s="1144">
        <f t="shared" si="6"/>
        <v>969.81818181818176</v>
      </c>
      <c r="V115" s="1146">
        <f t="shared" si="7"/>
        <v>22140.297520661159</v>
      </c>
      <c r="W115" s="1146">
        <f t="shared" si="8"/>
        <v>14630.29411764706</v>
      </c>
      <c r="X115" s="1146">
        <f t="shared" si="9"/>
        <v>7510.0034030140996</v>
      </c>
      <c r="Y115" s="1146">
        <f t="shared" si="10"/>
        <v>17512.853975293001</v>
      </c>
      <c r="Z115" s="1146">
        <f t="shared" si="11"/>
        <v>14630.29411764706</v>
      </c>
      <c r="AA115" s="1146">
        <f t="shared" si="12"/>
        <v>2882.5598576459415</v>
      </c>
      <c r="AB115" s="1146">
        <f t="shared" si="13"/>
        <v>20295.272727272728</v>
      </c>
      <c r="AC115" s="1146">
        <f t="shared" si="14"/>
        <v>14630.29411764706</v>
      </c>
      <c r="AD115" s="1146">
        <f t="shared" si="15"/>
        <v>5664.9786096256685</v>
      </c>
      <c r="AE115" s="1146">
        <f t="shared" si="16"/>
        <v>16053.449477351916</v>
      </c>
      <c r="AF115" s="1146">
        <f t="shared" si="17"/>
        <v>14630.29411764706</v>
      </c>
      <c r="AG115" s="1146">
        <f t="shared" si="18"/>
        <v>1423.1553597048569</v>
      </c>
    </row>
    <row r="116" spans="2:33" ht="14.4">
      <c r="B116" s="1134">
        <v>3526993</v>
      </c>
      <c r="C116" s="1135"/>
      <c r="D116" s="1134">
        <v>352699</v>
      </c>
      <c r="E116" s="1136">
        <v>42011</v>
      </c>
      <c r="F116" s="1137">
        <v>36000</v>
      </c>
      <c r="G116" s="1134">
        <v>10</v>
      </c>
      <c r="H116" s="1137">
        <v>34000</v>
      </c>
      <c r="I116" s="1134">
        <v>15</v>
      </c>
      <c r="J116" s="1138">
        <v>4748</v>
      </c>
      <c r="K116" s="1139"/>
      <c r="L116" s="1140">
        <v>42034</v>
      </c>
      <c r="M116" s="269">
        <f t="shared" si="0"/>
        <v>1</v>
      </c>
      <c r="N116" s="1141">
        <v>175</v>
      </c>
      <c r="O116" s="1087">
        <f t="shared" si="1"/>
        <v>3664.0000000000009</v>
      </c>
      <c r="P116" s="269">
        <f t="shared" si="19"/>
        <v>1</v>
      </c>
      <c r="Q116" s="269" t="str">
        <f t="shared" si="3"/>
        <v/>
      </c>
      <c r="R116" s="1147"/>
      <c r="S116" s="1143" t="str">
        <f t="shared" si="4"/>
        <v>Downsize</v>
      </c>
      <c r="T116" s="1144">
        <f t="shared" si="5"/>
        <v>2359.0588235294117</v>
      </c>
      <c r="U116" s="1144">
        <f t="shared" si="6"/>
        <v>941.29411764705878</v>
      </c>
      <c r="V116" s="1146">
        <f t="shared" si="7"/>
        <v>12893.467379679143</v>
      </c>
      <c r="W116" s="1146">
        <f t="shared" si="8"/>
        <v>9112.376470588235</v>
      </c>
      <c r="X116" s="1146">
        <f t="shared" si="9"/>
        <v>3781.0909090909081</v>
      </c>
      <c r="Y116" s="1146">
        <f t="shared" si="10"/>
        <v>10198.662020905922</v>
      </c>
      <c r="Z116" s="1146">
        <f t="shared" si="11"/>
        <v>9112.376470588235</v>
      </c>
      <c r="AA116" s="1146">
        <f t="shared" si="12"/>
        <v>1086.285550317687</v>
      </c>
      <c r="AB116" s="1146">
        <f t="shared" si="13"/>
        <v>12177.163636363635</v>
      </c>
      <c r="AC116" s="1146">
        <f t="shared" si="14"/>
        <v>9112.376470588235</v>
      </c>
      <c r="AD116" s="1146">
        <f t="shared" si="15"/>
        <v>3064.7871657754004</v>
      </c>
      <c r="AE116" s="1146">
        <f t="shared" si="16"/>
        <v>9632.0696864111487</v>
      </c>
      <c r="AF116" s="1146">
        <f t="shared" si="17"/>
        <v>9112.376470588235</v>
      </c>
      <c r="AG116" s="1146">
        <f t="shared" si="18"/>
        <v>519.69321582291377</v>
      </c>
    </row>
    <row r="117" spans="2:33" ht="14.4">
      <c r="B117" s="1134">
        <v>8908369</v>
      </c>
      <c r="C117" s="1135"/>
      <c r="D117" s="1134">
        <v>8769679</v>
      </c>
      <c r="E117" s="1136">
        <v>41948</v>
      </c>
      <c r="F117" s="1137">
        <v>36000</v>
      </c>
      <c r="G117" s="1134">
        <v>10</v>
      </c>
      <c r="H117" s="1137">
        <v>36000</v>
      </c>
      <c r="I117" s="1134">
        <v>15</v>
      </c>
      <c r="J117" s="1138">
        <v>4715</v>
      </c>
      <c r="K117" s="1139"/>
      <c r="L117" s="1140">
        <v>42034</v>
      </c>
      <c r="M117" s="269">
        <f t="shared" si="0"/>
        <v>1</v>
      </c>
      <c r="N117" s="1141">
        <v>150</v>
      </c>
      <c r="O117" s="1087">
        <f t="shared" si="1"/>
        <v>3297.6000000000004</v>
      </c>
      <c r="P117" s="269">
        <f t="shared" si="19"/>
        <v>1</v>
      </c>
      <c r="Q117" s="269" t="str">
        <f t="shared" si="3"/>
        <v/>
      </c>
      <c r="R117" s="1147"/>
      <c r="S117" s="1143" t="str">
        <f t="shared" si="4"/>
        <v>Same Size</v>
      </c>
      <c r="T117" s="1144">
        <f t="shared" si="5"/>
        <v>2228</v>
      </c>
      <c r="U117" s="1144">
        <f t="shared" si="6"/>
        <v>889</v>
      </c>
      <c r="V117" s="1146">
        <f t="shared" si="7"/>
        <v>12177.163636363635</v>
      </c>
      <c r="W117" s="1146">
        <f t="shared" si="8"/>
        <v>9112.376470588235</v>
      </c>
      <c r="X117" s="1146">
        <f t="shared" si="9"/>
        <v>3064.7871657754004</v>
      </c>
      <c r="Y117" s="1146">
        <f t="shared" si="10"/>
        <v>9632.0696864111487</v>
      </c>
      <c r="Z117" s="1146">
        <f t="shared" si="11"/>
        <v>9112.376470588235</v>
      </c>
      <c r="AA117" s="1146">
        <f t="shared" si="12"/>
        <v>519.69321582291377</v>
      </c>
      <c r="AB117" s="1146">
        <f t="shared" si="13"/>
        <v>12177.163636363635</v>
      </c>
      <c r="AC117" s="1146">
        <f t="shared" si="14"/>
        <v>9112.376470588235</v>
      </c>
      <c r="AD117" s="1146">
        <f t="shared" si="15"/>
        <v>3064.7871657754004</v>
      </c>
      <c r="AE117" s="1146">
        <f t="shared" si="16"/>
        <v>9632.0696864111487</v>
      </c>
      <c r="AF117" s="1146">
        <f t="shared" si="17"/>
        <v>9112.376470588235</v>
      </c>
      <c r="AG117" s="1146">
        <f t="shared" si="18"/>
        <v>519.69321582291377</v>
      </c>
    </row>
    <row r="118" spans="2:33" ht="14.4">
      <c r="B118" s="1134">
        <v>3353562</v>
      </c>
      <c r="C118" s="1135"/>
      <c r="D118" s="1134">
        <v>335356</v>
      </c>
      <c r="E118" s="1136">
        <v>41875</v>
      </c>
      <c r="F118" s="1137">
        <v>42000</v>
      </c>
      <c r="G118" s="1134">
        <v>13</v>
      </c>
      <c r="H118" s="1137">
        <v>48000</v>
      </c>
      <c r="I118" s="1134">
        <v>15</v>
      </c>
      <c r="J118" s="1138">
        <v>7500</v>
      </c>
      <c r="K118" s="1139"/>
      <c r="L118" s="1140">
        <v>42034</v>
      </c>
      <c r="M118" s="269">
        <f t="shared" si="0"/>
        <v>1</v>
      </c>
      <c r="N118" s="1141">
        <v>300</v>
      </c>
      <c r="O118" s="1087">
        <f t="shared" si="1"/>
        <v>84.553846153846635</v>
      </c>
      <c r="P118" s="269">
        <f t="shared" si="19"/>
        <v>1</v>
      </c>
      <c r="Q118" s="269" t="str">
        <f t="shared" si="3"/>
        <v/>
      </c>
      <c r="R118" s="1147"/>
      <c r="S118" s="1143" t="str">
        <f t="shared" si="4"/>
        <v>Upsize</v>
      </c>
      <c r="T118" s="1144">
        <f t="shared" si="5"/>
        <v>1949.50</v>
      </c>
      <c r="U118" s="1144">
        <f t="shared" si="6"/>
        <v>777.875</v>
      </c>
      <c r="V118" s="1146">
        <f t="shared" si="7"/>
        <v>10541.339160839159</v>
      </c>
      <c r="W118" s="1146">
        <f t="shared" si="8"/>
        <v>10631.105882352942</v>
      </c>
      <c r="X118" s="1146">
        <f t="shared" si="9"/>
        <v>-89.766721513782613</v>
      </c>
      <c r="Y118" s="1146">
        <f t="shared" si="10"/>
        <v>9832.7378048780483</v>
      </c>
      <c r="Z118" s="1146">
        <f t="shared" si="11"/>
        <v>10631.105882352942</v>
      </c>
      <c r="AA118" s="1146">
        <f t="shared" si="12"/>
        <v>-798.36807747489365</v>
      </c>
      <c r="AB118" s="1146">
        <f t="shared" si="13"/>
        <v>12047.244755244754</v>
      </c>
      <c r="AC118" s="1146">
        <f t="shared" si="14"/>
        <v>10631.105882352942</v>
      </c>
      <c r="AD118" s="1146">
        <f t="shared" si="15"/>
        <v>1416.1388728918118</v>
      </c>
      <c r="AE118" s="1146">
        <f t="shared" si="16"/>
        <v>11237.414634146342</v>
      </c>
      <c r="AF118" s="1146">
        <f t="shared" si="17"/>
        <v>10631.105882352942</v>
      </c>
      <c r="AG118" s="1146">
        <f t="shared" si="18"/>
        <v>606.30875179340001</v>
      </c>
    </row>
    <row r="119" spans="2:33" ht="14.4">
      <c r="B119" s="1134">
        <v>8797321</v>
      </c>
      <c r="C119" s="1135"/>
      <c r="D119" s="1134">
        <v>272379</v>
      </c>
      <c r="E119" s="1136">
        <v>41914</v>
      </c>
      <c r="F119" s="1137">
        <v>30000</v>
      </c>
      <c r="G119" s="1134">
        <v>10</v>
      </c>
      <c r="H119" s="1137">
        <v>30000</v>
      </c>
      <c r="I119" s="1134">
        <v>15</v>
      </c>
      <c r="J119" s="1138">
        <v>4731</v>
      </c>
      <c r="K119" s="1139"/>
      <c r="L119" s="1140">
        <v>42034</v>
      </c>
      <c r="M119" s="269">
        <f t="shared" si="0"/>
        <v>1</v>
      </c>
      <c r="N119" s="1141">
        <v>175</v>
      </c>
      <c r="O119" s="1087">
        <f t="shared" si="1"/>
        <v>2748</v>
      </c>
      <c r="P119" s="269">
        <f t="shared" si="19"/>
        <v>1</v>
      </c>
      <c r="Q119" s="269" t="str">
        <f t="shared" si="3"/>
        <v/>
      </c>
      <c r="R119" s="1147"/>
      <c r="S119" s="1143" t="str">
        <f t="shared" si="4"/>
        <v>Same Size</v>
      </c>
      <c r="T119" s="1144">
        <f t="shared" si="5"/>
        <v>2228</v>
      </c>
      <c r="U119" s="1144">
        <f t="shared" si="6"/>
        <v>889</v>
      </c>
      <c r="V119" s="1146">
        <f t="shared" si="7"/>
        <v>10147.636363636364</v>
      </c>
      <c r="W119" s="1146">
        <f t="shared" si="8"/>
        <v>7593.6470588235297</v>
      </c>
      <c r="X119" s="1146">
        <f t="shared" si="9"/>
        <v>2553.9893048128342</v>
      </c>
      <c r="Y119" s="1146">
        <f t="shared" si="10"/>
        <v>8026.7247386759582</v>
      </c>
      <c r="Z119" s="1146">
        <f t="shared" si="11"/>
        <v>7593.6470588235297</v>
      </c>
      <c r="AA119" s="1146">
        <f t="shared" si="12"/>
        <v>433.07767985242845</v>
      </c>
      <c r="AB119" s="1146">
        <f t="shared" si="13"/>
        <v>10147.636363636364</v>
      </c>
      <c r="AC119" s="1146">
        <f t="shared" si="14"/>
        <v>7593.6470588235297</v>
      </c>
      <c r="AD119" s="1146">
        <f t="shared" si="15"/>
        <v>2553.9893048128342</v>
      </c>
      <c r="AE119" s="1146">
        <f t="shared" si="16"/>
        <v>8026.7247386759582</v>
      </c>
      <c r="AF119" s="1146">
        <f t="shared" si="17"/>
        <v>7593.6470588235297</v>
      </c>
      <c r="AG119" s="1146">
        <f t="shared" si="18"/>
        <v>433.07767985242845</v>
      </c>
    </row>
    <row r="120" spans="2:33" ht="14.4">
      <c r="B120" s="1134">
        <v>5758313</v>
      </c>
      <c r="C120" s="1135"/>
      <c r="D120" s="1134">
        <v>569905</v>
      </c>
      <c r="E120" s="1136">
        <v>41929</v>
      </c>
      <c r="F120" s="1137">
        <v>36000</v>
      </c>
      <c r="G120" s="1134">
        <v>12</v>
      </c>
      <c r="H120" s="1137">
        <v>34800</v>
      </c>
      <c r="I120" s="1134">
        <v>15</v>
      </c>
      <c r="J120" s="1138">
        <v>5350</v>
      </c>
      <c r="K120" s="1139"/>
      <c r="L120" s="1140">
        <v>42034</v>
      </c>
      <c r="M120" s="269">
        <f t="shared" si="0"/>
        <v>1</v>
      </c>
      <c r="N120" s="1141">
        <v>225</v>
      </c>
      <c r="O120" s="1087">
        <f t="shared" si="1"/>
        <v>1868.64</v>
      </c>
      <c r="P120" s="269">
        <f t="shared" si="19"/>
        <v>1</v>
      </c>
      <c r="Q120" s="269" t="str">
        <f t="shared" si="3"/>
        <v/>
      </c>
      <c r="R120" s="1147"/>
      <c r="S120" s="1143" t="str">
        <f t="shared" si="4"/>
        <v>Downsize</v>
      </c>
      <c r="T120" s="1144">
        <f t="shared" si="5"/>
        <v>2304.8275862068967</v>
      </c>
      <c r="U120" s="1144">
        <f t="shared" si="6"/>
        <v>919.65517241379314</v>
      </c>
      <c r="V120" s="1146">
        <f t="shared" si="7"/>
        <v>11214.169278996866</v>
      </c>
      <c r="W120" s="1146">
        <f t="shared" si="8"/>
        <v>9112.376470588235</v>
      </c>
      <c r="X120" s="1146">
        <f t="shared" si="9"/>
        <v>2101.7928084086307</v>
      </c>
      <c r="Y120" s="1146">
        <f t="shared" si="10"/>
        <v>9964.2100204253293</v>
      </c>
      <c r="Z120" s="1146">
        <f t="shared" si="11"/>
        <v>9112.376470588235</v>
      </c>
      <c r="AA120" s="1146">
        <f t="shared" si="12"/>
        <v>851.83354983709432</v>
      </c>
      <c r="AB120" s="1146">
        <f t="shared" si="13"/>
        <v>10840.363636363636</v>
      </c>
      <c r="AC120" s="1146">
        <f t="shared" si="14"/>
        <v>9112.376470588235</v>
      </c>
      <c r="AD120" s="1146">
        <f t="shared" si="15"/>
        <v>1727.9871657754011</v>
      </c>
      <c r="AE120" s="1146">
        <f t="shared" si="16"/>
        <v>9632.0696864111505</v>
      </c>
      <c r="AF120" s="1146">
        <f t="shared" si="17"/>
        <v>9112.376470588235</v>
      </c>
      <c r="AG120" s="1146">
        <f t="shared" si="18"/>
        <v>519.69321582291559</v>
      </c>
    </row>
    <row r="121" spans="2:33" ht="14.4">
      <c r="B121" s="1134">
        <v>8903028</v>
      </c>
      <c r="C121" s="1135"/>
      <c r="D121" s="1134">
        <v>641628</v>
      </c>
      <c r="E121" s="1136">
        <v>41978</v>
      </c>
      <c r="F121" s="1137">
        <v>60000</v>
      </c>
      <c r="G121" s="1134">
        <v>10</v>
      </c>
      <c r="H121" s="1137">
        <v>57000</v>
      </c>
      <c r="I121" s="1134">
        <v>14</v>
      </c>
      <c r="J121" s="1138">
        <v>7559</v>
      </c>
      <c r="K121" s="1139"/>
      <c r="L121" s="1140">
        <v>42034</v>
      </c>
      <c r="M121" s="269">
        <f t="shared" si="0"/>
        <v>1</v>
      </c>
      <c r="N121" s="1141">
        <v>325</v>
      </c>
      <c r="O121" s="1087">
        <f t="shared" si="1"/>
        <v>5299.7142857142862</v>
      </c>
      <c r="P121" s="269">
        <f t="shared" si="19"/>
        <v>1</v>
      </c>
      <c r="Q121" s="269" t="str">
        <f t="shared" si="3"/>
        <v/>
      </c>
      <c r="R121" s="1147"/>
      <c r="S121" s="1143" t="str">
        <f t="shared" si="4"/>
        <v>Downsize</v>
      </c>
      <c r="T121" s="1144">
        <f t="shared" si="5"/>
        <v>2345.2631578947367</v>
      </c>
      <c r="U121" s="1144">
        <f t="shared" si="6"/>
        <v>935.78947368421052</v>
      </c>
      <c r="V121" s="1146">
        <f t="shared" si="7"/>
        <v>21363.444976076556</v>
      </c>
      <c r="W121" s="1146">
        <f t="shared" si="8"/>
        <v>15823.865546218485</v>
      </c>
      <c r="X121" s="1146">
        <f t="shared" si="9"/>
        <v>5539.5794298580713</v>
      </c>
      <c r="Y121" s="1146">
        <f t="shared" si="10"/>
        <v>16898.367870896753</v>
      </c>
      <c r="Z121" s="1146">
        <f t="shared" si="11"/>
        <v>15823.865546218485</v>
      </c>
      <c r="AA121" s="1146">
        <f t="shared" si="12"/>
        <v>1074.5023246782675</v>
      </c>
      <c r="AB121" s="1146">
        <f t="shared" si="13"/>
        <v>20295.272727272728</v>
      </c>
      <c r="AC121" s="1146">
        <f t="shared" si="14"/>
        <v>15823.865546218485</v>
      </c>
      <c r="AD121" s="1146">
        <f t="shared" si="15"/>
        <v>4471.4071810542428</v>
      </c>
      <c r="AE121" s="1146">
        <f t="shared" si="16"/>
        <v>16053.449477351915</v>
      </c>
      <c r="AF121" s="1146">
        <f t="shared" si="17"/>
        <v>15823.865546218485</v>
      </c>
      <c r="AG121" s="1146">
        <f t="shared" si="18"/>
        <v>229.58393113342936</v>
      </c>
    </row>
    <row r="122" spans="2:33" ht="14.4">
      <c r="B122" s="1134">
        <v>8812039</v>
      </c>
      <c r="C122" s="1135"/>
      <c r="D122" s="1134">
        <v>325219</v>
      </c>
      <c r="E122" s="1136">
        <v>41975</v>
      </c>
      <c r="F122" s="1137">
        <v>42000</v>
      </c>
      <c r="G122" s="1134">
        <v>13</v>
      </c>
      <c r="H122" s="1137">
        <v>48000</v>
      </c>
      <c r="I122" s="1134">
        <v>15</v>
      </c>
      <c r="J122" s="1138">
        <v>5192</v>
      </c>
      <c r="K122" s="1139"/>
      <c r="L122" s="1140">
        <v>42040</v>
      </c>
      <c r="M122" s="269">
        <f t="shared" si="0"/>
        <v>1</v>
      </c>
      <c r="N122" s="1141">
        <v>250</v>
      </c>
      <c r="O122" s="1087">
        <f t="shared" si="1"/>
        <v>84.553846153846635</v>
      </c>
      <c r="P122" s="269">
        <f t="shared" si="19"/>
        <v>1</v>
      </c>
      <c r="Q122" s="269" t="str">
        <f t="shared" si="3"/>
        <v/>
      </c>
      <c r="R122" s="1147"/>
      <c r="S122" s="1143" t="str">
        <f t="shared" si="4"/>
        <v>Upsize</v>
      </c>
      <c r="T122" s="1144">
        <f t="shared" si="5"/>
        <v>1949.50</v>
      </c>
      <c r="U122" s="1144">
        <f t="shared" si="6"/>
        <v>777.875</v>
      </c>
      <c r="V122" s="1146">
        <f t="shared" si="7"/>
        <v>10541.339160839159</v>
      </c>
      <c r="W122" s="1146">
        <f t="shared" si="8"/>
        <v>10631.105882352942</v>
      </c>
      <c r="X122" s="1146">
        <f t="shared" si="9"/>
        <v>-89.766721513782613</v>
      </c>
      <c r="Y122" s="1146">
        <f t="shared" si="10"/>
        <v>9832.7378048780483</v>
      </c>
      <c r="Z122" s="1146">
        <f t="shared" si="11"/>
        <v>10631.105882352942</v>
      </c>
      <c r="AA122" s="1146">
        <f t="shared" si="12"/>
        <v>-798.36807747489365</v>
      </c>
      <c r="AB122" s="1146">
        <f t="shared" si="13"/>
        <v>12047.244755244754</v>
      </c>
      <c r="AC122" s="1146">
        <f t="shared" si="14"/>
        <v>10631.105882352942</v>
      </c>
      <c r="AD122" s="1146">
        <f t="shared" si="15"/>
        <v>1416.1388728918118</v>
      </c>
      <c r="AE122" s="1146">
        <f t="shared" si="16"/>
        <v>11237.414634146342</v>
      </c>
      <c r="AF122" s="1146">
        <f t="shared" si="17"/>
        <v>10631.105882352942</v>
      </c>
      <c r="AG122" s="1146">
        <f t="shared" si="18"/>
        <v>606.30875179340001</v>
      </c>
    </row>
    <row r="123" spans="2:33" ht="14.4">
      <c r="B123" s="1134">
        <v>4463873</v>
      </c>
      <c r="C123" s="1135"/>
      <c r="D123" s="1134">
        <v>112478</v>
      </c>
      <c r="E123" s="1136">
        <v>42031</v>
      </c>
      <c r="F123" s="1137">
        <v>42000</v>
      </c>
      <c r="G123" s="1134">
        <v>14</v>
      </c>
      <c r="H123" s="1137">
        <v>41500</v>
      </c>
      <c r="I123" s="1134">
        <v>15</v>
      </c>
      <c r="J123" s="1138">
        <v>8749</v>
      </c>
      <c r="K123" s="1139"/>
      <c r="L123" s="1140">
        <v>42040</v>
      </c>
      <c r="M123" s="269">
        <f t="shared" si="0"/>
        <v>1</v>
      </c>
      <c r="N123" s="1141">
        <v>225</v>
      </c>
      <c r="O123" s="1087">
        <f t="shared" si="1"/>
        <v>641.2000000000005</v>
      </c>
      <c r="P123" s="269">
        <f t="shared" si="19"/>
        <v>1</v>
      </c>
      <c r="Q123" s="269" t="str">
        <f t="shared" si="3"/>
        <v/>
      </c>
      <c r="R123" s="1147"/>
      <c r="S123" s="1143" t="str">
        <f t="shared" si="4"/>
        <v>Downsize</v>
      </c>
      <c r="T123" s="1144">
        <f t="shared" si="5"/>
        <v>2254.8433734939758</v>
      </c>
      <c r="U123" s="1144">
        <f t="shared" si="6"/>
        <v>899.71084337349396</v>
      </c>
      <c r="V123" s="1146">
        <f t="shared" si="7"/>
        <v>11672.043811610076</v>
      </c>
      <c r="W123" s="1146">
        <f t="shared" si="8"/>
        <v>10631.10588235294</v>
      </c>
      <c r="X123" s="1146">
        <f t="shared" si="9"/>
        <v>1040.9379292571357</v>
      </c>
      <c r="Y123" s="1146">
        <f t="shared" si="10"/>
        <v>11372.805171907141</v>
      </c>
      <c r="Z123" s="1146">
        <f t="shared" si="11"/>
        <v>10631.10588235294</v>
      </c>
      <c r="AA123" s="1146">
        <f t="shared" si="12"/>
        <v>741.69928955420073</v>
      </c>
      <c r="AB123" s="1146">
        <f t="shared" si="13"/>
        <v>11533.090909090908</v>
      </c>
      <c r="AC123" s="1146">
        <f t="shared" si="14"/>
        <v>10631.10588235294</v>
      </c>
      <c r="AD123" s="1146">
        <f t="shared" si="15"/>
        <v>901.98502673796793</v>
      </c>
      <c r="AE123" s="1146">
        <f t="shared" si="16"/>
        <v>11237.414634146342</v>
      </c>
      <c r="AF123" s="1146">
        <f t="shared" si="17"/>
        <v>10631.10588235294</v>
      </c>
      <c r="AG123" s="1146">
        <f t="shared" si="18"/>
        <v>606.30875179340183</v>
      </c>
    </row>
    <row r="124" spans="2:33" ht="14.4">
      <c r="B124" s="1134">
        <v>8845900</v>
      </c>
      <c r="C124" s="1135"/>
      <c r="D124" s="1134">
        <v>145693</v>
      </c>
      <c r="E124" s="1136">
        <v>42031</v>
      </c>
      <c r="F124" s="1137">
        <v>42000</v>
      </c>
      <c r="G124" s="1134">
        <v>11</v>
      </c>
      <c r="H124" s="1137">
        <v>42000</v>
      </c>
      <c r="I124" s="1134">
        <v>15.50</v>
      </c>
      <c r="J124" s="1138">
        <v>6277</v>
      </c>
      <c r="K124" s="1139"/>
      <c r="L124" s="1140">
        <v>42040</v>
      </c>
      <c r="M124" s="269">
        <f t="shared" si="20" ref="M124:M187">IF(MAX(K124,L124)&lt;40000,"",ROUNDUP(MONTH(MAX(K124,L124))/3,0))</f>
        <v>1</v>
      </c>
      <c r="N124" s="1141">
        <v>225</v>
      </c>
      <c r="O124" s="1087">
        <f t="shared" si="21" ref="O124:O187">IF(F124&lt;1,"",2.748*(F124/G124-H124/I124))</f>
        <v>3046.1700879765399</v>
      </c>
      <c r="P124" s="269">
        <f t="shared" si="19"/>
        <v>1</v>
      </c>
      <c r="Q124" s="269" t="str">
        <f t="shared" si="22" ref="Q124:Q187">IF(K124&gt;0,1,"")</f>
        <v/>
      </c>
      <c r="R124" s="1147"/>
      <c r="S124" s="1143" t="str">
        <f t="shared" si="4"/>
        <v>Same Size</v>
      </c>
      <c r="T124" s="1144">
        <f t="shared" si="5"/>
        <v>2228</v>
      </c>
      <c r="U124" s="1144">
        <f t="shared" si="6"/>
        <v>889</v>
      </c>
      <c r="V124" s="1146">
        <f t="shared" si="7"/>
        <v>13356</v>
      </c>
      <c r="W124" s="1146">
        <f t="shared" si="8"/>
        <v>10429.867172675522</v>
      </c>
      <c r="X124" s="1146">
        <f t="shared" si="9"/>
        <v>2926.1328273244781</v>
      </c>
      <c r="Y124" s="1146">
        <f t="shared" si="10"/>
        <v>11237.41463414634</v>
      </c>
      <c r="Z124" s="1146">
        <f t="shared" si="11"/>
        <v>10429.867172675522</v>
      </c>
      <c r="AA124" s="1146">
        <f t="shared" si="12"/>
        <v>807.54746147081823</v>
      </c>
      <c r="AB124" s="1146">
        <f t="shared" si="13"/>
        <v>13356</v>
      </c>
      <c r="AC124" s="1146">
        <f t="shared" si="14"/>
        <v>10429.867172675522</v>
      </c>
      <c r="AD124" s="1146">
        <f t="shared" si="15"/>
        <v>2926.1328273244781</v>
      </c>
      <c r="AE124" s="1146">
        <f t="shared" si="16"/>
        <v>11237.41463414634</v>
      </c>
      <c r="AF124" s="1146">
        <f t="shared" si="17"/>
        <v>10429.867172675522</v>
      </c>
      <c r="AG124" s="1146">
        <f t="shared" si="18"/>
        <v>807.54746147081823</v>
      </c>
    </row>
    <row r="125" spans="2:33" ht="14.4">
      <c r="B125" s="1134">
        <v>1638634</v>
      </c>
      <c r="C125" s="1135"/>
      <c r="D125" s="1134">
        <v>163863</v>
      </c>
      <c r="E125" s="1136">
        <v>42032</v>
      </c>
      <c r="F125" s="1137">
        <v>48000</v>
      </c>
      <c r="G125" s="1134">
        <v>10</v>
      </c>
      <c r="H125" s="1137">
        <v>47000</v>
      </c>
      <c r="I125" s="1134">
        <v>17.50</v>
      </c>
      <c r="J125" s="1138">
        <v>7484</v>
      </c>
      <c r="K125" s="1139"/>
      <c r="L125" s="1140">
        <v>42040</v>
      </c>
      <c r="M125" s="269">
        <f t="shared" si="20"/>
        <v>1</v>
      </c>
      <c r="N125" s="1141">
        <v>325</v>
      </c>
      <c r="O125" s="1087">
        <f t="shared" si="21"/>
        <v>5810.0571428571429</v>
      </c>
      <c r="P125" s="269">
        <f t="shared" si="19"/>
        <v>1</v>
      </c>
      <c r="Q125" s="269" t="str">
        <f t="shared" si="22"/>
        <v/>
      </c>
      <c r="R125" s="1147"/>
      <c r="S125" s="1143" t="str">
        <f t="shared" si="23" ref="S125:S188">IF(F125=H125,"Same Size",IF(F125&lt;H125,"Upsize","Downsize"))</f>
        <v>Downsize</v>
      </c>
      <c r="T125" s="1144">
        <f t="shared" si="24" ref="T125:T188">($F125/$H125)*$K$35</f>
        <v>2275.4042553191489</v>
      </c>
      <c r="U125" s="1144">
        <f t="shared" si="25" ref="U125:U188">($F125/$H125)*$K$36</f>
        <v>907.91489361702122</v>
      </c>
      <c r="V125" s="1146">
        <f t="shared" si="26" ref="V125:V188">$P125*$F125/1000*($T125/$G125+$U125/$K$33)</f>
        <v>16581.669632495163</v>
      </c>
      <c r="W125" s="1146">
        <f t="shared" si="27" ref="W125:W188">$P125*$H125/1000*($T125/$I125+$U125/$K$32)</f>
        <v>11131.321008403362</v>
      </c>
      <c r="X125" s="1146">
        <f t="shared" si="28" ref="X125:X188">V125-W125</f>
        <v>5450.348624091801</v>
      </c>
      <c r="Y125" s="1146">
        <f t="shared" si="29" ref="Y125:Y188">$P125*$F125/1000*($T125/14+$U125/$K$34)</f>
        <v>13116.009785751354</v>
      </c>
      <c r="Z125" s="1146">
        <f t="shared" si="30" ref="Z125:Z188">$P125*$H125/1000*($T125/$I125+$U125/$K$32)</f>
        <v>11131.321008403362</v>
      </c>
      <c r="AA125" s="1146">
        <f t="shared" si="31" ref="AA125:AA188">Y125-Z125</f>
        <v>1984.6887773479921</v>
      </c>
      <c r="AB125" s="1146">
        <f t="shared" si="32" ref="AB125:AB188">$P125*$H125/1000*($T125/$G125+$U125/$K$33)</f>
        <v>16236.218181818182</v>
      </c>
      <c r="AC125" s="1146">
        <f t="shared" si="33" ref="AC125:AC188">$P125*$H125/1000*($T125/$I125+$U125/$K$32)</f>
        <v>11131.321008403362</v>
      </c>
      <c r="AD125" s="1146">
        <f t="shared" si="34" ref="AD125:AD188">AB125-AC125</f>
        <v>5104.8971734148199</v>
      </c>
      <c r="AE125" s="1146">
        <f t="shared" si="35" ref="AE125:AE188">$P125*$H125/1000*($T125/14+$U125/$K$34)</f>
        <v>12842.759581881533</v>
      </c>
      <c r="AF125" s="1146">
        <f t="shared" si="36" ref="AF125:AF188">$P125*$H125/1000*($T125/$I125+$U125/$K$32)</f>
        <v>11131.321008403362</v>
      </c>
      <c r="AG125" s="1146">
        <f t="shared" si="37" ref="AG125:AG188">AE125-AF125</f>
        <v>1711.4385734781718</v>
      </c>
    </row>
    <row r="126" spans="2:33" ht="14.4">
      <c r="B126" s="1134">
        <v>5343041</v>
      </c>
      <c r="C126" s="1135"/>
      <c r="D126" s="1134">
        <v>220252</v>
      </c>
      <c r="E126" s="1136">
        <v>42027</v>
      </c>
      <c r="F126" s="1137">
        <v>42000</v>
      </c>
      <c r="G126" s="1134">
        <v>13</v>
      </c>
      <c r="H126" s="1137">
        <v>42000</v>
      </c>
      <c r="I126" s="1134">
        <v>15</v>
      </c>
      <c r="J126" s="1138">
        <v>5100</v>
      </c>
      <c r="K126" s="1139"/>
      <c r="L126" s="1140">
        <v>42040</v>
      </c>
      <c r="M126" s="269">
        <f t="shared" si="20"/>
        <v>1</v>
      </c>
      <c r="N126" s="1141">
        <v>225</v>
      </c>
      <c r="O126" s="1087">
        <f t="shared" si="21"/>
        <v>1183.7538461538468</v>
      </c>
      <c r="P126" s="269">
        <f t="shared" si="19"/>
        <v>1</v>
      </c>
      <c r="Q126" s="269" t="str">
        <f t="shared" si="22"/>
        <v/>
      </c>
      <c r="R126" s="1147"/>
      <c r="S126" s="1143" t="str">
        <f t="shared" si="23"/>
        <v>Same Size</v>
      </c>
      <c r="T126" s="1144">
        <f t="shared" si="24"/>
        <v>2228</v>
      </c>
      <c r="U126" s="1144">
        <f t="shared" si="25"/>
        <v>889</v>
      </c>
      <c r="V126" s="1146">
        <f t="shared" si="26"/>
        <v>12047.244755244756</v>
      </c>
      <c r="W126" s="1146">
        <f t="shared" si="27"/>
        <v>10631.105882352942</v>
      </c>
      <c r="X126" s="1146">
        <f t="shared" si="28"/>
        <v>1416.1388728918137</v>
      </c>
      <c r="Y126" s="1146">
        <f t="shared" si="29"/>
        <v>11237.41463414634</v>
      </c>
      <c r="Z126" s="1146">
        <f t="shared" si="30"/>
        <v>10631.105882352942</v>
      </c>
      <c r="AA126" s="1146">
        <f t="shared" si="31"/>
        <v>606.30875179339819</v>
      </c>
      <c r="AB126" s="1146">
        <f t="shared" si="32"/>
        <v>12047.244755244756</v>
      </c>
      <c r="AC126" s="1146">
        <f t="shared" si="33"/>
        <v>10631.105882352942</v>
      </c>
      <c r="AD126" s="1146">
        <f t="shared" si="34"/>
        <v>1416.1388728918137</v>
      </c>
      <c r="AE126" s="1146">
        <f t="shared" si="35"/>
        <v>11237.41463414634</v>
      </c>
      <c r="AF126" s="1146">
        <f t="shared" si="36"/>
        <v>10631.105882352942</v>
      </c>
      <c r="AG126" s="1146">
        <f t="shared" si="37"/>
        <v>606.30875179339819</v>
      </c>
    </row>
    <row r="127" spans="2:33" ht="14.4">
      <c r="B127" s="1134">
        <v>6221170</v>
      </c>
      <c r="C127" s="1135"/>
      <c r="D127" s="1134">
        <v>597912</v>
      </c>
      <c r="E127" s="1136">
        <v>42010</v>
      </c>
      <c r="F127" s="1137">
        <v>42000</v>
      </c>
      <c r="G127" s="1134">
        <v>10</v>
      </c>
      <c r="H127" s="1137">
        <v>42000</v>
      </c>
      <c r="I127" s="1134">
        <v>14</v>
      </c>
      <c r="J127" s="1138">
        <v>4600</v>
      </c>
      <c r="K127" s="1139"/>
      <c r="L127" s="1140">
        <v>42041</v>
      </c>
      <c r="M127" s="269">
        <f t="shared" si="20"/>
        <v>1</v>
      </c>
      <c r="N127" s="1141">
        <v>225</v>
      </c>
      <c r="O127" s="1087">
        <f t="shared" si="21"/>
        <v>3297.6000000000004</v>
      </c>
      <c r="P127" s="269">
        <f t="shared" si="19"/>
        <v>1</v>
      </c>
      <c r="Q127" s="269" t="str">
        <f t="shared" si="22"/>
        <v/>
      </c>
      <c r="R127" s="1147"/>
      <c r="S127" s="1143" t="str">
        <f t="shared" si="23"/>
        <v>Same Size</v>
      </c>
      <c r="T127" s="1144">
        <f t="shared" si="24"/>
        <v>2228</v>
      </c>
      <c r="U127" s="1144">
        <f t="shared" si="25"/>
        <v>889</v>
      </c>
      <c r="V127" s="1146">
        <f t="shared" si="26"/>
        <v>14206.690909090909</v>
      </c>
      <c r="W127" s="1146">
        <f t="shared" si="27"/>
        <v>11076.705882352941</v>
      </c>
      <c r="X127" s="1146">
        <f t="shared" si="28"/>
        <v>3129.9850267379679</v>
      </c>
      <c r="Y127" s="1146">
        <f t="shared" si="29"/>
        <v>11237.41463414634</v>
      </c>
      <c r="Z127" s="1146">
        <f t="shared" si="30"/>
        <v>11076.705882352941</v>
      </c>
      <c r="AA127" s="1146">
        <f t="shared" si="31"/>
        <v>160.70875179339964</v>
      </c>
      <c r="AB127" s="1146">
        <f t="shared" si="32"/>
        <v>14206.690909090909</v>
      </c>
      <c r="AC127" s="1146">
        <f t="shared" si="33"/>
        <v>11076.705882352941</v>
      </c>
      <c r="AD127" s="1146">
        <f t="shared" si="34"/>
        <v>3129.9850267379679</v>
      </c>
      <c r="AE127" s="1146">
        <f t="shared" si="35"/>
        <v>11237.41463414634</v>
      </c>
      <c r="AF127" s="1146">
        <f t="shared" si="36"/>
        <v>11076.705882352941</v>
      </c>
      <c r="AG127" s="1146">
        <f t="shared" si="37"/>
        <v>160.70875179339964</v>
      </c>
    </row>
    <row r="128" spans="2:33" ht="14.4">
      <c r="B128" s="1134">
        <v>6104376</v>
      </c>
      <c r="C128" s="1135"/>
      <c r="D128" s="1134">
        <v>89343</v>
      </c>
      <c r="E128" s="1136">
        <v>41917</v>
      </c>
      <c r="F128" s="1137">
        <v>48000</v>
      </c>
      <c r="G128" s="1134">
        <v>13</v>
      </c>
      <c r="H128" s="1137">
        <v>48000</v>
      </c>
      <c r="I128" s="1134">
        <v>16</v>
      </c>
      <c r="J128" s="1138">
        <v>4000</v>
      </c>
      <c r="K128" s="1139"/>
      <c r="L128" s="1140">
        <v>42051</v>
      </c>
      <c r="M128" s="269">
        <f t="shared" si="20"/>
        <v>1</v>
      </c>
      <c r="N128" s="1141">
        <v>325</v>
      </c>
      <c r="O128" s="1087">
        <f t="shared" si="21"/>
        <v>1902.4615384615388</v>
      </c>
      <c r="P128" s="269">
        <f t="shared" si="19"/>
        <v>1</v>
      </c>
      <c r="Q128" s="269" t="str">
        <f t="shared" si="22"/>
        <v/>
      </c>
      <c r="R128" s="1147"/>
      <c r="S128" s="1143" t="str">
        <f t="shared" si="23"/>
        <v>Same Size</v>
      </c>
      <c r="T128" s="1144">
        <f t="shared" si="24"/>
        <v>2228</v>
      </c>
      <c r="U128" s="1144">
        <f t="shared" si="25"/>
        <v>889</v>
      </c>
      <c r="V128" s="1146">
        <f t="shared" si="26"/>
        <v>13768.279720279721</v>
      </c>
      <c r="W128" s="1146">
        <f t="shared" si="27"/>
        <v>11704.235294117647</v>
      </c>
      <c r="X128" s="1146">
        <f t="shared" si="28"/>
        <v>2064.0444261620742</v>
      </c>
      <c r="Y128" s="1146">
        <f t="shared" si="29"/>
        <v>12842.759581881532</v>
      </c>
      <c r="Z128" s="1146">
        <f t="shared" si="30"/>
        <v>11704.235294117647</v>
      </c>
      <c r="AA128" s="1146">
        <f t="shared" si="31"/>
        <v>1138.5242877638848</v>
      </c>
      <c r="AB128" s="1146">
        <f t="shared" si="32"/>
        <v>13768.279720279721</v>
      </c>
      <c r="AC128" s="1146">
        <f t="shared" si="33"/>
        <v>11704.235294117647</v>
      </c>
      <c r="AD128" s="1146">
        <f t="shared" si="34"/>
        <v>2064.0444261620742</v>
      </c>
      <c r="AE128" s="1146">
        <f t="shared" si="35"/>
        <v>12842.759581881532</v>
      </c>
      <c r="AF128" s="1146">
        <f t="shared" si="36"/>
        <v>11704.235294117647</v>
      </c>
      <c r="AG128" s="1146">
        <f t="shared" si="37"/>
        <v>1138.5242877638848</v>
      </c>
    </row>
    <row r="129" spans="2:33" ht="14.4">
      <c r="B129" s="1134">
        <v>2030377</v>
      </c>
      <c r="C129" s="1135"/>
      <c r="D129" s="1134">
        <v>203037</v>
      </c>
      <c r="E129" s="1136">
        <v>42017</v>
      </c>
      <c r="F129" s="1137">
        <v>48000</v>
      </c>
      <c r="G129" s="1134">
        <v>12</v>
      </c>
      <c r="H129" s="1137">
        <v>48000</v>
      </c>
      <c r="I129" s="1134">
        <v>15</v>
      </c>
      <c r="J129" s="1138">
        <v>6860</v>
      </c>
      <c r="K129" s="1139"/>
      <c r="L129" s="1140">
        <v>42051</v>
      </c>
      <c r="M129" s="269">
        <f t="shared" si="20"/>
        <v>1</v>
      </c>
      <c r="N129" s="1141">
        <v>250</v>
      </c>
      <c r="O129" s="1087">
        <f t="shared" si="21"/>
        <v>2198.40</v>
      </c>
      <c r="P129" s="269">
        <f t="shared" si="19"/>
        <v>1</v>
      </c>
      <c r="Q129" s="269" t="str">
        <f t="shared" si="22"/>
        <v/>
      </c>
      <c r="R129" s="1147"/>
      <c r="S129" s="1143" t="str">
        <f t="shared" si="23"/>
        <v>Same Size</v>
      </c>
      <c r="T129" s="1144">
        <f t="shared" si="24"/>
        <v>2228</v>
      </c>
      <c r="U129" s="1144">
        <f t="shared" si="25"/>
        <v>889</v>
      </c>
      <c r="V129" s="1146">
        <f t="shared" si="26"/>
        <v>14453.818181818182</v>
      </c>
      <c r="W129" s="1146">
        <f t="shared" si="27"/>
        <v>12149.835294117647</v>
      </c>
      <c r="X129" s="1146">
        <f t="shared" si="28"/>
        <v>2303.9828877005348</v>
      </c>
      <c r="Y129" s="1146">
        <f t="shared" si="29"/>
        <v>12842.759581881532</v>
      </c>
      <c r="Z129" s="1146">
        <f t="shared" si="30"/>
        <v>12149.835294117647</v>
      </c>
      <c r="AA129" s="1146">
        <f t="shared" si="31"/>
        <v>692.92428776388442</v>
      </c>
      <c r="AB129" s="1146">
        <f t="shared" si="32"/>
        <v>14453.818181818182</v>
      </c>
      <c r="AC129" s="1146">
        <f t="shared" si="33"/>
        <v>12149.835294117647</v>
      </c>
      <c r="AD129" s="1146">
        <f t="shared" si="34"/>
        <v>2303.9828877005348</v>
      </c>
      <c r="AE129" s="1146">
        <f t="shared" si="35"/>
        <v>12842.759581881532</v>
      </c>
      <c r="AF129" s="1146">
        <f t="shared" si="36"/>
        <v>12149.835294117647</v>
      </c>
      <c r="AG129" s="1146">
        <f t="shared" si="37"/>
        <v>692.92428776388442</v>
      </c>
    </row>
    <row r="130" spans="2:33" ht="14.4">
      <c r="B130" s="1134">
        <v>1491281</v>
      </c>
      <c r="C130" s="1135"/>
      <c r="D130" s="1134">
        <v>149128</v>
      </c>
      <c r="E130" s="1136">
        <v>42026</v>
      </c>
      <c r="F130" s="1137">
        <v>48000</v>
      </c>
      <c r="G130" s="1134">
        <v>10</v>
      </c>
      <c r="H130" s="1137">
        <v>47500</v>
      </c>
      <c r="I130" s="1134">
        <v>15</v>
      </c>
      <c r="J130" s="1138">
        <v>5597</v>
      </c>
      <c r="K130" s="1139"/>
      <c r="L130" s="1140">
        <v>42051</v>
      </c>
      <c r="M130" s="269">
        <f t="shared" si="20"/>
        <v>1</v>
      </c>
      <c r="N130" s="1141">
        <v>250</v>
      </c>
      <c r="O130" s="1087">
        <f t="shared" si="21"/>
        <v>4488.4000000000005</v>
      </c>
      <c r="P130" s="269">
        <f t="shared" si="19"/>
        <v>1</v>
      </c>
      <c r="Q130" s="269" t="str">
        <f t="shared" si="22"/>
        <v/>
      </c>
      <c r="R130" s="1147"/>
      <c r="S130" s="1143" t="str">
        <f t="shared" si="23"/>
        <v>Downsize</v>
      </c>
      <c r="T130" s="1144">
        <f t="shared" si="24"/>
        <v>2251.4526315789476</v>
      </c>
      <c r="U130" s="1144">
        <f t="shared" si="25"/>
        <v>898.35789473684213</v>
      </c>
      <c r="V130" s="1146">
        <f t="shared" si="26"/>
        <v>16407.125741626798</v>
      </c>
      <c r="W130" s="1146">
        <f t="shared" si="27"/>
        <v>12149.835294117649</v>
      </c>
      <c r="X130" s="1146">
        <f t="shared" si="28"/>
        <v>4257.2904475091491</v>
      </c>
      <c r="Y130" s="1146">
        <f t="shared" si="29"/>
        <v>12977.946524848709</v>
      </c>
      <c r="Z130" s="1146">
        <f t="shared" si="30"/>
        <v>12149.835294117649</v>
      </c>
      <c r="AA130" s="1146">
        <f t="shared" si="31"/>
        <v>828.11123073105955</v>
      </c>
      <c r="AB130" s="1146">
        <f t="shared" si="32"/>
        <v>16236.218181818183</v>
      </c>
      <c r="AC130" s="1146">
        <f t="shared" si="33"/>
        <v>12149.835294117649</v>
      </c>
      <c r="AD130" s="1146">
        <f t="shared" si="34"/>
        <v>4086.3828877005344</v>
      </c>
      <c r="AE130" s="1146">
        <f t="shared" si="35"/>
        <v>12842.759581881535</v>
      </c>
      <c r="AF130" s="1146">
        <f t="shared" si="36"/>
        <v>12149.835294117649</v>
      </c>
      <c r="AG130" s="1146">
        <f t="shared" si="37"/>
        <v>692.92428776388624</v>
      </c>
    </row>
    <row r="131" spans="2:33" ht="14.4">
      <c r="B131" s="1134">
        <v>1478809</v>
      </c>
      <c r="C131" s="1135"/>
      <c r="D131" s="1134">
        <v>147880</v>
      </c>
      <c r="E131" s="1136">
        <v>41988</v>
      </c>
      <c r="F131" s="1137">
        <v>36000</v>
      </c>
      <c r="G131" s="1134">
        <v>10</v>
      </c>
      <c r="H131" s="1137">
        <v>34800</v>
      </c>
      <c r="I131" s="1134">
        <v>15</v>
      </c>
      <c r="J131" s="1138">
        <v>4745</v>
      </c>
      <c r="K131" s="1139"/>
      <c r="L131" s="1140">
        <v>42051</v>
      </c>
      <c r="M131" s="269">
        <f t="shared" si="20"/>
        <v>1</v>
      </c>
      <c r="N131" s="1141">
        <v>225</v>
      </c>
      <c r="O131" s="1087">
        <f t="shared" si="21"/>
        <v>3517.4400000000005</v>
      </c>
      <c r="P131" s="269">
        <f t="shared" si="19"/>
        <v>1</v>
      </c>
      <c r="Q131" s="269" t="str">
        <f t="shared" si="22"/>
        <v/>
      </c>
      <c r="R131" s="1147"/>
      <c r="S131" s="1143" t="str">
        <f t="shared" si="23"/>
        <v>Downsize</v>
      </c>
      <c r="T131" s="1144">
        <f t="shared" si="24"/>
        <v>2304.8275862068967</v>
      </c>
      <c r="U131" s="1144">
        <f t="shared" si="25"/>
        <v>919.65517241379314</v>
      </c>
      <c r="V131" s="1146">
        <f t="shared" si="26"/>
        <v>12597.065830721003</v>
      </c>
      <c r="W131" s="1146">
        <f t="shared" si="27"/>
        <v>9112.376470588235</v>
      </c>
      <c r="X131" s="1146">
        <f t="shared" si="28"/>
        <v>3484.6893601327683</v>
      </c>
      <c r="Y131" s="1146">
        <f t="shared" si="29"/>
        <v>9964.2100204253293</v>
      </c>
      <c r="Z131" s="1146">
        <f t="shared" si="30"/>
        <v>9112.376470588235</v>
      </c>
      <c r="AA131" s="1146">
        <f t="shared" si="31"/>
        <v>851.83354983709432</v>
      </c>
      <c r="AB131" s="1146">
        <f t="shared" si="32"/>
        <v>12177.163636363635</v>
      </c>
      <c r="AC131" s="1146">
        <f t="shared" si="33"/>
        <v>9112.376470588235</v>
      </c>
      <c r="AD131" s="1146">
        <f t="shared" si="34"/>
        <v>3064.7871657754004</v>
      </c>
      <c r="AE131" s="1146">
        <f t="shared" si="35"/>
        <v>9632.0696864111505</v>
      </c>
      <c r="AF131" s="1146">
        <f t="shared" si="36"/>
        <v>9112.376470588235</v>
      </c>
      <c r="AG131" s="1146">
        <f t="shared" si="37"/>
        <v>519.69321582291559</v>
      </c>
    </row>
    <row r="132" spans="2:33" ht="14.4">
      <c r="B132" s="1134">
        <v>7805583</v>
      </c>
      <c r="C132" s="1135"/>
      <c r="D132" s="1134">
        <v>680170</v>
      </c>
      <c r="E132" s="1136">
        <v>41857</v>
      </c>
      <c r="F132" s="1137">
        <v>60000</v>
      </c>
      <c r="G132" s="1134">
        <v>10</v>
      </c>
      <c r="H132" s="1137">
        <v>56500</v>
      </c>
      <c r="I132" s="1134">
        <v>14.50</v>
      </c>
      <c r="J132" s="1138">
        <v>7499</v>
      </c>
      <c r="K132" s="1139"/>
      <c r="L132" s="1140">
        <v>42051</v>
      </c>
      <c r="M132" s="269">
        <f t="shared" si="20"/>
        <v>1</v>
      </c>
      <c r="N132" s="1141">
        <v>325</v>
      </c>
      <c r="O132" s="1087">
        <f t="shared" si="21"/>
        <v>5780.2758620689656</v>
      </c>
      <c r="P132" s="269">
        <f t="shared" si="19"/>
        <v>1</v>
      </c>
      <c r="Q132" s="269" t="str">
        <f t="shared" si="22"/>
        <v/>
      </c>
      <c r="R132" s="1147"/>
      <c r="S132" s="1143" t="str">
        <f t="shared" si="23"/>
        <v>Downsize</v>
      </c>
      <c r="T132" s="1144">
        <f t="shared" si="24"/>
        <v>2366.0176991150443</v>
      </c>
      <c r="U132" s="1144">
        <f t="shared" si="25"/>
        <v>944.07079646017712</v>
      </c>
      <c r="V132" s="1146">
        <f t="shared" si="26"/>
        <v>21552.502011263074</v>
      </c>
      <c r="W132" s="1146">
        <f t="shared" si="27"/>
        <v>15494.604462474646</v>
      </c>
      <c r="X132" s="1146">
        <f t="shared" si="28"/>
        <v>6057.8975487884272</v>
      </c>
      <c r="Y132" s="1146">
        <f t="shared" si="29"/>
        <v>17047.91094940027</v>
      </c>
      <c r="Z132" s="1146">
        <f t="shared" si="30"/>
        <v>15494.604462474646</v>
      </c>
      <c r="AA132" s="1146">
        <f t="shared" si="31"/>
        <v>1553.3064869256232</v>
      </c>
      <c r="AB132" s="1146">
        <f t="shared" si="32"/>
        <v>20295.272727272728</v>
      </c>
      <c r="AC132" s="1146">
        <f t="shared" si="33"/>
        <v>15494.604462474646</v>
      </c>
      <c r="AD132" s="1146">
        <f t="shared" si="34"/>
        <v>4800.6682647980815</v>
      </c>
      <c r="AE132" s="1146">
        <f t="shared" si="35"/>
        <v>16053.44947735192</v>
      </c>
      <c r="AF132" s="1146">
        <f t="shared" si="36"/>
        <v>15494.604462474646</v>
      </c>
      <c r="AG132" s="1146">
        <f t="shared" si="37"/>
        <v>558.84501487727357</v>
      </c>
    </row>
    <row r="133" spans="2:33" ht="14.4">
      <c r="B133" s="1134">
        <v>7871627</v>
      </c>
      <c r="C133" s="1135"/>
      <c r="D133" s="1134">
        <v>90162</v>
      </c>
      <c r="E133" s="1136">
        <v>41972</v>
      </c>
      <c r="F133" s="1137">
        <v>36000</v>
      </c>
      <c r="G133" s="1134">
        <v>10</v>
      </c>
      <c r="H133" s="1137">
        <v>35400</v>
      </c>
      <c r="I133" s="1134">
        <v>15</v>
      </c>
      <c r="J133" s="1138">
        <v>5550</v>
      </c>
      <c r="K133" s="1139"/>
      <c r="L133" s="1140">
        <v>42051</v>
      </c>
      <c r="M133" s="269">
        <f t="shared" si="20"/>
        <v>1</v>
      </c>
      <c r="N133" s="1141">
        <v>225</v>
      </c>
      <c r="O133" s="1087">
        <f t="shared" si="21"/>
        <v>3407.5200000000004</v>
      </c>
      <c r="P133" s="269">
        <f t="shared" si="19"/>
        <v>1</v>
      </c>
      <c r="Q133" s="269" t="str">
        <f t="shared" si="22"/>
        <v/>
      </c>
      <c r="R133" s="1147"/>
      <c r="S133" s="1143" t="str">
        <f t="shared" si="23"/>
        <v>Downsize</v>
      </c>
      <c r="T133" s="1144">
        <f t="shared" si="24"/>
        <v>2265.7627118644068</v>
      </c>
      <c r="U133" s="1144">
        <f t="shared" si="25"/>
        <v>904.06779661016947</v>
      </c>
      <c r="V133" s="1146">
        <f t="shared" si="26"/>
        <v>12383.556240369799</v>
      </c>
      <c r="W133" s="1146">
        <f t="shared" si="27"/>
        <v>9112.376470588235</v>
      </c>
      <c r="X133" s="1146">
        <f t="shared" si="28"/>
        <v>3271.1797697815637</v>
      </c>
      <c r="Y133" s="1146">
        <f t="shared" si="29"/>
        <v>9795.3251048248985</v>
      </c>
      <c r="Z133" s="1146">
        <f t="shared" si="30"/>
        <v>9112.376470588235</v>
      </c>
      <c r="AA133" s="1146">
        <f t="shared" si="31"/>
        <v>682.94863423666357</v>
      </c>
      <c r="AB133" s="1146">
        <f t="shared" si="32"/>
        <v>12177.163636363635</v>
      </c>
      <c r="AC133" s="1146">
        <f t="shared" si="33"/>
        <v>9112.376470588235</v>
      </c>
      <c r="AD133" s="1146">
        <f t="shared" si="34"/>
        <v>3064.7871657754004</v>
      </c>
      <c r="AE133" s="1146">
        <f t="shared" si="35"/>
        <v>9632.0696864111487</v>
      </c>
      <c r="AF133" s="1146">
        <f t="shared" si="36"/>
        <v>9112.376470588235</v>
      </c>
      <c r="AG133" s="1146">
        <f t="shared" si="37"/>
        <v>519.69321582291377</v>
      </c>
    </row>
    <row r="134" spans="2:33" ht="14.4">
      <c r="B134" s="1134">
        <v>1912898</v>
      </c>
      <c r="C134" s="1135"/>
      <c r="D134" s="1134">
        <v>191289</v>
      </c>
      <c r="E134" s="1136">
        <v>41982</v>
      </c>
      <c r="F134" s="1137">
        <v>36000</v>
      </c>
      <c r="G134" s="1134">
        <v>8</v>
      </c>
      <c r="H134" s="1137">
        <v>36400</v>
      </c>
      <c r="I134" s="1134">
        <v>17</v>
      </c>
      <c r="J134" s="1138">
        <v>5500</v>
      </c>
      <c r="K134" s="1139"/>
      <c r="L134" s="1140">
        <v>42051</v>
      </c>
      <c r="M134" s="269">
        <f t="shared" si="20"/>
        <v>1</v>
      </c>
      <c r="N134" s="1141">
        <v>275</v>
      </c>
      <c r="O134" s="1087">
        <f t="shared" si="21"/>
        <v>6482.0470588235303</v>
      </c>
      <c r="P134" s="269">
        <f t="shared" si="19"/>
        <v>1</v>
      </c>
      <c r="Q134" s="269" t="str">
        <f t="shared" si="22"/>
        <v/>
      </c>
      <c r="R134" s="1147"/>
      <c r="S134" s="1143" t="str">
        <f t="shared" si="23"/>
        <v>Upsize</v>
      </c>
      <c r="T134" s="1144">
        <f t="shared" si="24"/>
        <v>2203.5164835164837</v>
      </c>
      <c r="U134" s="1144">
        <f t="shared" si="25"/>
        <v>879.23076923076928</v>
      </c>
      <c r="V134" s="1146">
        <f t="shared" si="26"/>
        <v>14026.513486513488</v>
      </c>
      <c r="W134" s="1146">
        <f t="shared" si="27"/>
        <v>8483.2941176470595</v>
      </c>
      <c r="X134" s="1146">
        <f t="shared" si="28"/>
        <v>5543.2193688664283</v>
      </c>
      <c r="Y134" s="1146">
        <f t="shared" si="29"/>
        <v>9526.2227667802581</v>
      </c>
      <c r="Z134" s="1146">
        <f t="shared" si="30"/>
        <v>8483.2941176470595</v>
      </c>
      <c r="AA134" s="1146">
        <f t="shared" si="31"/>
        <v>1042.9286491331986</v>
      </c>
      <c r="AB134" s="1146">
        <f t="shared" si="32"/>
        <v>14182.363636363638</v>
      </c>
      <c r="AC134" s="1146">
        <f t="shared" si="33"/>
        <v>8483.2941176470595</v>
      </c>
      <c r="AD134" s="1146">
        <f t="shared" si="34"/>
        <v>5699.0695187165784</v>
      </c>
      <c r="AE134" s="1146">
        <f t="shared" si="35"/>
        <v>9632.0696864111505</v>
      </c>
      <c r="AF134" s="1146">
        <f t="shared" si="36"/>
        <v>8483.2941176470595</v>
      </c>
      <c r="AG134" s="1146">
        <f t="shared" si="37"/>
        <v>1148.7755687640911</v>
      </c>
    </row>
    <row r="135" spans="2:33" ht="14.4">
      <c r="B135" s="1134">
        <v>8852534</v>
      </c>
      <c r="C135" s="1135"/>
      <c r="D135" s="1134">
        <v>437206</v>
      </c>
      <c r="E135" s="1136">
        <v>42026</v>
      </c>
      <c r="F135" s="1137">
        <v>30000</v>
      </c>
      <c r="G135" s="1134">
        <v>11</v>
      </c>
      <c r="H135" s="1137">
        <v>34800</v>
      </c>
      <c r="I135" s="1134">
        <v>15</v>
      </c>
      <c r="J135" s="1138">
        <v>5175</v>
      </c>
      <c r="K135" s="1139"/>
      <c r="L135" s="1140">
        <v>42051</v>
      </c>
      <c r="M135" s="269">
        <f t="shared" si="20"/>
        <v>1</v>
      </c>
      <c r="N135" s="1141">
        <v>175</v>
      </c>
      <c r="O135" s="1087">
        <f t="shared" si="21"/>
        <v>1119.1854545454553</v>
      </c>
      <c r="P135" s="269">
        <f t="shared" si="19"/>
        <v>1</v>
      </c>
      <c r="Q135" s="269" t="str">
        <f t="shared" si="22"/>
        <v/>
      </c>
      <c r="R135" s="1147"/>
      <c r="S135" s="1143" t="str">
        <f t="shared" si="23"/>
        <v>Upsize</v>
      </c>
      <c r="T135" s="1144">
        <f t="shared" si="24"/>
        <v>1920.6896551724137</v>
      </c>
      <c r="U135" s="1144">
        <f t="shared" si="25"/>
        <v>766.37931034482756</v>
      </c>
      <c r="V135" s="1146">
        <f t="shared" si="26"/>
        <v>8224.1379310344837</v>
      </c>
      <c r="W135" s="1146">
        <f t="shared" si="27"/>
        <v>7593.6470588235288</v>
      </c>
      <c r="X135" s="1146">
        <f t="shared" si="28"/>
        <v>630.49087221095488</v>
      </c>
      <c r="Y135" s="1146">
        <f t="shared" si="29"/>
        <v>6919.5902919620321</v>
      </c>
      <c r="Z135" s="1146">
        <f t="shared" si="30"/>
        <v>7593.6470588235288</v>
      </c>
      <c r="AA135" s="1146">
        <f t="shared" si="31"/>
        <v>-674.05676686149673</v>
      </c>
      <c r="AB135" s="1146">
        <f t="shared" si="32"/>
        <v>9540</v>
      </c>
      <c r="AC135" s="1146">
        <f t="shared" si="33"/>
        <v>7593.6470588235288</v>
      </c>
      <c r="AD135" s="1146">
        <f t="shared" si="34"/>
        <v>1946.3529411764712</v>
      </c>
      <c r="AE135" s="1146">
        <f t="shared" si="35"/>
        <v>8026.7247386759573</v>
      </c>
      <c r="AF135" s="1146">
        <f t="shared" si="36"/>
        <v>7593.6470588235288</v>
      </c>
      <c r="AG135" s="1146">
        <f t="shared" si="37"/>
        <v>433.07767985242845</v>
      </c>
    </row>
    <row r="136" spans="2:33" ht="14.4">
      <c r="B136" s="1134">
        <v>1357813</v>
      </c>
      <c r="C136" s="1135"/>
      <c r="D136" s="1134">
        <v>135781</v>
      </c>
      <c r="E136" s="1136">
        <v>41886</v>
      </c>
      <c r="F136" s="1137">
        <v>42000</v>
      </c>
      <c r="G136" s="1134">
        <v>11</v>
      </c>
      <c r="H136" s="1137">
        <v>42000</v>
      </c>
      <c r="I136" s="1134">
        <v>14</v>
      </c>
      <c r="J136" s="1138">
        <v>4800</v>
      </c>
      <c r="K136" s="1139"/>
      <c r="L136" s="1140">
        <v>42051</v>
      </c>
      <c r="M136" s="269">
        <f t="shared" si="20"/>
        <v>1</v>
      </c>
      <c r="N136" s="1141">
        <v>225</v>
      </c>
      <c r="O136" s="1087">
        <f t="shared" si="21"/>
        <v>2248.363636363636</v>
      </c>
      <c r="P136" s="269">
        <f t="shared" si="19"/>
        <v>1</v>
      </c>
      <c r="Q136" s="269" t="str">
        <f t="shared" si="22"/>
        <v/>
      </c>
      <c r="R136" s="1147"/>
      <c r="S136" s="1143" t="str">
        <f t="shared" si="23"/>
        <v>Same Size</v>
      </c>
      <c r="T136" s="1144">
        <f t="shared" si="24"/>
        <v>2228</v>
      </c>
      <c r="U136" s="1144">
        <f t="shared" si="25"/>
        <v>889</v>
      </c>
      <c r="V136" s="1146">
        <f t="shared" si="26"/>
        <v>13356</v>
      </c>
      <c r="W136" s="1146">
        <f t="shared" si="27"/>
        <v>11076.705882352941</v>
      </c>
      <c r="X136" s="1146">
        <f t="shared" si="28"/>
        <v>2279.2941176470595</v>
      </c>
      <c r="Y136" s="1146">
        <f t="shared" si="29"/>
        <v>11237.41463414634</v>
      </c>
      <c r="Z136" s="1146">
        <f t="shared" si="30"/>
        <v>11076.705882352941</v>
      </c>
      <c r="AA136" s="1146">
        <f t="shared" si="31"/>
        <v>160.70875179339964</v>
      </c>
      <c r="AB136" s="1146">
        <f t="shared" si="32"/>
        <v>13356</v>
      </c>
      <c r="AC136" s="1146">
        <f t="shared" si="33"/>
        <v>11076.705882352941</v>
      </c>
      <c r="AD136" s="1146">
        <f t="shared" si="34"/>
        <v>2279.2941176470595</v>
      </c>
      <c r="AE136" s="1146">
        <f t="shared" si="35"/>
        <v>11237.41463414634</v>
      </c>
      <c r="AF136" s="1146">
        <f t="shared" si="36"/>
        <v>11076.705882352941</v>
      </c>
      <c r="AG136" s="1146">
        <f t="shared" si="37"/>
        <v>160.70875179339964</v>
      </c>
    </row>
    <row r="137" spans="2:33" ht="14.4">
      <c r="B137" s="1134">
        <v>3228327</v>
      </c>
      <c r="C137" s="1135"/>
      <c r="D137" s="1134">
        <v>322832</v>
      </c>
      <c r="E137" s="1136">
        <v>42020</v>
      </c>
      <c r="F137" s="1137">
        <v>48000</v>
      </c>
      <c r="G137" s="1134">
        <v>10</v>
      </c>
      <c r="H137" s="1137">
        <v>48000</v>
      </c>
      <c r="I137" s="1134">
        <v>15</v>
      </c>
      <c r="J137" s="1138">
        <v>5200</v>
      </c>
      <c r="K137" s="1139"/>
      <c r="L137" s="1140">
        <v>42052</v>
      </c>
      <c r="M137" s="269">
        <f t="shared" si="20"/>
        <v>1</v>
      </c>
      <c r="N137" s="1141">
        <v>250</v>
      </c>
      <c r="O137" s="1087">
        <f t="shared" si="21"/>
        <v>4396.80</v>
      </c>
      <c r="P137" s="269">
        <f t="shared" si="19"/>
        <v>1</v>
      </c>
      <c r="Q137" s="269" t="str">
        <f t="shared" si="22"/>
        <v/>
      </c>
      <c r="R137" s="1147"/>
      <c r="S137" s="1143" t="str">
        <f t="shared" si="23"/>
        <v>Same Size</v>
      </c>
      <c r="T137" s="1144">
        <f t="shared" si="24"/>
        <v>2228</v>
      </c>
      <c r="U137" s="1144">
        <f t="shared" si="25"/>
        <v>889</v>
      </c>
      <c r="V137" s="1146">
        <f t="shared" si="26"/>
        <v>16236.218181818182</v>
      </c>
      <c r="W137" s="1146">
        <f t="shared" si="27"/>
        <v>12149.835294117647</v>
      </c>
      <c r="X137" s="1146">
        <f t="shared" si="28"/>
        <v>4086.3828877005344</v>
      </c>
      <c r="Y137" s="1146">
        <f t="shared" si="29"/>
        <v>12842.759581881532</v>
      </c>
      <c r="Z137" s="1146">
        <f t="shared" si="30"/>
        <v>12149.835294117647</v>
      </c>
      <c r="AA137" s="1146">
        <f t="shared" si="31"/>
        <v>692.92428776388442</v>
      </c>
      <c r="AB137" s="1146">
        <f t="shared" si="32"/>
        <v>16236.218181818182</v>
      </c>
      <c r="AC137" s="1146">
        <f t="shared" si="33"/>
        <v>12149.835294117647</v>
      </c>
      <c r="AD137" s="1146">
        <f t="shared" si="34"/>
        <v>4086.3828877005344</v>
      </c>
      <c r="AE137" s="1146">
        <f t="shared" si="35"/>
        <v>12842.759581881532</v>
      </c>
      <c r="AF137" s="1146">
        <f t="shared" si="36"/>
        <v>12149.835294117647</v>
      </c>
      <c r="AG137" s="1146">
        <f t="shared" si="37"/>
        <v>692.92428776388442</v>
      </c>
    </row>
    <row r="138" spans="2:33" ht="14.4">
      <c r="B138" s="1134">
        <v>3605177</v>
      </c>
      <c r="C138" s="1135"/>
      <c r="D138" s="1134">
        <v>360517</v>
      </c>
      <c r="E138" s="1136">
        <v>42010</v>
      </c>
      <c r="F138" s="1137">
        <v>42000</v>
      </c>
      <c r="G138" s="1134">
        <v>12</v>
      </c>
      <c r="H138" s="1137">
        <v>48000</v>
      </c>
      <c r="I138" s="1134">
        <v>16</v>
      </c>
      <c r="J138" s="1138">
        <v>7869</v>
      </c>
      <c r="K138" s="1139"/>
      <c r="L138" s="1140">
        <v>42054</v>
      </c>
      <c r="M138" s="269">
        <f t="shared" si="20"/>
        <v>1</v>
      </c>
      <c r="N138" s="1141">
        <v>300</v>
      </c>
      <c r="O138" s="1087">
        <f t="shared" si="21"/>
        <v>1374</v>
      </c>
      <c r="P138" s="269">
        <f t="shared" si="19"/>
        <v>1</v>
      </c>
      <c r="Q138" s="269" t="str">
        <f t="shared" si="22"/>
        <v/>
      </c>
      <c r="R138" s="1147"/>
      <c r="S138" s="1143" t="str">
        <f t="shared" si="23"/>
        <v>Upsize</v>
      </c>
      <c r="T138" s="1144">
        <f t="shared" si="24"/>
        <v>1949.50</v>
      </c>
      <c r="U138" s="1144">
        <f t="shared" si="25"/>
        <v>777.875</v>
      </c>
      <c r="V138" s="1146">
        <f t="shared" si="26"/>
        <v>11066.204545454546</v>
      </c>
      <c r="W138" s="1146">
        <f t="shared" si="27"/>
        <v>10241.205882352941</v>
      </c>
      <c r="X138" s="1146">
        <f t="shared" si="28"/>
        <v>824.99866310160542</v>
      </c>
      <c r="Y138" s="1146">
        <f t="shared" si="29"/>
        <v>9832.7378048780483</v>
      </c>
      <c r="Z138" s="1146">
        <f t="shared" si="30"/>
        <v>10241.205882352941</v>
      </c>
      <c r="AA138" s="1146">
        <f t="shared" si="31"/>
        <v>-408.4680774748922</v>
      </c>
      <c r="AB138" s="1146">
        <f t="shared" si="32"/>
        <v>12647.09090909091</v>
      </c>
      <c r="AC138" s="1146">
        <f t="shared" si="33"/>
        <v>10241.205882352941</v>
      </c>
      <c r="AD138" s="1146">
        <f t="shared" si="34"/>
        <v>2405.8850267379694</v>
      </c>
      <c r="AE138" s="1146">
        <f t="shared" si="35"/>
        <v>11237.414634146342</v>
      </c>
      <c r="AF138" s="1146">
        <f t="shared" si="36"/>
        <v>10241.205882352941</v>
      </c>
      <c r="AG138" s="1146">
        <f t="shared" si="37"/>
        <v>996.20875179340146</v>
      </c>
    </row>
    <row r="139" spans="2:33" ht="14.4">
      <c r="B139" s="1134">
        <v>8811323</v>
      </c>
      <c r="C139" s="1135"/>
      <c r="D139" s="1134">
        <v>328211</v>
      </c>
      <c r="E139" s="1136">
        <v>42006</v>
      </c>
      <c r="F139" s="1137">
        <v>30000</v>
      </c>
      <c r="G139" s="1134">
        <v>10</v>
      </c>
      <c r="H139" s="1137">
        <v>36000</v>
      </c>
      <c r="I139" s="1134">
        <v>17</v>
      </c>
      <c r="J139" s="1138">
        <v>7402</v>
      </c>
      <c r="K139" s="1139"/>
      <c r="L139" s="1140">
        <v>42061</v>
      </c>
      <c r="M139" s="269">
        <f t="shared" si="20"/>
        <v>1</v>
      </c>
      <c r="N139" s="1141">
        <v>250</v>
      </c>
      <c r="O139" s="1087">
        <f t="shared" si="21"/>
        <v>2424.7058823529419</v>
      </c>
      <c r="P139" s="269">
        <f t="shared" si="19"/>
        <v>1</v>
      </c>
      <c r="Q139" s="269" t="str">
        <f t="shared" si="22"/>
        <v/>
      </c>
      <c r="R139" s="1147"/>
      <c r="S139" s="1143" t="str">
        <f t="shared" si="23"/>
        <v>Upsize</v>
      </c>
      <c r="T139" s="1144">
        <f t="shared" si="24"/>
        <v>1856.6666666666667</v>
      </c>
      <c r="U139" s="1144">
        <f t="shared" si="25"/>
        <v>740.83333333333337</v>
      </c>
      <c r="V139" s="1146">
        <f t="shared" si="26"/>
        <v>8456.363636363636</v>
      </c>
      <c r="W139" s="1146">
        <f t="shared" si="27"/>
        <v>7069.4117647058829</v>
      </c>
      <c r="X139" s="1146">
        <f t="shared" si="28"/>
        <v>1386.9518716577531</v>
      </c>
      <c r="Y139" s="1146">
        <f t="shared" si="29"/>
        <v>6688.9372822299647</v>
      </c>
      <c r="Z139" s="1146">
        <f t="shared" si="30"/>
        <v>7069.4117647058829</v>
      </c>
      <c r="AA139" s="1146">
        <f t="shared" si="31"/>
        <v>-380.47448247591819</v>
      </c>
      <c r="AB139" s="1146">
        <f t="shared" si="32"/>
        <v>10147.636363636364</v>
      </c>
      <c r="AC139" s="1146">
        <f t="shared" si="33"/>
        <v>7069.4117647058829</v>
      </c>
      <c r="AD139" s="1146">
        <f t="shared" si="34"/>
        <v>3078.2245989304811</v>
      </c>
      <c r="AE139" s="1146">
        <f t="shared" si="35"/>
        <v>8026.7247386759582</v>
      </c>
      <c r="AF139" s="1146">
        <f t="shared" si="36"/>
        <v>7069.4117647058829</v>
      </c>
      <c r="AG139" s="1146">
        <f t="shared" si="37"/>
        <v>957.31297397007529</v>
      </c>
    </row>
    <row r="140" spans="2:33" ht="14.4">
      <c r="B140" s="1134">
        <v>6076582</v>
      </c>
      <c r="C140" s="1135"/>
      <c r="D140" s="1134">
        <v>573264</v>
      </c>
      <c r="E140" s="1136">
        <v>42030</v>
      </c>
      <c r="F140" s="1137">
        <v>32000</v>
      </c>
      <c r="G140" s="1134">
        <v>10</v>
      </c>
      <c r="H140" s="1137">
        <v>38000</v>
      </c>
      <c r="I140" s="1134">
        <v>15.75</v>
      </c>
      <c r="J140" s="1138">
        <v>6150</v>
      </c>
      <c r="K140" s="1139"/>
      <c r="L140" s="1140">
        <v>42061</v>
      </c>
      <c r="M140" s="269">
        <f t="shared" si="20"/>
        <v>1</v>
      </c>
      <c r="N140" s="1141">
        <v>175</v>
      </c>
      <c r="O140" s="1087">
        <f t="shared" si="21"/>
        <v>2163.5047619047623</v>
      </c>
      <c r="P140" s="269">
        <f t="shared" si="19"/>
        <v>1</v>
      </c>
      <c r="Q140" s="269" t="str">
        <f t="shared" si="22"/>
        <v/>
      </c>
      <c r="R140" s="1147"/>
      <c r="S140" s="1143" t="str">
        <f t="shared" si="23"/>
        <v>Upsize</v>
      </c>
      <c r="T140" s="1144">
        <f t="shared" si="24"/>
        <v>1876.2105263157894</v>
      </c>
      <c r="U140" s="1144">
        <f t="shared" si="25"/>
        <v>748.63157894736833</v>
      </c>
      <c r="V140" s="1146">
        <f t="shared" si="26"/>
        <v>9115.0698564593295</v>
      </c>
      <c r="W140" s="1146">
        <f t="shared" si="27"/>
        <v>7873.5536881419221</v>
      </c>
      <c r="X140" s="1146">
        <f t="shared" si="28"/>
        <v>1241.5161683174074</v>
      </c>
      <c r="Y140" s="1146">
        <f t="shared" si="29"/>
        <v>7209.9702915826147</v>
      </c>
      <c r="Z140" s="1146">
        <f t="shared" si="30"/>
        <v>7873.5536881419221</v>
      </c>
      <c r="AA140" s="1146">
        <f t="shared" si="31"/>
        <v>-663.5833965593074</v>
      </c>
      <c r="AB140" s="1146">
        <f t="shared" si="32"/>
        <v>10824.145454545454</v>
      </c>
      <c r="AC140" s="1146">
        <f t="shared" si="33"/>
        <v>7873.5536881419221</v>
      </c>
      <c r="AD140" s="1146">
        <f t="shared" si="34"/>
        <v>2950.5917664035323</v>
      </c>
      <c r="AE140" s="1146">
        <f t="shared" si="35"/>
        <v>8561.839721254355</v>
      </c>
      <c r="AF140" s="1146">
        <f t="shared" si="36"/>
        <v>7873.5536881419221</v>
      </c>
      <c r="AG140" s="1146">
        <f t="shared" si="37"/>
        <v>688.28603311243296</v>
      </c>
    </row>
    <row r="141" spans="2:33" ht="14.4">
      <c r="B141" s="1134">
        <v>8835654</v>
      </c>
      <c r="C141" s="1135"/>
      <c r="D141" s="1134">
        <v>110980</v>
      </c>
      <c r="E141" s="1136">
        <v>42346</v>
      </c>
      <c r="F141" s="1137">
        <v>60000</v>
      </c>
      <c r="G141" s="1134">
        <v>10</v>
      </c>
      <c r="H141" s="1137">
        <v>52000</v>
      </c>
      <c r="I141" s="1134">
        <v>15</v>
      </c>
      <c r="J141" s="1138">
        <v>4900</v>
      </c>
      <c r="K141" s="1139"/>
      <c r="L141" s="1140">
        <v>42061</v>
      </c>
      <c r="M141" s="269">
        <f t="shared" si="20"/>
        <v>1</v>
      </c>
      <c r="N141" s="1141">
        <v>300</v>
      </c>
      <c r="O141" s="1087">
        <f t="shared" si="21"/>
        <v>6961.6000000000013</v>
      </c>
      <c r="P141" s="269">
        <f t="shared" si="19"/>
        <v>1</v>
      </c>
      <c r="Q141" s="269" t="str">
        <f t="shared" si="22"/>
        <v/>
      </c>
      <c r="R141" s="1147"/>
      <c r="S141" s="1143" t="str">
        <f t="shared" si="23"/>
        <v>Downsize</v>
      </c>
      <c r="T141" s="1144">
        <f t="shared" si="24"/>
        <v>2570.7692307692305</v>
      </c>
      <c r="U141" s="1144">
        <f t="shared" si="25"/>
        <v>1025.7692307692307</v>
      </c>
      <c r="V141" s="1146">
        <f t="shared" si="26"/>
        <v>23417.622377622374</v>
      </c>
      <c r="W141" s="1146">
        <f t="shared" si="27"/>
        <v>15187.294117647058</v>
      </c>
      <c r="X141" s="1146">
        <f t="shared" si="28"/>
        <v>8230.3282599753165</v>
      </c>
      <c r="Y141" s="1146">
        <f t="shared" si="29"/>
        <v>18523.210935406056</v>
      </c>
      <c r="Z141" s="1146">
        <f t="shared" si="30"/>
        <v>15187.294117647058</v>
      </c>
      <c r="AA141" s="1146">
        <f t="shared" si="31"/>
        <v>3335.9168177589981</v>
      </c>
      <c r="AB141" s="1146">
        <f t="shared" si="32"/>
        <v>20295.272727272724</v>
      </c>
      <c r="AC141" s="1146">
        <f t="shared" si="33"/>
        <v>15187.294117647058</v>
      </c>
      <c r="AD141" s="1146">
        <f t="shared" si="34"/>
        <v>5107.9786096256666</v>
      </c>
      <c r="AE141" s="1146">
        <f t="shared" si="35"/>
        <v>16053.449477351915</v>
      </c>
      <c r="AF141" s="1146">
        <f t="shared" si="36"/>
        <v>15187.294117647058</v>
      </c>
      <c r="AG141" s="1146">
        <f t="shared" si="37"/>
        <v>866.15535970485689</v>
      </c>
    </row>
    <row r="142" spans="2:33" ht="14.4">
      <c r="B142" s="1134">
        <v>8890884</v>
      </c>
      <c r="C142" s="1135"/>
      <c r="D142" s="1134">
        <v>402299</v>
      </c>
      <c r="E142" s="1136">
        <v>42011</v>
      </c>
      <c r="F142" s="1137">
        <v>36000</v>
      </c>
      <c r="G142" s="1134">
        <v>10</v>
      </c>
      <c r="H142" s="1137">
        <v>35400</v>
      </c>
      <c r="I142" s="1134">
        <v>15</v>
      </c>
      <c r="J142" s="1138">
        <v>6450</v>
      </c>
      <c r="K142" s="1139"/>
      <c r="L142" s="1140">
        <v>42061</v>
      </c>
      <c r="M142" s="269">
        <f t="shared" si="20"/>
        <v>1</v>
      </c>
      <c r="N142" s="1141">
        <v>175</v>
      </c>
      <c r="O142" s="1087">
        <f t="shared" si="21"/>
        <v>3407.5200000000004</v>
      </c>
      <c r="P142" s="269">
        <f t="shared" si="19"/>
        <v>1</v>
      </c>
      <c r="Q142" s="269" t="str">
        <f t="shared" si="22"/>
        <v/>
      </c>
      <c r="R142" s="1147"/>
      <c r="S142" s="1143" t="str">
        <f t="shared" si="23"/>
        <v>Downsize</v>
      </c>
      <c r="T142" s="1144">
        <f t="shared" si="24"/>
        <v>2265.7627118644068</v>
      </c>
      <c r="U142" s="1144">
        <f t="shared" si="25"/>
        <v>904.06779661016947</v>
      </c>
      <c r="V142" s="1146">
        <f t="shared" si="26"/>
        <v>12383.556240369799</v>
      </c>
      <c r="W142" s="1146">
        <f t="shared" si="27"/>
        <v>9112.376470588235</v>
      </c>
      <c r="X142" s="1146">
        <f t="shared" si="28"/>
        <v>3271.1797697815637</v>
      </c>
      <c r="Y142" s="1146">
        <f t="shared" si="29"/>
        <v>9795.3251048248985</v>
      </c>
      <c r="Z142" s="1146">
        <f t="shared" si="30"/>
        <v>9112.376470588235</v>
      </c>
      <c r="AA142" s="1146">
        <f t="shared" si="31"/>
        <v>682.94863423666357</v>
      </c>
      <c r="AB142" s="1146">
        <f t="shared" si="32"/>
        <v>12177.163636363635</v>
      </c>
      <c r="AC142" s="1146">
        <f t="shared" si="33"/>
        <v>9112.376470588235</v>
      </c>
      <c r="AD142" s="1146">
        <f t="shared" si="34"/>
        <v>3064.7871657754004</v>
      </c>
      <c r="AE142" s="1146">
        <f t="shared" si="35"/>
        <v>9632.0696864111487</v>
      </c>
      <c r="AF142" s="1146">
        <f t="shared" si="36"/>
        <v>9112.376470588235</v>
      </c>
      <c r="AG142" s="1146">
        <f t="shared" si="37"/>
        <v>519.69321582291377</v>
      </c>
    </row>
    <row r="143" spans="2:33" ht="14.4">
      <c r="B143" s="1134">
        <v>4597365</v>
      </c>
      <c r="C143" s="1135"/>
      <c r="D143" s="1134">
        <v>110392</v>
      </c>
      <c r="E143" s="1136">
        <v>42027</v>
      </c>
      <c r="F143" s="1137">
        <v>48000</v>
      </c>
      <c r="G143" s="1134">
        <v>10</v>
      </c>
      <c r="H143" s="1137">
        <v>46000</v>
      </c>
      <c r="I143" s="1134">
        <v>15</v>
      </c>
      <c r="J143" s="1138">
        <v>4830</v>
      </c>
      <c r="K143" s="1139"/>
      <c r="L143" s="1140">
        <v>42061</v>
      </c>
      <c r="M143" s="269">
        <f t="shared" si="20"/>
        <v>1</v>
      </c>
      <c r="N143" s="1141">
        <v>250</v>
      </c>
      <c r="O143" s="1087">
        <f t="shared" si="21"/>
        <v>4763.2000000000007</v>
      </c>
      <c r="P143" s="269">
        <f t="shared" si="19"/>
        <v>1</v>
      </c>
      <c r="Q143" s="269" t="str">
        <f t="shared" si="22"/>
        <v/>
      </c>
      <c r="R143" s="1147"/>
      <c r="S143" s="1143" t="str">
        <f t="shared" si="23"/>
        <v>Downsize</v>
      </c>
      <c r="T143" s="1144">
        <f t="shared" si="24"/>
        <v>2324.869565217391</v>
      </c>
      <c r="U143" s="1144">
        <f t="shared" si="25"/>
        <v>927.6521739130435</v>
      </c>
      <c r="V143" s="1146">
        <f t="shared" si="26"/>
        <v>16942.140711462449</v>
      </c>
      <c r="W143" s="1146">
        <f t="shared" si="27"/>
        <v>12149.835294117645</v>
      </c>
      <c r="X143" s="1146">
        <f t="shared" si="28"/>
        <v>4792.3054173448036</v>
      </c>
      <c r="Y143" s="1146">
        <f t="shared" si="29"/>
        <v>13401.140433267687</v>
      </c>
      <c r="Z143" s="1146">
        <f t="shared" si="30"/>
        <v>12149.835294117645</v>
      </c>
      <c r="AA143" s="1146">
        <f t="shared" si="31"/>
        <v>1251.3051391500412</v>
      </c>
      <c r="AB143" s="1146">
        <f t="shared" si="32"/>
        <v>16236.21818181818</v>
      </c>
      <c r="AC143" s="1146">
        <f t="shared" si="33"/>
        <v>12149.835294117645</v>
      </c>
      <c r="AD143" s="1146">
        <f t="shared" si="34"/>
        <v>4086.3828877005344</v>
      </c>
      <c r="AE143" s="1146">
        <f t="shared" si="35"/>
        <v>12842.759581881533</v>
      </c>
      <c r="AF143" s="1146">
        <f t="shared" si="36"/>
        <v>12149.835294117645</v>
      </c>
      <c r="AG143" s="1146">
        <f t="shared" si="37"/>
        <v>692.92428776388806</v>
      </c>
    </row>
    <row r="144" spans="2:33" ht="14.4">
      <c r="B144" s="1134">
        <v>5251624</v>
      </c>
      <c r="C144" s="1135"/>
      <c r="D144" s="1134">
        <v>156798</v>
      </c>
      <c r="E144" s="1136">
        <v>41996</v>
      </c>
      <c r="F144" s="1137">
        <v>42000</v>
      </c>
      <c r="G144" s="1134">
        <v>10</v>
      </c>
      <c r="H144" s="1137">
        <v>42000</v>
      </c>
      <c r="I144" s="1134">
        <v>15</v>
      </c>
      <c r="J144" s="1138">
        <v>8300</v>
      </c>
      <c r="K144" s="1139"/>
      <c r="L144" s="1140">
        <v>42061</v>
      </c>
      <c r="M144" s="269">
        <f t="shared" si="20"/>
        <v>1</v>
      </c>
      <c r="N144" s="1141">
        <v>400</v>
      </c>
      <c r="O144" s="1087">
        <f t="shared" si="21"/>
        <v>3847.2000000000003</v>
      </c>
      <c r="P144" s="269">
        <f t="shared" si="19"/>
        <v>1</v>
      </c>
      <c r="Q144" s="269" t="str">
        <f t="shared" si="22"/>
        <v/>
      </c>
      <c r="R144" s="1147"/>
      <c r="S144" s="1143" t="str">
        <f t="shared" si="23"/>
        <v>Same Size</v>
      </c>
      <c r="T144" s="1144">
        <f t="shared" si="24"/>
        <v>2228</v>
      </c>
      <c r="U144" s="1144">
        <f t="shared" si="25"/>
        <v>889</v>
      </c>
      <c r="V144" s="1146">
        <f t="shared" si="26"/>
        <v>14206.690909090909</v>
      </c>
      <c r="W144" s="1146">
        <f t="shared" si="27"/>
        <v>10631.105882352942</v>
      </c>
      <c r="X144" s="1146">
        <f t="shared" si="28"/>
        <v>3575.5850267379665</v>
      </c>
      <c r="Y144" s="1146">
        <f t="shared" si="29"/>
        <v>11237.41463414634</v>
      </c>
      <c r="Z144" s="1146">
        <f t="shared" si="30"/>
        <v>10631.105882352942</v>
      </c>
      <c r="AA144" s="1146">
        <f t="shared" si="31"/>
        <v>606.30875179339819</v>
      </c>
      <c r="AB144" s="1146">
        <f t="shared" si="32"/>
        <v>14206.690909090909</v>
      </c>
      <c r="AC144" s="1146">
        <f t="shared" si="33"/>
        <v>10631.105882352942</v>
      </c>
      <c r="AD144" s="1146">
        <f t="shared" si="34"/>
        <v>3575.5850267379665</v>
      </c>
      <c r="AE144" s="1146">
        <f t="shared" si="35"/>
        <v>11237.41463414634</v>
      </c>
      <c r="AF144" s="1146">
        <f t="shared" si="36"/>
        <v>10631.105882352942</v>
      </c>
      <c r="AG144" s="1146">
        <f t="shared" si="37"/>
        <v>606.30875179339819</v>
      </c>
    </row>
    <row r="145" spans="2:33" ht="14.4">
      <c r="B145" s="1134">
        <v>8910403</v>
      </c>
      <c r="C145" s="1135"/>
      <c r="D145" s="1134">
        <v>149567</v>
      </c>
      <c r="E145" s="1136">
        <v>41995</v>
      </c>
      <c r="F145" s="1137">
        <v>41000</v>
      </c>
      <c r="G145" s="1134">
        <v>8</v>
      </c>
      <c r="H145" s="1137">
        <v>41000</v>
      </c>
      <c r="I145" s="1134">
        <v>14</v>
      </c>
      <c r="J145" s="1138">
        <v>5109</v>
      </c>
      <c r="K145" s="1139"/>
      <c r="L145" s="1140">
        <v>42061</v>
      </c>
      <c r="M145" s="269">
        <f t="shared" si="20"/>
        <v>1</v>
      </c>
      <c r="N145" s="1141">
        <v>225</v>
      </c>
      <c r="O145" s="1087">
        <f t="shared" si="21"/>
        <v>6035.7857142857147</v>
      </c>
      <c r="P145" s="269">
        <f t="shared" si="19"/>
        <v>1</v>
      </c>
      <c r="Q145" s="269" t="str">
        <f t="shared" si="22"/>
        <v/>
      </c>
      <c r="R145" s="1147"/>
      <c r="S145" s="1143" t="str">
        <f t="shared" si="23"/>
        <v>Same Size</v>
      </c>
      <c r="T145" s="1144">
        <f t="shared" si="24"/>
        <v>2228</v>
      </c>
      <c r="U145" s="1144">
        <f t="shared" si="25"/>
        <v>889</v>
      </c>
      <c r="V145" s="1146">
        <f t="shared" si="26"/>
        <v>16152.136363636362</v>
      </c>
      <c r="W145" s="1146">
        <f t="shared" si="27"/>
        <v>10812.974789915967</v>
      </c>
      <c r="X145" s="1146">
        <f t="shared" si="28"/>
        <v>5339.1615737203956</v>
      </c>
      <c r="Y145" s="1146">
        <f t="shared" si="29"/>
        <v>10969.857142857143</v>
      </c>
      <c r="Z145" s="1146">
        <f t="shared" si="30"/>
        <v>10812.974789915967</v>
      </c>
      <c r="AA145" s="1146">
        <f t="shared" si="31"/>
        <v>156.88235294117658</v>
      </c>
      <c r="AB145" s="1146">
        <f t="shared" si="32"/>
        <v>16152.136363636362</v>
      </c>
      <c r="AC145" s="1146">
        <f t="shared" si="33"/>
        <v>10812.974789915967</v>
      </c>
      <c r="AD145" s="1146">
        <f t="shared" si="34"/>
        <v>5339.1615737203956</v>
      </c>
      <c r="AE145" s="1146">
        <f t="shared" si="35"/>
        <v>10969.857142857143</v>
      </c>
      <c r="AF145" s="1146">
        <f t="shared" si="36"/>
        <v>10812.974789915967</v>
      </c>
      <c r="AG145" s="1146">
        <f t="shared" si="37"/>
        <v>156.88235294117658</v>
      </c>
    </row>
    <row r="146" spans="2:33" ht="14.4">
      <c r="B146" s="1134">
        <v>3635620</v>
      </c>
      <c r="C146" s="1135"/>
      <c r="D146" s="1134">
        <v>363562</v>
      </c>
      <c r="E146" s="1136">
        <v>42009</v>
      </c>
      <c r="F146" s="1137">
        <v>60000</v>
      </c>
      <c r="G146" s="1134">
        <v>10</v>
      </c>
      <c r="H146" s="1137">
        <v>62000</v>
      </c>
      <c r="I146" s="1134">
        <v>16.50</v>
      </c>
      <c r="J146" s="1138">
        <v>10379</v>
      </c>
      <c r="K146" s="1139"/>
      <c r="L146" s="1140">
        <v>42065</v>
      </c>
      <c r="M146" s="269">
        <f t="shared" si="20"/>
        <v>1</v>
      </c>
      <c r="N146" s="1141">
        <v>375</v>
      </c>
      <c r="O146" s="1087">
        <f t="shared" si="21"/>
        <v>6162.1818181818189</v>
      </c>
      <c r="P146" s="269">
        <f t="shared" si="19"/>
        <v>1</v>
      </c>
      <c r="Q146" s="269" t="str">
        <f t="shared" si="22"/>
        <v/>
      </c>
      <c r="R146" s="1147"/>
      <c r="S146" s="1143" t="str">
        <f t="shared" si="23"/>
        <v>Upsize</v>
      </c>
      <c r="T146" s="1144">
        <f t="shared" si="24"/>
        <v>2156.1290322580644</v>
      </c>
      <c r="U146" s="1144">
        <f t="shared" si="25"/>
        <v>860.32258064516134</v>
      </c>
      <c r="V146" s="1146">
        <f t="shared" si="26"/>
        <v>19640.586510263929</v>
      </c>
      <c r="W146" s="1146">
        <f t="shared" si="27"/>
        <v>14377.11229946524</v>
      </c>
      <c r="X146" s="1146">
        <f t="shared" si="28"/>
        <v>5263.4742107986895</v>
      </c>
      <c r="Y146" s="1146">
        <f t="shared" si="29"/>
        <v>15535.596268405081</v>
      </c>
      <c r="Z146" s="1146">
        <f t="shared" si="30"/>
        <v>14377.11229946524</v>
      </c>
      <c r="AA146" s="1146">
        <f t="shared" si="31"/>
        <v>1158.4839689398414</v>
      </c>
      <c r="AB146" s="1146">
        <f t="shared" si="32"/>
        <v>20295.272727272724</v>
      </c>
      <c r="AC146" s="1146">
        <f t="shared" si="33"/>
        <v>14377.11229946524</v>
      </c>
      <c r="AD146" s="1146">
        <f t="shared" si="34"/>
        <v>5918.1604278074847</v>
      </c>
      <c r="AE146" s="1146">
        <f t="shared" si="35"/>
        <v>16053.449477351918</v>
      </c>
      <c r="AF146" s="1146">
        <f t="shared" si="36"/>
        <v>14377.11229946524</v>
      </c>
      <c r="AG146" s="1146">
        <f t="shared" si="37"/>
        <v>1676.3371778866786</v>
      </c>
    </row>
    <row r="147" spans="2:33" ht="14.4">
      <c r="B147" s="1134">
        <v>5608096</v>
      </c>
      <c r="C147" s="1135"/>
      <c r="D147" s="1134">
        <v>515708</v>
      </c>
      <c r="E147" s="1136">
        <v>42038</v>
      </c>
      <c r="F147" s="1137">
        <v>60000</v>
      </c>
      <c r="G147" s="1134">
        <v>10</v>
      </c>
      <c r="H147" s="1137">
        <v>57000</v>
      </c>
      <c r="I147" s="1134">
        <v>15</v>
      </c>
      <c r="J147" s="1138">
        <v>5397</v>
      </c>
      <c r="K147" s="1139"/>
      <c r="L147" s="1140">
        <v>42065</v>
      </c>
      <c r="M147" s="269">
        <f t="shared" si="20"/>
        <v>1</v>
      </c>
      <c r="N147" s="1141">
        <v>325</v>
      </c>
      <c r="O147" s="1087">
        <f t="shared" si="21"/>
        <v>6045.60</v>
      </c>
      <c r="P147" s="269">
        <f t="shared" si="19"/>
        <v>1</v>
      </c>
      <c r="Q147" s="269" t="str">
        <f t="shared" si="22"/>
        <v/>
      </c>
      <c r="R147" s="1147"/>
      <c r="S147" s="1143" t="str">
        <f t="shared" si="23"/>
        <v>Downsize</v>
      </c>
      <c r="T147" s="1144">
        <f t="shared" si="24"/>
        <v>2345.2631578947367</v>
      </c>
      <c r="U147" s="1144">
        <f t="shared" si="25"/>
        <v>935.78947368421052</v>
      </c>
      <c r="V147" s="1146">
        <f t="shared" si="26"/>
        <v>21363.444976076556</v>
      </c>
      <c r="W147" s="1146">
        <f t="shared" si="27"/>
        <v>15187.29411764706</v>
      </c>
      <c r="X147" s="1146">
        <f t="shared" si="28"/>
        <v>6176.150858429497</v>
      </c>
      <c r="Y147" s="1146">
        <f t="shared" si="29"/>
        <v>16898.367870896753</v>
      </c>
      <c r="Z147" s="1146">
        <f t="shared" si="30"/>
        <v>15187.29411764706</v>
      </c>
      <c r="AA147" s="1146">
        <f t="shared" si="31"/>
        <v>1711.0737532496933</v>
      </c>
      <c r="AB147" s="1146">
        <f t="shared" si="32"/>
        <v>20295.272727272728</v>
      </c>
      <c r="AC147" s="1146">
        <f t="shared" si="33"/>
        <v>15187.29411764706</v>
      </c>
      <c r="AD147" s="1146">
        <f t="shared" si="34"/>
        <v>5107.9786096256685</v>
      </c>
      <c r="AE147" s="1146">
        <f t="shared" si="35"/>
        <v>16053.449477351915</v>
      </c>
      <c r="AF147" s="1146">
        <f t="shared" si="36"/>
        <v>15187.29411764706</v>
      </c>
      <c r="AG147" s="1146">
        <f t="shared" si="37"/>
        <v>866.15535970485507</v>
      </c>
    </row>
    <row r="148" spans="2:33" ht="14.4">
      <c r="B148" s="1134">
        <v>970996</v>
      </c>
      <c r="C148" s="1135"/>
      <c r="D148" s="1134">
        <v>97099</v>
      </c>
      <c r="E148" s="1136">
        <v>42047</v>
      </c>
      <c r="F148" s="1137">
        <v>48000</v>
      </c>
      <c r="G148" s="1134">
        <v>14</v>
      </c>
      <c r="H148" s="1137">
        <v>48000</v>
      </c>
      <c r="I148" s="1134">
        <v>16</v>
      </c>
      <c r="J148" s="1138">
        <v>11699</v>
      </c>
      <c r="K148" s="1139"/>
      <c r="L148" s="1140">
        <v>42065</v>
      </c>
      <c r="M148" s="269">
        <f t="shared" si="20"/>
        <v>1</v>
      </c>
      <c r="N148" s="1141">
        <v>300</v>
      </c>
      <c r="O148" s="1087">
        <f t="shared" si="21"/>
        <v>1177.7142857142856</v>
      </c>
      <c r="P148" s="269">
        <f t="shared" si="19"/>
        <v>1</v>
      </c>
      <c r="Q148" s="269" t="str">
        <f t="shared" si="22"/>
        <v/>
      </c>
      <c r="R148" s="1147"/>
      <c r="S148" s="1143" t="str">
        <f t="shared" si="23"/>
        <v>Same Size</v>
      </c>
      <c r="T148" s="1144">
        <f t="shared" si="24"/>
        <v>2228</v>
      </c>
      <c r="U148" s="1144">
        <f t="shared" si="25"/>
        <v>889</v>
      </c>
      <c r="V148" s="1146">
        <f t="shared" si="26"/>
        <v>13180.675324675325</v>
      </c>
      <c r="W148" s="1146">
        <f t="shared" si="27"/>
        <v>11704.235294117647</v>
      </c>
      <c r="X148" s="1146">
        <f t="shared" si="28"/>
        <v>1476.4400305576783</v>
      </c>
      <c r="Y148" s="1146">
        <f t="shared" si="29"/>
        <v>12842.759581881532</v>
      </c>
      <c r="Z148" s="1146">
        <f t="shared" si="30"/>
        <v>11704.235294117647</v>
      </c>
      <c r="AA148" s="1146">
        <f t="shared" si="31"/>
        <v>1138.5242877638848</v>
      </c>
      <c r="AB148" s="1146">
        <f t="shared" si="32"/>
        <v>13180.675324675325</v>
      </c>
      <c r="AC148" s="1146">
        <f t="shared" si="33"/>
        <v>11704.235294117647</v>
      </c>
      <c r="AD148" s="1146">
        <f t="shared" si="34"/>
        <v>1476.4400305576783</v>
      </c>
      <c r="AE148" s="1146">
        <f t="shared" si="35"/>
        <v>12842.759581881532</v>
      </c>
      <c r="AF148" s="1146">
        <f t="shared" si="36"/>
        <v>11704.235294117647</v>
      </c>
      <c r="AG148" s="1146">
        <f t="shared" si="37"/>
        <v>1138.5242877638848</v>
      </c>
    </row>
    <row r="149" spans="2:33" ht="14.4">
      <c r="B149" s="1134">
        <v>4275152</v>
      </c>
      <c r="C149" s="1135"/>
      <c r="D149" s="1134">
        <v>125655</v>
      </c>
      <c r="E149" s="1136">
        <v>41928</v>
      </c>
      <c r="F149" s="1137">
        <v>48000</v>
      </c>
      <c r="G149" s="1134">
        <v>10</v>
      </c>
      <c r="H149" s="1137">
        <v>46500</v>
      </c>
      <c r="I149" s="1134">
        <v>17.50</v>
      </c>
      <c r="J149" s="1138">
        <v>15850</v>
      </c>
      <c r="K149" s="1139"/>
      <c r="L149" s="1140">
        <v>42065</v>
      </c>
      <c r="M149" s="269">
        <f t="shared" si="20"/>
        <v>1</v>
      </c>
      <c r="N149" s="1141">
        <v>350</v>
      </c>
      <c r="O149" s="1087">
        <f t="shared" si="21"/>
        <v>5888.5714285714284</v>
      </c>
      <c r="P149" s="269">
        <f t="shared" si="19"/>
        <v>1</v>
      </c>
      <c r="Q149" s="269" t="str">
        <f t="shared" si="22"/>
        <v/>
      </c>
      <c r="R149" s="1147"/>
      <c r="S149" s="1143" t="str">
        <f t="shared" si="23"/>
        <v>Downsize</v>
      </c>
      <c r="T149" s="1144">
        <f t="shared" si="24"/>
        <v>2299.8709677419356</v>
      </c>
      <c r="U149" s="1144">
        <f t="shared" si="25"/>
        <v>917.67741935483866</v>
      </c>
      <c r="V149" s="1146">
        <f t="shared" si="26"/>
        <v>16759.96715542522</v>
      </c>
      <c r="W149" s="1146">
        <f t="shared" si="27"/>
        <v>11131.321008403362</v>
      </c>
      <c r="X149" s="1146">
        <f t="shared" si="28"/>
        <v>5628.6461470218583</v>
      </c>
      <c r="Y149" s="1146">
        <f t="shared" si="29"/>
        <v>13257.042149039004</v>
      </c>
      <c r="Z149" s="1146">
        <f t="shared" si="30"/>
        <v>11131.321008403362</v>
      </c>
      <c r="AA149" s="1146">
        <f t="shared" si="31"/>
        <v>2125.7211406356419</v>
      </c>
      <c r="AB149" s="1146">
        <f t="shared" si="32"/>
        <v>16236.218181818183</v>
      </c>
      <c r="AC149" s="1146">
        <f t="shared" si="33"/>
        <v>11131.321008403362</v>
      </c>
      <c r="AD149" s="1146">
        <f t="shared" si="34"/>
        <v>5104.8971734148217</v>
      </c>
      <c r="AE149" s="1146">
        <f t="shared" si="35"/>
        <v>12842.759581881533</v>
      </c>
      <c r="AF149" s="1146">
        <f t="shared" si="36"/>
        <v>11131.321008403362</v>
      </c>
      <c r="AG149" s="1146">
        <f t="shared" si="37"/>
        <v>1711.4385734781718</v>
      </c>
    </row>
    <row r="150" spans="2:33" ht="14.4">
      <c r="B150" s="1134">
        <v>6672513</v>
      </c>
      <c r="C150" s="1135"/>
      <c r="D150" s="1134">
        <v>211823</v>
      </c>
      <c r="E150" s="1136">
        <v>41933</v>
      </c>
      <c r="F150" s="1137">
        <v>42000</v>
      </c>
      <c r="G150" s="1134">
        <v>10</v>
      </c>
      <c r="H150" s="1137">
        <v>42000</v>
      </c>
      <c r="I150" s="1134">
        <v>15.50</v>
      </c>
      <c r="J150" s="1138">
        <v>5280</v>
      </c>
      <c r="K150" s="1139"/>
      <c r="L150" s="1140">
        <v>42065</v>
      </c>
      <c r="M150" s="269">
        <f t="shared" si="20"/>
        <v>1</v>
      </c>
      <c r="N150" s="1141">
        <v>250</v>
      </c>
      <c r="O150" s="1087">
        <f t="shared" si="21"/>
        <v>4095.4064516129042</v>
      </c>
      <c r="P150" s="269">
        <f t="shared" si="19"/>
        <v>1</v>
      </c>
      <c r="Q150" s="269" t="str">
        <f t="shared" si="22"/>
        <v/>
      </c>
      <c r="R150" s="1147"/>
      <c r="S150" s="1143" t="str">
        <f t="shared" si="23"/>
        <v>Same Size</v>
      </c>
      <c r="T150" s="1144">
        <f t="shared" si="24"/>
        <v>2228</v>
      </c>
      <c r="U150" s="1144">
        <f t="shared" si="25"/>
        <v>889</v>
      </c>
      <c r="V150" s="1146">
        <f t="shared" si="26"/>
        <v>14206.690909090909</v>
      </c>
      <c r="W150" s="1146">
        <f t="shared" si="27"/>
        <v>10429.867172675522</v>
      </c>
      <c r="X150" s="1146">
        <f t="shared" si="28"/>
        <v>3776.8237364153865</v>
      </c>
      <c r="Y150" s="1146">
        <f t="shared" si="29"/>
        <v>11237.41463414634</v>
      </c>
      <c r="Z150" s="1146">
        <f t="shared" si="30"/>
        <v>10429.867172675522</v>
      </c>
      <c r="AA150" s="1146">
        <f t="shared" si="31"/>
        <v>807.54746147081823</v>
      </c>
      <c r="AB150" s="1146">
        <f t="shared" si="32"/>
        <v>14206.690909090909</v>
      </c>
      <c r="AC150" s="1146">
        <f t="shared" si="33"/>
        <v>10429.867172675522</v>
      </c>
      <c r="AD150" s="1146">
        <f t="shared" si="34"/>
        <v>3776.8237364153865</v>
      </c>
      <c r="AE150" s="1146">
        <f t="shared" si="35"/>
        <v>11237.41463414634</v>
      </c>
      <c r="AF150" s="1146">
        <f t="shared" si="36"/>
        <v>10429.867172675522</v>
      </c>
      <c r="AG150" s="1146">
        <f t="shared" si="37"/>
        <v>807.54746147081823</v>
      </c>
    </row>
    <row r="151" spans="2:33" ht="14.4">
      <c r="B151" s="1134">
        <v>5476148</v>
      </c>
      <c r="C151" s="1135"/>
      <c r="D151" s="1134">
        <v>397832</v>
      </c>
      <c r="E151" s="1136">
        <v>42024</v>
      </c>
      <c r="F151" s="1137">
        <v>48000</v>
      </c>
      <c r="G151" s="1134">
        <v>10</v>
      </c>
      <c r="H151" s="1137">
        <v>47000</v>
      </c>
      <c r="I151" s="1134">
        <v>19.25</v>
      </c>
      <c r="J151" s="1138">
        <v>6900</v>
      </c>
      <c r="K151" s="1139"/>
      <c r="L151" s="1140">
        <v>42069</v>
      </c>
      <c r="M151" s="269">
        <f t="shared" si="20"/>
        <v>1</v>
      </c>
      <c r="N151" s="1141">
        <v>400</v>
      </c>
      <c r="O151" s="1087">
        <f t="shared" si="21"/>
        <v>6480.9974025974025</v>
      </c>
      <c r="P151" s="269">
        <f t="shared" si="19"/>
        <v>1</v>
      </c>
      <c r="Q151" s="269" t="str">
        <f t="shared" si="22"/>
        <v/>
      </c>
      <c r="R151" s="1147"/>
      <c r="S151" s="1143" t="str">
        <f t="shared" si="23"/>
        <v>Downsize</v>
      </c>
      <c r="T151" s="1144">
        <f t="shared" si="24"/>
        <v>2275.4042553191489</v>
      </c>
      <c r="U151" s="1144">
        <f t="shared" si="25"/>
        <v>907.91489361702122</v>
      </c>
      <c r="V151" s="1146">
        <f t="shared" si="26"/>
        <v>16581.669632495163</v>
      </c>
      <c r="W151" s="1146">
        <f t="shared" si="27"/>
        <v>10575.767761650115</v>
      </c>
      <c r="X151" s="1146">
        <f t="shared" si="28"/>
        <v>6005.9018708450476</v>
      </c>
      <c r="Y151" s="1146">
        <f t="shared" si="29"/>
        <v>13116.009785751354</v>
      </c>
      <c r="Z151" s="1146">
        <f t="shared" si="30"/>
        <v>10575.767761650115</v>
      </c>
      <c r="AA151" s="1146">
        <f t="shared" si="31"/>
        <v>2540.2420241012387</v>
      </c>
      <c r="AB151" s="1146">
        <f t="shared" si="32"/>
        <v>16236.218181818182</v>
      </c>
      <c r="AC151" s="1146">
        <f t="shared" si="33"/>
        <v>10575.767761650115</v>
      </c>
      <c r="AD151" s="1146">
        <f t="shared" si="34"/>
        <v>5660.4504201680666</v>
      </c>
      <c r="AE151" s="1146">
        <f t="shared" si="35"/>
        <v>12842.759581881533</v>
      </c>
      <c r="AF151" s="1146">
        <f t="shared" si="36"/>
        <v>10575.767761650115</v>
      </c>
      <c r="AG151" s="1146">
        <f t="shared" si="37"/>
        <v>2266.9918202314184</v>
      </c>
    </row>
    <row r="152" spans="2:33" ht="14.4">
      <c r="B152" s="1134">
        <v>4091120</v>
      </c>
      <c r="C152" s="1135"/>
      <c r="D152" s="1134">
        <v>409112</v>
      </c>
      <c r="E152" s="1136">
        <v>42033</v>
      </c>
      <c r="F152" s="1137">
        <v>47500</v>
      </c>
      <c r="G152" s="1134">
        <v>8</v>
      </c>
      <c r="H152" s="1137">
        <v>48000</v>
      </c>
      <c r="I152" s="1134">
        <v>20</v>
      </c>
      <c r="J152" s="1138">
        <v>10490</v>
      </c>
      <c r="K152" s="1139"/>
      <c r="L152" s="1140">
        <v>42069</v>
      </c>
      <c r="M152" s="269">
        <f t="shared" si="20"/>
        <v>1</v>
      </c>
      <c r="N152" s="1141">
        <v>400</v>
      </c>
      <c r="O152" s="1087">
        <f t="shared" si="21"/>
        <v>9721.0500000000011</v>
      </c>
      <c r="P152" s="269">
        <f t="shared" si="19"/>
        <v>1</v>
      </c>
      <c r="Q152" s="269" t="str">
        <f t="shared" si="22"/>
        <v/>
      </c>
      <c r="R152" s="1147"/>
      <c r="S152" s="1143" t="str">
        <f t="shared" si="23"/>
        <v>Upsize</v>
      </c>
      <c r="T152" s="1144">
        <f t="shared" si="24"/>
        <v>2204.791666666667</v>
      </c>
      <c r="U152" s="1144">
        <f t="shared" si="25"/>
        <v>879.73958333333337</v>
      </c>
      <c r="V152" s="1146">
        <f t="shared" si="26"/>
        <v>18517.915482954548</v>
      </c>
      <c r="W152" s="1146">
        <f t="shared" si="27"/>
        <v>10259.441176470589</v>
      </c>
      <c r="X152" s="1146">
        <f t="shared" si="28"/>
        <v>8258.4743064839586</v>
      </c>
      <c r="Y152" s="1146">
        <f t="shared" si="29"/>
        <v>12576.595619192802</v>
      </c>
      <c r="Z152" s="1146">
        <f t="shared" si="30"/>
        <v>10259.441176470589</v>
      </c>
      <c r="AA152" s="1146">
        <f t="shared" si="31"/>
        <v>2317.1544427222125</v>
      </c>
      <c r="AB152" s="1146">
        <f t="shared" si="32"/>
        <v>18712.840909090912</v>
      </c>
      <c r="AC152" s="1146">
        <f t="shared" si="33"/>
        <v>10259.441176470589</v>
      </c>
      <c r="AD152" s="1146">
        <f t="shared" si="34"/>
        <v>8453.3997326203225</v>
      </c>
      <c r="AE152" s="1146">
        <f t="shared" si="35"/>
        <v>12708.980836236937</v>
      </c>
      <c r="AF152" s="1146">
        <f t="shared" si="36"/>
        <v>10259.441176470589</v>
      </c>
      <c r="AG152" s="1146">
        <f t="shared" si="37"/>
        <v>2449.5396597663475</v>
      </c>
    </row>
    <row r="153" spans="2:33" ht="14.4">
      <c r="B153" s="1134">
        <v>8747321</v>
      </c>
      <c r="C153" s="1135"/>
      <c r="D153" s="1134">
        <v>617746</v>
      </c>
      <c r="E153" s="1136">
        <v>42028</v>
      </c>
      <c r="F153" s="1137">
        <v>42000</v>
      </c>
      <c r="G153" s="1134">
        <v>10</v>
      </c>
      <c r="H153" s="1137">
        <v>42000</v>
      </c>
      <c r="I153" s="1134">
        <v>15</v>
      </c>
      <c r="J153" s="1138">
        <v>5132</v>
      </c>
      <c r="K153" s="1139"/>
      <c r="L153" s="1140">
        <v>42072</v>
      </c>
      <c r="M153" s="269">
        <f t="shared" si="20"/>
        <v>1</v>
      </c>
      <c r="N153" s="1141">
        <v>225</v>
      </c>
      <c r="O153" s="1087">
        <f t="shared" si="21"/>
        <v>3847.2000000000003</v>
      </c>
      <c r="P153" s="269">
        <f t="shared" si="19"/>
        <v>1</v>
      </c>
      <c r="Q153" s="269" t="str">
        <f t="shared" si="22"/>
        <v/>
      </c>
      <c r="R153" s="1147"/>
      <c r="S153" s="1143" t="str">
        <f t="shared" si="23"/>
        <v>Same Size</v>
      </c>
      <c r="T153" s="1144">
        <f t="shared" si="24"/>
        <v>2228</v>
      </c>
      <c r="U153" s="1144">
        <f t="shared" si="25"/>
        <v>889</v>
      </c>
      <c r="V153" s="1146">
        <f t="shared" si="26"/>
        <v>14206.690909090909</v>
      </c>
      <c r="W153" s="1146">
        <f t="shared" si="27"/>
        <v>10631.105882352942</v>
      </c>
      <c r="X153" s="1146">
        <f t="shared" si="28"/>
        <v>3575.5850267379665</v>
      </c>
      <c r="Y153" s="1146">
        <f t="shared" si="29"/>
        <v>11237.41463414634</v>
      </c>
      <c r="Z153" s="1146">
        <f t="shared" si="30"/>
        <v>10631.105882352942</v>
      </c>
      <c r="AA153" s="1146">
        <f t="shared" si="31"/>
        <v>606.30875179339819</v>
      </c>
      <c r="AB153" s="1146">
        <f t="shared" si="32"/>
        <v>14206.690909090909</v>
      </c>
      <c r="AC153" s="1146">
        <f t="shared" si="33"/>
        <v>10631.105882352942</v>
      </c>
      <c r="AD153" s="1146">
        <f t="shared" si="34"/>
        <v>3575.5850267379665</v>
      </c>
      <c r="AE153" s="1146">
        <f t="shared" si="35"/>
        <v>11237.41463414634</v>
      </c>
      <c r="AF153" s="1146">
        <f t="shared" si="36"/>
        <v>10631.105882352942</v>
      </c>
      <c r="AG153" s="1146">
        <f t="shared" si="37"/>
        <v>606.30875179339819</v>
      </c>
    </row>
    <row r="154" spans="2:33" ht="14.4">
      <c r="B154" s="1134">
        <v>5817887</v>
      </c>
      <c r="C154" s="1135"/>
      <c r="D154" s="1134">
        <v>576025</v>
      </c>
      <c r="E154" s="1136">
        <v>41779</v>
      </c>
      <c r="F154" s="1137">
        <v>36000</v>
      </c>
      <c r="G154" s="1134">
        <v>10</v>
      </c>
      <c r="H154" s="1137">
        <v>35200</v>
      </c>
      <c r="I154" s="1134">
        <v>16</v>
      </c>
      <c r="J154" s="1138">
        <v>7236</v>
      </c>
      <c r="K154" s="1139"/>
      <c r="L154" s="1140">
        <v>42072</v>
      </c>
      <c r="M154" s="269">
        <f t="shared" si="20"/>
        <v>1</v>
      </c>
      <c r="N154" s="1141">
        <v>250</v>
      </c>
      <c r="O154" s="1087">
        <f t="shared" si="21"/>
        <v>3847.2000000000003</v>
      </c>
      <c r="P154" s="269">
        <f t="shared" si="19"/>
        <v>1</v>
      </c>
      <c r="Q154" s="269" t="str">
        <f t="shared" si="22"/>
        <v/>
      </c>
      <c r="R154" s="1147"/>
      <c r="S154" s="1143" t="str">
        <f t="shared" si="23"/>
        <v>Downsize</v>
      </c>
      <c r="T154" s="1144">
        <f t="shared" si="24"/>
        <v>2278.6363636363635</v>
      </c>
      <c r="U154" s="1144">
        <f t="shared" si="25"/>
        <v>909.20454545454538</v>
      </c>
      <c r="V154" s="1146">
        <f t="shared" si="26"/>
        <v>12453.917355371899</v>
      </c>
      <c r="W154" s="1146">
        <f t="shared" si="27"/>
        <v>8778.176470588236</v>
      </c>
      <c r="X154" s="1146">
        <f t="shared" si="28"/>
        <v>3675.7408847836632</v>
      </c>
      <c r="Y154" s="1146">
        <f t="shared" si="29"/>
        <v>9850.9803611023126</v>
      </c>
      <c r="Z154" s="1146">
        <f t="shared" si="30"/>
        <v>8778.176470588236</v>
      </c>
      <c r="AA154" s="1146">
        <f t="shared" si="31"/>
        <v>1072.8038905140766</v>
      </c>
      <c r="AB154" s="1146">
        <f t="shared" si="32"/>
        <v>12177.163636363637</v>
      </c>
      <c r="AC154" s="1146">
        <f t="shared" si="33"/>
        <v>8778.176470588236</v>
      </c>
      <c r="AD154" s="1146">
        <f t="shared" si="34"/>
        <v>3398.9871657754011</v>
      </c>
      <c r="AE154" s="1146">
        <f t="shared" si="35"/>
        <v>9632.0696864111505</v>
      </c>
      <c r="AF154" s="1146">
        <f t="shared" si="36"/>
        <v>8778.176470588236</v>
      </c>
      <c r="AG154" s="1146">
        <f t="shared" si="37"/>
        <v>853.8932158229145</v>
      </c>
    </row>
    <row r="155" spans="2:33" ht="14.4">
      <c r="B155" s="1134">
        <v>8844938</v>
      </c>
      <c r="C155" s="1135"/>
      <c r="D155" s="1134">
        <v>157461</v>
      </c>
      <c r="E155" s="1136">
        <v>42031</v>
      </c>
      <c r="F155" s="1137">
        <v>36000</v>
      </c>
      <c r="G155" s="1134">
        <v>13</v>
      </c>
      <c r="H155" s="1137">
        <v>42500</v>
      </c>
      <c r="I155" s="1134">
        <v>15.50</v>
      </c>
      <c r="J155" s="1138">
        <v>5700</v>
      </c>
      <c r="K155" s="1139"/>
      <c r="L155" s="1140">
        <v>42072</v>
      </c>
      <c r="M155" s="269">
        <f t="shared" si="20"/>
        <v>1</v>
      </c>
      <c r="N155" s="1141">
        <v>225</v>
      </c>
      <c r="O155" s="1087">
        <f t="shared" si="21"/>
        <v>75.007444168733855</v>
      </c>
      <c r="P155" s="269">
        <f t="shared" si="38" ref="P155:P218">IF(L155&gt;0,1,"")</f>
        <v>1</v>
      </c>
      <c r="Q155" s="269" t="str">
        <f t="shared" si="22"/>
        <v/>
      </c>
      <c r="R155" s="1147"/>
      <c r="S155" s="1143" t="str">
        <f t="shared" si="23"/>
        <v>Upsize</v>
      </c>
      <c r="T155" s="1144">
        <f t="shared" si="24"/>
        <v>1887.2470588235294</v>
      </c>
      <c r="U155" s="1144">
        <f t="shared" si="25"/>
        <v>753.03529411764703</v>
      </c>
      <c r="V155" s="1146">
        <f t="shared" si="26"/>
        <v>8746.907116413</v>
      </c>
      <c r="W155" s="1146">
        <f t="shared" si="27"/>
        <v>8939.8861480075902</v>
      </c>
      <c r="X155" s="1146">
        <f t="shared" si="28"/>
        <v>-192.9790315945902</v>
      </c>
      <c r="Y155" s="1146">
        <f t="shared" si="29"/>
        <v>8158.9296167247394</v>
      </c>
      <c r="Z155" s="1146">
        <f t="shared" si="30"/>
        <v>8939.8861480075902</v>
      </c>
      <c r="AA155" s="1146">
        <f t="shared" si="31"/>
        <v>-780.95653128285085</v>
      </c>
      <c r="AB155" s="1146">
        <f t="shared" si="32"/>
        <v>10326.20979020979</v>
      </c>
      <c r="AC155" s="1146">
        <f t="shared" si="33"/>
        <v>8939.8861480075902</v>
      </c>
      <c r="AD155" s="1146">
        <f t="shared" si="34"/>
        <v>1386.3236422022001</v>
      </c>
      <c r="AE155" s="1146">
        <f t="shared" si="35"/>
        <v>9632.0696864111505</v>
      </c>
      <c r="AF155" s="1146">
        <f t="shared" si="36"/>
        <v>8939.8861480075902</v>
      </c>
      <c r="AG155" s="1146">
        <f t="shared" si="37"/>
        <v>692.18353840356031</v>
      </c>
    </row>
    <row r="156" spans="2:33" ht="14.4">
      <c r="B156" s="1134">
        <v>4911269</v>
      </c>
      <c r="C156" s="1135"/>
      <c r="D156" s="1134">
        <v>480772</v>
      </c>
      <c r="E156" s="1136">
        <v>41926</v>
      </c>
      <c r="F156" s="1137">
        <v>60000</v>
      </c>
      <c r="G156" s="1134">
        <v>10</v>
      </c>
      <c r="H156" s="1137">
        <v>55500</v>
      </c>
      <c r="I156" s="1134">
        <v>15.70</v>
      </c>
      <c r="J156" s="1138" t="s">
        <v>246</v>
      </c>
      <c r="K156" s="1139"/>
      <c r="L156" s="1140">
        <v>42072</v>
      </c>
      <c r="M156" s="269">
        <f t="shared" si="20"/>
        <v>1</v>
      </c>
      <c r="N156" s="1141">
        <v>375</v>
      </c>
      <c r="O156" s="1087">
        <f t="shared" si="21"/>
        <v>6773.7324840764331</v>
      </c>
      <c r="P156" s="269">
        <f t="shared" si="38"/>
        <v>1</v>
      </c>
      <c r="Q156" s="269" t="str">
        <f t="shared" si="22"/>
        <v/>
      </c>
      <c r="R156" s="1147"/>
      <c r="S156" s="1143" t="str">
        <f t="shared" si="23"/>
        <v>Downsize</v>
      </c>
      <c r="T156" s="1144">
        <f t="shared" si="24"/>
        <v>2408.6486486486488</v>
      </c>
      <c r="U156" s="1144">
        <f t="shared" si="25"/>
        <v>961.08108108108115</v>
      </c>
      <c r="V156" s="1146">
        <f t="shared" si="26"/>
        <v>21940.835380835382</v>
      </c>
      <c r="W156" s="1146">
        <f t="shared" si="27"/>
        <v>14789.943799175722</v>
      </c>
      <c r="X156" s="1146">
        <f t="shared" si="28"/>
        <v>7150.89158165966</v>
      </c>
      <c r="Y156" s="1146">
        <f t="shared" si="29"/>
        <v>17355.080516056129</v>
      </c>
      <c r="Z156" s="1146">
        <f t="shared" si="30"/>
        <v>14789.943799175722</v>
      </c>
      <c r="AA156" s="1146">
        <f t="shared" si="31"/>
        <v>2565.1367168804063</v>
      </c>
      <c r="AB156" s="1146">
        <f t="shared" si="32"/>
        <v>20295.272727272728</v>
      </c>
      <c r="AC156" s="1146">
        <f t="shared" si="33"/>
        <v>14789.943799175722</v>
      </c>
      <c r="AD156" s="1146">
        <f t="shared" si="34"/>
        <v>5505.3289280970057</v>
      </c>
      <c r="AE156" s="1146">
        <f t="shared" si="35"/>
        <v>16053.449477351918</v>
      </c>
      <c r="AF156" s="1146">
        <f t="shared" si="36"/>
        <v>14789.943799175722</v>
      </c>
      <c r="AG156" s="1146">
        <f t="shared" si="37"/>
        <v>1263.5056781761959</v>
      </c>
    </row>
    <row r="157" spans="2:33" ht="14.4">
      <c r="B157" s="1134">
        <v>7814189</v>
      </c>
      <c r="C157" s="1135"/>
      <c r="D157" s="1134">
        <v>647377</v>
      </c>
      <c r="E157" s="1136">
        <v>42023</v>
      </c>
      <c r="F157" s="1137">
        <v>24000</v>
      </c>
      <c r="G157" s="1134">
        <v>12</v>
      </c>
      <c r="H157" s="1137">
        <v>24000</v>
      </c>
      <c r="I157" s="1134">
        <v>15.20</v>
      </c>
      <c r="J157" s="1138">
        <v>3973</v>
      </c>
      <c r="K157" s="1139"/>
      <c r="L157" s="1140">
        <v>42072</v>
      </c>
      <c r="M157" s="269">
        <f t="shared" si="20"/>
        <v>1</v>
      </c>
      <c r="N157" s="1141">
        <v>125</v>
      </c>
      <c r="O157" s="1087">
        <f t="shared" si="21"/>
        <v>1157.0526315789473</v>
      </c>
      <c r="P157" s="269">
        <f t="shared" si="38"/>
        <v>1</v>
      </c>
      <c r="Q157" s="269" t="str">
        <f t="shared" si="22"/>
        <v/>
      </c>
      <c r="R157" s="1147"/>
      <c r="S157" s="1143" t="str">
        <f t="shared" si="23"/>
        <v>Same Size</v>
      </c>
      <c r="T157" s="1144">
        <f t="shared" si="24"/>
        <v>2228</v>
      </c>
      <c r="U157" s="1144">
        <f t="shared" si="25"/>
        <v>889</v>
      </c>
      <c r="V157" s="1146">
        <f t="shared" si="26"/>
        <v>7226.909090909091</v>
      </c>
      <c r="W157" s="1146">
        <f t="shared" si="27"/>
        <v>6028.0123839009293</v>
      </c>
      <c r="X157" s="1146">
        <f t="shared" si="28"/>
        <v>1198.8967070081617</v>
      </c>
      <c r="Y157" s="1146">
        <f t="shared" si="29"/>
        <v>6421.3797909407658</v>
      </c>
      <c r="Z157" s="1146">
        <f t="shared" si="30"/>
        <v>6028.0123839009293</v>
      </c>
      <c r="AA157" s="1146">
        <f t="shared" si="31"/>
        <v>393.36740703983651</v>
      </c>
      <c r="AB157" s="1146">
        <f t="shared" si="32"/>
        <v>7226.909090909091</v>
      </c>
      <c r="AC157" s="1146">
        <f t="shared" si="33"/>
        <v>6028.0123839009293</v>
      </c>
      <c r="AD157" s="1146">
        <f t="shared" si="34"/>
        <v>1198.8967070081617</v>
      </c>
      <c r="AE157" s="1146">
        <f t="shared" si="35"/>
        <v>6421.3797909407658</v>
      </c>
      <c r="AF157" s="1146">
        <f t="shared" si="36"/>
        <v>6028.0123839009293</v>
      </c>
      <c r="AG157" s="1146">
        <f t="shared" si="37"/>
        <v>393.36740703983651</v>
      </c>
    </row>
    <row r="158" spans="2:33" ht="14.4">
      <c r="B158" s="1134">
        <v>8199275</v>
      </c>
      <c r="C158" s="1135"/>
      <c r="D158" s="1134">
        <v>481399</v>
      </c>
      <c r="E158" s="1136">
        <v>41928</v>
      </c>
      <c r="F158" s="1137">
        <v>60000</v>
      </c>
      <c r="G158" s="1134">
        <v>10</v>
      </c>
      <c r="H158" s="1137">
        <v>57000</v>
      </c>
      <c r="I158" s="1134">
        <v>16</v>
      </c>
      <c r="J158" s="1138">
        <v>8778</v>
      </c>
      <c r="K158" s="1139"/>
      <c r="L158" s="1140">
        <v>42072</v>
      </c>
      <c r="M158" s="269">
        <f t="shared" si="20"/>
        <v>1</v>
      </c>
      <c r="N158" s="1141">
        <v>425</v>
      </c>
      <c r="O158" s="1087">
        <f t="shared" si="21"/>
        <v>6698.2500000000009</v>
      </c>
      <c r="P158" s="269">
        <f t="shared" si="38"/>
        <v>1</v>
      </c>
      <c r="Q158" s="269" t="str">
        <f t="shared" si="22"/>
        <v/>
      </c>
      <c r="R158" s="1147"/>
      <c r="S158" s="1143" t="str">
        <f t="shared" si="23"/>
        <v>Downsize</v>
      </c>
      <c r="T158" s="1144">
        <f t="shared" si="24"/>
        <v>2345.2631578947367</v>
      </c>
      <c r="U158" s="1144">
        <f t="shared" si="25"/>
        <v>935.78947368421052</v>
      </c>
      <c r="V158" s="1146">
        <f t="shared" si="26"/>
        <v>21363.444976076556</v>
      </c>
      <c r="W158" s="1146">
        <f t="shared" si="27"/>
        <v>14630.294117647058</v>
      </c>
      <c r="X158" s="1146">
        <f t="shared" si="28"/>
        <v>6733.1508584294988</v>
      </c>
      <c r="Y158" s="1146">
        <f t="shared" si="29"/>
        <v>16898.367870896753</v>
      </c>
      <c r="Z158" s="1146">
        <f t="shared" si="30"/>
        <v>14630.294117647058</v>
      </c>
      <c r="AA158" s="1146">
        <f t="shared" si="31"/>
        <v>2268.0737532496951</v>
      </c>
      <c r="AB158" s="1146">
        <f t="shared" si="32"/>
        <v>20295.272727272728</v>
      </c>
      <c r="AC158" s="1146">
        <f t="shared" si="33"/>
        <v>14630.294117647058</v>
      </c>
      <c r="AD158" s="1146">
        <f t="shared" si="34"/>
        <v>5664.9786096256703</v>
      </c>
      <c r="AE158" s="1146">
        <f t="shared" si="35"/>
        <v>16053.449477351915</v>
      </c>
      <c r="AF158" s="1146">
        <f t="shared" si="36"/>
        <v>14630.294117647058</v>
      </c>
      <c r="AG158" s="1146">
        <f t="shared" si="37"/>
        <v>1423.1553597048569</v>
      </c>
    </row>
    <row r="159" spans="2:33" ht="14.4">
      <c r="B159" s="1134">
        <v>4839163</v>
      </c>
      <c r="C159" s="1135"/>
      <c r="D159" s="1134">
        <v>230610</v>
      </c>
      <c r="E159" s="1136">
        <v>42038</v>
      </c>
      <c r="F159" s="1137">
        <v>36000</v>
      </c>
      <c r="G159" s="1134">
        <v>10</v>
      </c>
      <c r="H159" s="1137">
        <v>34800</v>
      </c>
      <c r="I159" s="1134">
        <v>15</v>
      </c>
      <c r="J159" s="1138">
        <v>4400</v>
      </c>
      <c r="K159" s="1139"/>
      <c r="L159" s="1140">
        <v>42072</v>
      </c>
      <c r="M159" s="269">
        <f t="shared" si="20"/>
        <v>1</v>
      </c>
      <c r="N159" s="1141">
        <v>175</v>
      </c>
      <c r="O159" s="1087">
        <f t="shared" si="21"/>
        <v>3517.4400000000005</v>
      </c>
      <c r="P159" s="269">
        <f t="shared" si="38"/>
        <v>1</v>
      </c>
      <c r="Q159" s="269" t="str">
        <f t="shared" si="22"/>
        <v/>
      </c>
      <c r="R159" s="1147"/>
      <c r="S159" s="1143" t="str">
        <f t="shared" si="23"/>
        <v>Downsize</v>
      </c>
      <c r="T159" s="1144">
        <f t="shared" si="24"/>
        <v>2304.8275862068967</v>
      </c>
      <c r="U159" s="1144">
        <f t="shared" si="25"/>
        <v>919.65517241379314</v>
      </c>
      <c r="V159" s="1146">
        <f t="shared" si="26"/>
        <v>12597.065830721003</v>
      </c>
      <c r="W159" s="1146">
        <f t="shared" si="27"/>
        <v>9112.376470588235</v>
      </c>
      <c r="X159" s="1146">
        <f t="shared" si="28"/>
        <v>3484.6893601327683</v>
      </c>
      <c r="Y159" s="1146">
        <f t="shared" si="29"/>
        <v>9964.2100204253293</v>
      </c>
      <c r="Z159" s="1146">
        <f t="shared" si="30"/>
        <v>9112.376470588235</v>
      </c>
      <c r="AA159" s="1146">
        <f t="shared" si="31"/>
        <v>851.83354983709432</v>
      </c>
      <c r="AB159" s="1146">
        <f t="shared" si="32"/>
        <v>12177.163636363635</v>
      </c>
      <c r="AC159" s="1146">
        <f t="shared" si="33"/>
        <v>9112.376470588235</v>
      </c>
      <c r="AD159" s="1146">
        <f t="shared" si="34"/>
        <v>3064.7871657754004</v>
      </c>
      <c r="AE159" s="1146">
        <f t="shared" si="35"/>
        <v>9632.0696864111505</v>
      </c>
      <c r="AF159" s="1146">
        <f t="shared" si="36"/>
        <v>9112.376470588235</v>
      </c>
      <c r="AG159" s="1146">
        <f t="shared" si="37"/>
        <v>519.69321582291559</v>
      </c>
    </row>
    <row r="160" spans="2:33" ht="14.4">
      <c r="B160" s="1134">
        <v>8862749</v>
      </c>
      <c r="C160" s="1135"/>
      <c r="D160" s="1134">
        <v>315640</v>
      </c>
      <c r="E160" s="1136">
        <v>41734</v>
      </c>
      <c r="F160" s="1137">
        <v>42000</v>
      </c>
      <c r="G160" s="1134">
        <v>10</v>
      </c>
      <c r="H160" s="1137">
        <v>42000</v>
      </c>
      <c r="I160" s="1134">
        <v>15.50</v>
      </c>
      <c r="J160" s="1138">
        <v>5997</v>
      </c>
      <c r="K160" s="1139"/>
      <c r="L160" s="1140">
        <v>42072</v>
      </c>
      <c r="M160" s="269">
        <f t="shared" si="20"/>
        <v>1</v>
      </c>
      <c r="N160" s="1141">
        <v>250</v>
      </c>
      <c r="O160" s="1087">
        <f t="shared" si="21"/>
        <v>4095.4064516129042</v>
      </c>
      <c r="P160" s="269">
        <f t="shared" si="38"/>
        <v>1</v>
      </c>
      <c r="Q160" s="269" t="str">
        <f t="shared" si="22"/>
        <v/>
      </c>
      <c r="R160" s="1147"/>
      <c r="S160" s="1143" t="str">
        <f t="shared" si="23"/>
        <v>Same Size</v>
      </c>
      <c r="T160" s="1144">
        <f t="shared" si="24"/>
        <v>2228</v>
      </c>
      <c r="U160" s="1144">
        <f t="shared" si="25"/>
        <v>889</v>
      </c>
      <c r="V160" s="1146">
        <f t="shared" si="26"/>
        <v>14206.690909090909</v>
      </c>
      <c r="W160" s="1146">
        <f t="shared" si="27"/>
        <v>10429.867172675522</v>
      </c>
      <c r="X160" s="1146">
        <f t="shared" si="28"/>
        <v>3776.8237364153865</v>
      </c>
      <c r="Y160" s="1146">
        <f t="shared" si="29"/>
        <v>11237.41463414634</v>
      </c>
      <c r="Z160" s="1146">
        <f t="shared" si="30"/>
        <v>10429.867172675522</v>
      </c>
      <c r="AA160" s="1146">
        <f t="shared" si="31"/>
        <v>807.54746147081823</v>
      </c>
      <c r="AB160" s="1146">
        <f t="shared" si="32"/>
        <v>14206.690909090909</v>
      </c>
      <c r="AC160" s="1146">
        <f t="shared" si="33"/>
        <v>10429.867172675522</v>
      </c>
      <c r="AD160" s="1146">
        <f t="shared" si="34"/>
        <v>3776.8237364153865</v>
      </c>
      <c r="AE160" s="1146">
        <f t="shared" si="35"/>
        <v>11237.41463414634</v>
      </c>
      <c r="AF160" s="1146">
        <f t="shared" si="36"/>
        <v>10429.867172675522</v>
      </c>
      <c r="AG160" s="1146">
        <f t="shared" si="37"/>
        <v>807.54746147081823</v>
      </c>
    </row>
    <row r="161" spans="2:33" ht="14.4">
      <c r="B161" s="1134">
        <v>1020759</v>
      </c>
      <c r="C161" s="1135"/>
      <c r="D161" s="1134">
        <v>102075</v>
      </c>
      <c r="E161" s="1136">
        <v>41975</v>
      </c>
      <c r="F161" s="1137">
        <v>60000</v>
      </c>
      <c r="G161" s="1134">
        <v>12</v>
      </c>
      <c r="H161" s="1137">
        <v>57000</v>
      </c>
      <c r="I161" s="1134">
        <v>14.50</v>
      </c>
      <c r="J161" s="1138">
        <v>5900</v>
      </c>
      <c r="K161" s="1139"/>
      <c r="L161" s="1140">
        <v>42072</v>
      </c>
      <c r="M161" s="269">
        <f t="shared" si="20"/>
        <v>1</v>
      </c>
      <c r="N161" s="1141">
        <v>325</v>
      </c>
      <c r="O161" s="1087">
        <f t="shared" si="21"/>
        <v>2937.5172413793111</v>
      </c>
      <c r="P161" s="269">
        <f t="shared" si="38"/>
        <v>1</v>
      </c>
      <c r="Q161" s="269" t="str">
        <f t="shared" si="22"/>
        <v/>
      </c>
      <c r="R161" s="1147"/>
      <c r="S161" s="1143" t="str">
        <f t="shared" si="23"/>
        <v>Downsize</v>
      </c>
      <c r="T161" s="1144">
        <f t="shared" si="24"/>
        <v>2345.2631578947367</v>
      </c>
      <c r="U161" s="1144">
        <f t="shared" si="25"/>
        <v>935.78947368421052</v>
      </c>
      <c r="V161" s="1146">
        <f t="shared" si="26"/>
        <v>19018.181818181816</v>
      </c>
      <c r="W161" s="1146">
        <f t="shared" si="27"/>
        <v>15494.604462474643</v>
      </c>
      <c r="X161" s="1146">
        <f t="shared" si="28"/>
        <v>3523.5773557071734</v>
      </c>
      <c r="Y161" s="1146">
        <f t="shared" si="29"/>
        <v>16898.367870896753</v>
      </c>
      <c r="Z161" s="1146">
        <f t="shared" si="30"/>
        <v>15494.604462474643</v>
      </c>
      <c r="AA161" s="1146">
        <f t="shared" si="31"/>
        <v>1403.7634084221099</v>
      </c>
      <c r="AB161" s="1146">
        <f t="shared" si="32"/>
        <v>18067.272727272724</v>
      </c>
      <c r="AC161" s="1146">
        <f t="shared" si="33"/>
        <v>15494.604462474643</v>
      </c>
      <c r="AD161" s="1146">
        <f t="shared" si="34"/>
        <v>2572.6682647980815</v>
      </c>
      <c r="AE161" s="1146">
        <f t="shared" si="35"/>
        <v>16053.449477351915</v>
      </c>
      <c r="AF161" s="1146">
        <f t="shared" si="36"/>
        <v>15494.604462474643</v>
      </c>
      <c r="AG161" s="1146">
        <f t="shared" si="37"/>
        <v>558.84501487727175</v>
      </c>
    </row>
    <row r="162" spans="2:33" ht="14.4">
      <c r="B162" s="1134">
        <v>2255958</v>
      </c>
      <c r="C162" s="1135"/>
      <c r="D162" s="1134">
        <v>197466</v>
      </c>
      <c r="E162" s="1136">
        <v>41995</v>
      </c>
      <c r="F162" s="1137">
        <v>48000</v>
      </c>
      <c r="G162" s="1134">
        <v>10</v>
      </c>
      <c r="H162" s="1137">
        <v>47500</v>
      </c>
      <c r="I162" s="1134">
        <v>15</v>
      </c>
      <c r="J162" s="1138">
        <v>4800</v>
      </c>
      <c r="K162" s="1139"/>
      <c r="L162" s="1140">
        <v>42072</v>
      </c>
      <c r="M162" s="269">
        <f t="shared" si="20"/>
        <v>1</v>
      </c>
      <c r="N162" s="1141">
        <v>300</v>
      </c>
      <c r="O162" s="1087">
        <f t="shared" si="21"/>
        <v>4488.4000000000005</v>
      </c>
      <c r="P162" s="269">
        <f t="shared" si="38"/>
        <v>1</v>
      </c>
      <c r="Q162" s="269" t="str">
        <f t="shared" si="22"/>
        <v/>
      </c>
      <c r="R162" s="1147"/>
      <c r="S162" s="1143" t="str">
        <f t="shared" si="23"/>
        <v>Downsize</v>
      </c>
      <c r="T162" s="1144">
        <f t="shared" si="24"/>
        <v>2251.4526315789476</v>
      </c>
      <c r="U162" s="1144">
        <f t="shared" si="25"/>
        <v>898.35789473684213</v>
      </c>
      <c r="V162" s="1146">
        <f t="shared" si="26"/>
        <v>16407.125741626798</v>
      </c>
      <c r="W162" s="1146">
        <f t="shared" si="27"/>
        <v>12149.835294117649</v>
      </c>
      <c r="X162" s="1146">
        <f t="shared" si="28"/>
        <v>4257.2904475091491</v>
      </c>
      <c r="Y162" s="1146">
        <f t="shared" si="29"/>
        <v>12977.946524848709</v>
      </c>
      <c r="Z162" s="1146">
        <f t="shared" si="30"/>
        <v>12149.835294117649</v>
      </c>
      <c r="AA162" s="1146">
        <f t="shared" si="31"/>
        <v>828.11123073105955</v>
      </c>
      <c r="AB162" s="1146">
        <f t="shared" si="32"/>
        <v>16236.218181818183</v>
      </c>
      <c r="AC162" s="1146">
        <f t="shared" si="33"/>
        <v>12149.835294117649</v>
      </c>
      <c r="AD162" s="1146">
        <f t="shared" si="34"/>
        <v>4086.3828877005344</v>
      </c>
      <c r="AE162" s="1146">
        <f t="shared" si="35"/>
        <v>12842.759581881535</v>
      </c>
      <c r="AF162" s="1146">
        <f t="shared" si="36"/>
        <v>12149.835294117649</v>
      </c>
      <c r="AG162" s="1146">
        <f t="shared" si="37"/>
        <v>692.92428776388624</v>
      </c>
    </row>
    <row r="163" spans="2:33" ht="14.4">
      <c r="B163" s="1134">
        <v>1460864</v>
      </c>
      <c r="C163" s="1135"/>
      <c r="D163" s="1134">
        <v>146086</v>
      </c>
      <c r="E163" s="1136">
        <v>42030</v>
      </c>
      <c r="F163" s="1137">
        <v>42000</v>
      </c>
      <c r="G163" s="1134">
        <v>13</v>
      </c>
      <c r="H163" s="1137">
        <v>43500</v>
      </c>
      <c r="I163" s="1134">
        <v>15.50</v>
      </c>
      <c r="J163" s="1138">
        <v>5225</v>
      </c>
      <c r="K163" s="1139"/>
      <c r="L163" s="1140">
        <v>42072</v>
      </c>
      <c r="M163" s="269">
        <f t="shared" si="20"/>
        <v>1</v>
      </c>
      <c r="N163" s="1141">
        <v>225</v>
      </c>
      <c r="O163" s="1087">
        <f t="shared" si="21"/>
        <v>1166.024813895782</v>
      </c>
      <c r="P163" s="269">
        <f t="shared" si="38"/>
        <v>1</v>
      </c>
      <c r="Q163" s="269" t="str">
        <f t="shared" si="22"/>
        <v/>
      </c>
      <c r="R163" s="1147"/>
      <c r="S163" s="1143" t="str">
        <f t="shared" si="23"/>
        <v>Upsize</v>
      </c>
      <c r="T163" s="1144">
        <f t="shared" si="24"/>
        <v>2151.1724137931037</v>
      </c>
      <c r="U163" s="1144">
        <f t="shared" si="25"/>
        <v>858.34482758620697</v>
      </c>
      <c r="V163" s="1146">
        <f t="shared" si="26"/>
        <v>11631.822522305281</v>
      </c>
      <c r="W163" s="1146">
        <f t="shared" si="27"/>
        <v>10429.867172675524</v>
      </c>
      <c r="X163" s="1146">
        <f t="shared" si="28"/>
        <v>1201.9553496297576</v>
      </c>
      <c r="Y163" s="1146">
        <f t="shared" si="29"/>
        <v>10849.917577796468</v>
      </c>
      <c r="Z163" s="1146">
        <f t="shared" si="30"/>
        <v>10429.867172675524</v>
      </c>
      <c r="AA163" s="1146">
        <f t="shared" si="31"/>
        <v>420.05040512094456</v>
      </c>
      <c r="AB163" s="1146">
        <f t="shared" si="32"/>
        <v>12047.244755244756</v>
      </c>
      <c r="AC163" s="1146">
        <f t="shared" si="33"/>
        <v>10429.867172675524</v>
      </c>
      <c r="AD163" s="1146">
        <f t="shared" si="34"/>
        <v>1617.3775825692319</v>
      </c>
      <c r="AE163" s="1146">
        <f t="shared" si="35"/>
        <v>11237.414634146342</v>
      </c>
      <c r="AF163" s="1146">
        <f t="shared" si="36"/>
        <v>10429.867172675524</v>
      </c>
      <c r="AG163" s="1146">
        <f t="shared" si="37"/>
        <v>807.54746147081823</v>
      </c>
    </row>
    <row r="164" spans="2:33" ht="14.4">
      <c r="B164" s="1134">
        <v>3625027</v>
      </c>
      <c r="C164" s="1135"/>
      <c r="D164" s="1134">
        <v>358251</v>
      </c>
      <c r="E164" s="1136">
        <v>42046</v>
      </c>
      <c r="F164" s="1137">
        <v>48000</v>
      </c>
      <c r="G164" s="1134">
        <v>12</v>
      </c>
      <c r="H164" s="1137">
        <v>48000</v>
      </c>
      <c r="I164" s="1134">
        <v>15</v>
      </c>
      <c r="J164" s="1138">
        <v>7050</v>
      </c>
      <c r="K164" s="1139"/>
      <c r="L164" s="1140">
        <v>42072</v>
      </c>
      <c r="M164" s="269">
        <f t="shared" si="20"/>
        <v>1</v>
      </c>
      <c r="N164" s="1141">
        <v>250</v>
      </c>
      <c r="O164" s="1087">
        <f t="shared" si="21"/>
        <v>2198.40</v>
      </c>
      <c r="P164" s="269">
        <f t="shared" si="38"/>
        <v>1</v>
      </c>
      <c r="Q164" s="269" t="str">
        <f t="shared" si="22"/>
        <v/>
      </c>
      <c r="R164" s="1147"/>
      <c r="S164" s="1143" t="str">
        <f t="shared" si="23"/>
        <v>Same Size</v>
      </c>
      <c r="T164" s="1144">
        <f t="shared" si="24"/>
        <v>2228</v>
      </c>
      <c r="U164" s="1144">
        <f t="shared" si="25"/>
        <v>889</v>
      </c>
      <c r="V164" s="1146">
        <f t="shared" si="26"/>
        <v>14453.818181818182</v>
      </c>
      <c r="W164" s="1146">
        <f t="shared" si="27"/>
        <v>12149.835294117647</v>
      </c>
      <c r="X164" s="1146">
        <f t="shared" si="28"/>
        <v>2303.9828877005348</v>
      </c>
      <c r="Y164" s="1146">
        <f t="shared" si="29"/>
        <v>12842.759581881532</v>
      </c>
      <c r="Z164" s="1146">
        <f t="shared" si="30"/>
        <v>12149.835294117647</v>
      </c>
      <c r="AA164" s="1146">
        <f t="shared" si="31"/>
        <v>692.92428776388442</v>
      </c>
      <c r="AB164" s="1146">
        <f t="shared" si="32"/>
        <v>14453.818181818182</v>
      </c>
      <c r="AC164" s="1146">
        <f t="shared" si="33"/>
        <v>12149.835294117647</v>
      </c>
      <c r="AD164" s="1146">
        <f t="shared" si="34"/>
        <v>2303.9828877005348</v>
      </c>
      <c r="AE164" s="1146">
        <f t="shared" si="35"/>
        <v>12842.759581881532</v>
      </c>
      <c r="AF164" s="1146">
        <f t="shared" si="36"/>
        <v>12149.835294117647</v>
      </c>
      <c r="AG164" s="1146">
        <f t="shared" si="37"/>
        <v>692.92428776388442</v>
      </c>
    </row>
    <row r="165" spans="2:33" ht="14.4">
      <c r="B165" s="1134">
        <v>2350460</v>
      </c>
      <c r="C165" s="1135"/>
      <c r="D165" s="1134">
        <v>232565</v>
      </c>
      <c r="E165" s="1136">
        <v>42024</v>
      </c>
      <c r="F165" s="1137">
        <v>36000</v>
      </c>
      <c r="G165" s="1134">
        <v>10</v>
      </c>
      <c r="H165" s="1137">
        <v>34800</v>
      </c>
      <c r="I165" s="1134">
        <v>15.20</v>
      </c>
      <c r="J165" s="1138">
        <v>5750</v>
      </c>
      <c r="K165" s="1139"/>
      <c r="L165" s="1140">
        <v>42072</v>
      </c>
      <c r="M165" s="269">
        <f t="shared" si="20"/>
        <v>1</v>
      </c>
      <c r="N165" s="1141">
        <v>175</v>
      </c>
      <c r="O165" s="1087">
        <f t="shared" si="21"/>
        <v>3601.3263157894744</v>
      </c>
      <c r="P165" s="269">
        <f t="shared" si="38"/>
        <v>1</v>
      </c>
      <c r="Q165" s="269" t="str">
        <f t="shared" si="22"/>
        <v/>
      </c>
      <c r="R165" s="1147"/>
      <c r="S165" s="1143" t="str">
        <f t="shared" si="23"/>
        <v>Downsize</v>
      </c>
      <c r="T165" s="1144">
        <f t="shared" si="24"/>
        <v>2304.8275862068967</v>
      </c>
      <c r="U165" s="1144">
        <f t="shared" si="25"/>
        <v>919.65517241379314</v>
      </c>
      <c r="V165" s="1146">
        <f t="shared" si="26"/>
        <v>12597.065830721003</v>
      </c>
      <c r="W165" s="1146">
        <f t="shared" si="27"/>
        <v>9042.0185758513926</v>
      </c>
      <c r="X165" s="1146">
        <f t="shared" si="28"/>
        <v>3555.0472548696107</v>
      </c>
      <c r="Y165" s="1146">
        <f t="shared" si="29"/>
        <v>9964.2100204253293</v>
      </c>
      <c r="Z165" s="1146">
        <f t="shared" si="30"/>
        <v>9042.0185758513926</v>
      </c>
      <c r="AA165" s="1146">
        <f t="shared" si="31"/>
        <v>922.19144457393668</v>
      </c>
      <c r="AB165" s="1146">
        <f t="shared" si="32"/>
        <v>12177.163636363635</v>
      </c>
      <c r="AC165" s="1146">
        <f t="shared" si="33"/>
        <v>9042.0185758513926</v>
      </c>
      <c r="AD165" s="1146">
        <f t="shared" si="34"/>
        <v>3135.1450605122427</v>
      </c>
      <c r="AE165" s="1146">
        <f t="shared" si="35"/>
        <v>9632.0696864111505</v>
      </c>
      <c r="AF165" s="1146">
        <f t="shared" si="36"/>
        <v>9042.0185758513926</v>
      </c>
      <c r="AG165" s="1146">
        <f t="shared" si="37"/>
        <v>590.05111055975794</v>
      </c>
    </row>
    <row r="166" spans="2:33" ht="14.4">
      <c r="B166" s="1134">
        <v>2837110</v>
      </c>
      <c r="C166" s="1135"/>
      <c r="D166" s="1134">
        <v>231227</v>
      </c>
      <c r="E166" s="1136">
        <v>41891</v>
      </c>
      <c r="F166" s="1137">
        <v>36000</v>
      </c>
      <c r="G166" s="1134">
        <v>10</v>
      </c>
      <c r="H166" s="1137">
        <v>45500</v>
      </c>
      <c r="I166" s="1134">
        <v>14</v>
      </c>
      <c r="J166" s="1138">
        <v>5175</v>
      </c>
      <c r="K166" s="1139"/>
      <c r="L166" s="1140">
        <v>42072</v>
      </c>
      <c r="M166" s="269">
        <f t="shared" si="20"/>
        <v>1</v>
      </c>
      <c r="N166" s="1141">
        <v>250</v>
      </c>
      <c r="O166" s="1087">
        <f t="shared" si="21"/>
        <v>961.80</v>
      </c>
      <c r="P166" s="269">
        <f t="shared" si="38"/>
        <v>1</v>
      </c>
      <c r="Q166" s="269" t="str">
        <f t="shared" si="22"/>
        <v/>
      </c>
      <c r="R166" s="1147"/>
      <c r="S166" s="1143" t="str">
        <f t="shared" si="23"/>
        <v>Upsize</v>
      </c>
      <c r="T166" s="1144">
        <f t="shared" si="24"/>
        <v>1762.8131868131868</v>
      </c>
      <c r="U166" s="1144">
        <f t="shared" si="25"/>
        <v>703.38461538461536</v>
      </c>
      <c r="V166" s="1146">
        <f t="shared" si="26"/>
        <v>9634.6789210789211</v>
      </c>
      <c r="W166" s="1146">
        <f t="shared" si="27"/>
        <v>9494.3193277310911</v>
      </c>
      <c r="X166" s="1146">
        <f t="shared" si="28"/>
        <v>140.35959334783001</v>
      </c>
      <c r="Y166" s="1146">
        <f t="shared" si="29"/>
        <v>7620.9782134242068</v>
      </c>
      <c r="Z166" s="1146">
        <f t="shared" si="30"/>
        <v>9494.3193277310911</v>
      </c>
      <c r="AA166" s="1146">
        <f t="shared" si="31"/>
        <v>-1873.3411143068843</v>
      </c>
      <c r="AB166" s="1146">
        <f t="shared" si="32"/>
        <v>12177.163636363635</v>
      </c>
      <c r="AC166" s="1146">
        <f t="shared" si="33"/>
        <v>9494.3193277310911</v>
      </c>
      <c r="AD166" s="1146">
        <f t="shared" si="34"/>
        <v>2682.8443086325442</v>
      </c>
      <c r="AE166" s="1146">
        <f t="shared" si="35"/>
        <v>9632.0696864111505</v>
      </c>
      <c r="AF166" s="1146">
        <f t="shared" si="36"/>
        <v>9494.3193277310911</v>
      </c>
      <c r="AG166" s="1146">
        <f t="shared" si="37"/>
        <v>137.75035868005944</v>
      </c>
    </row>
    <row r="167" spans="2:33" ht="14.4">
      <c r="B167" s="1134">
        <v>954933</v>
      </c>
      <c r="C167" s="1135"/>
      <c r="D167" s="1134">
        <v>95493</v>
      </c>
      <c r="E167" s="1136">
        <v>42024</v>
      </c>
      <c r="F167" s="1137">
        <v>42000</v>
      </c>
      <c r="G167" s="1134">
        <v>8</v>
      </c>
      <c r="H167" s="1137">
        <v>43500</v>
      </c>
      <c r="I167" s="1134">
        <v>15.50</v>
      </c>
      <c r="J167" s="1138">
        <v>6290</v>
      </c>
      <c r="K167" s="1139"/>
      <c r="L167" s="1140">
        <v>42072</v>
      </c>
      <c r="M167" s="269">
        <f t="shared" si="20"/>
        <v>1</v>
      </c>
      <c r="N167" s="1141">
        <v>225</v>
      </c>
      <c r="O167" s="1087">
        <f t="shared" si="21"/>
        <v>6714.8709677419356</v>
      </c>
      <c r="P167" s="269">
        <f t="shared" si="38"/>
        <v>1</v>
      </c>
      <c r="Q167" s="269" t="str">
        <f t="shared" si="22"/>
        <v/>
      </c>
      <c r="R167" s="1147"/>
      <c r="S167" s="1143" t="str">
        <f t="shared" si="23"/>
        <v>Upsize</v>
      </c>
      <c r="T167" s="1144">
        <f t="shared" si="24"/>
        <v>2151.1724137931037</v>
      </c>
      <c r="U167" s="1144">
        <f t="shared" si="25"/>
        <v>858.34482758620697</v>
      </c>
      <c r="V167" s="1146">
        <f t="shared" si="26"/>
        <v>15975.536050156743</v>
      </c>
      <c r="W167" s="1146">
        <f t="shared" si="27"/>
        <v>10429.867172675524</v>
      </c>
      <c r="X167" s="1146">
        <f t="shared" si="28"/>
        <v>5545.6688774812192</v>
      </c>
      <c r="Y167" s="1146">
        <f t="shared" si="29"/>
        <v>10849.917577796468</v>
      </c>
      <c r="Z167" s="1146">
        <f t="shared" si="30"/>
        <v>10429.867172675524</v>
      </c>
      <c r="AA167" s="1146">
        <f t="shared" si="31"/>
        <v>420.05040512094456</v>
      </c>
      <c r="AB167" s="1146">
        <f t="shared" si="32"/>
        <v>16546.090909090912</v>
      </c>
      <c r="AC167" s="1146">
        <f t="shared" si="33"/>
        <v>10429.867172675524</v>
      </c>
      <c r="AD167" s="1146">
        <f t="shared" si="34"/>
        <v>6116.223736415388</v>
      </c>
      <c r="AE167" s="1146">
        <f t="shared" si="35"/>
        <v>11237.414634146342</v>
      </c>
      <c r="AF167" s="1146">
        <f t="shared" si="36"/>
        <v>10429.867172675524</v>
      </c>
      <c r="AG167" s="1146">
        <f t="shared" si="37"/>
        <v>807.54746147081823</v>
      </c>
    </row>
    <row r="168" spans="2:33" ht="14.4">
      <c r="B168" s="1134">
        <v>4009049</v>
      </c>
      <c r="C168" s="1135"/>
      <c r="D168" s="1134">
        <v>220053</v>
      </c>
      <c r="E168" s="1136">
        <v>42045</v>
      </c>
      <c r="F168" s="1137">
        <v>48000</v>
      </c>
      <c r="G168" s="1134">
        <v>10</v>
      </c>
      <c r="H168" s="1137">
        <v>47000</v>
      </c>
      <c r="I168" s="1134">
        <v>16</v>
      </c>
      <c r="J168" s="1138">
        <v>6440</v>
      </c>
      <c r="K168" s="1139"/>
      <c r="L168" s="1140">
        <v>42072</v>
      </c>
      <c r="M168" s="269">
        <f t="shared" si="20"/>
        <v>1</v>
      </c>
      <c r="N168" s="1141">
        <v>300</v>
      </c>
      <c r="O168" s="1087">
        <f t="shared" si="21"/>
        <v>5118.1500000000005</v>
      </c>
      <c r="P168" s="269">
        <f t="shared" si="38"/>
        <v>1</v>
      </c>
      <c r="Q168" s="269" t="str">
        <f t="shared" si="22"/>
        <v/>
      </c>
      <c r="R168" s="1147"/>
      <c r="S168" s="1143" t="str">
        <f t="shared" si="23"/>
        <v>Downsize</v>
      </c>
      <c r="T168" s="1144">
        <f t="shared" si="24"/>
        <v>2275.4042553191489</v>
      </c>
      <c r="U168" s="1144">
        <f t="shared" si="25"/>
        <v>907.91489361702122</v>
      </c>
      <c r="V168" s="1146">
        <f t="shared" si="26"/>
        <v>16581.669632495163</v>
      </c>
      <c r="W168" s="1146">
        <f t="shared" si="27"/>
        <v>11704.235294117647</v>
      </c>
      <c r="X168" s="1146">
        <f t="shared" si="28"/>
        <v>4877.4343383775158</v>
      </c>
      <c r="Y168" s="1146">
        <f t="shared" si="29"/>
        <v>13116.009785751354</v>
      </c>
      <c r="Z168" s="1146">
        <f t="shared" si="30"/>
        <v>11704.235294117647</v>
      </c>
      <c r="AA168" s="1146">
        <f t="shared" si="31"/>
        <v>1411.7744916337069</v>
      </c>
      <c r="AB168" s="1146">
        <f t="shared" si="32"/>
        <v>16236.218181818182</v>
      </c>
      <c r="AC168" s="1146">
        <f t="shared" si="33"/>
        <v>11704.235294117647</v>
      </c>
      <c r="AD168" s="1146">
        <f t="shared" si="34"/>
        <v>4531.9828877005348</v>
      </c>
      <c r="AE168" s="1146">
        <f t="shared" si="35"/>
        <v>12842.759581881533</v>
      </c>
      <c r="AF168" s="1146">
        <f t="shared" si="36"/>
        <v>11704.235294117647</v>
      </c>
      <c r="AG168" s="1146">
        <f t="shared" si="37"/>
        <v>1138.5242877638866</v>
      </c>
    </row>
    <row r="169" spans="2:33" ht="14.4">
      <c r="B169" s="1134">
        <v>1469444</v>
      </c>
      <c r="C169" s="1135"/>
      <c r="D169" s="1134">
        <v>146944</v>
      </c>
      <c r="E169" s="1136">
        <v>42006</v>
      </c>
      <c r="F169" s="1137">
        <v>36000</v>
      </c>
      <c r="G169" s="1134">
        <v>10</v>
      </c>
      <c r="H169" s="1137">
        <v>34200</v>
      </c>
      <c r="I169" s="1134">
        <v>15</v>
      </c>
      <c r="J169" s="1138">
        <v>5254</v>
      </c>
      <c r="K169" s="1139"/>
      <c r="L169" s="1140">
        <v>42072</v>
      </c>
      <c r="M169" s="269">
        <f t="shared" si="20"/>
        <v>1</v>
      </c>
      <c r="N169" s="1141">
        <v>175</v>
      </c>
      <c r="O169" s="1087">
        <f t="shared" si="21"/>
        <v>3627.36</v>
      </c>
      <c r="P169" s="269">
        <f t="shared" si="38"/>
        <v>1</v>
      </c>
      <c r="Q169" s="269" t="str">
        <f t="shared" si="22"/>
        <v/>
      </c>
      <c r="R169" s="1147"/>
      <c r="S169" s="1143" t="str">
        <f t="shared" si="23"/>
        <v>Downsize</v>
      </c>
      <c r="T169" s="1144">
        <f t="shared" si="24"/>
        <v>2345.2631578947367</v>
      </c>
      <c r="U169" s="1144">
        <f t="shared" si="25"/>
        <v>935.78947368421052</v>
      </c>
      <c r="V169" s="1146">
        <f t="shared" si="26"/>
        <v>12818.066985645934</v>
      </c>
      <c r="W169" s="1146">
        <f t="shared" si="27"/>
        <v>9112.3764705882368</v>
      </c>
      <c r="X169" s="1146">
        <f t="shared" si="28"/>
        <v>3705.6905150576968</v>
      </c>
      <c r="Y169" s="1146">
        <f t="shared" si="29"/>
        <v>10139.020722538051</v>
      </c>
      <c r="Z169" s="1146">
        <f t="shared" si="30"/>
        <v>9112.3764705882368</v>
      </c>
      <c r="AA169" s="1146">
        <f t="shared" si="31"/>
        <v>1026.6442519498141</v>
      </c>
      <c r="AB169" s="1146">
        <f t="shared" si="32"/>
        <v>12177.163636363637</v>
      </c>
      <c r="AC169" s="1146">
        <f t="shared" si="33"/>
        <v>9112.3764705882368</v>
      </c>
      <c r="AD169" s="1146">
        <f t="shared" si="34"/>
        <v>3064.7871657754004</v>
      </c>
      <c r="AE169" s="1146">
        <f t="shared" si="35"/>
        <v>9632.0696864111487</v>
      </c>
      <c r="AF169" s="1146">
        <f t="shared" si="36"/>
        <v>9112.3764705882368</v>
      </c>
      <c r="AG169" s="1146">
        <f t="shared" si="37"/>
        <v>519.69321582291195</v>
      </c>
    </row>
    <row r="170" spans="2:33" ht="14.4">
      <c r="B170" s="1134">
        <v>1912542</v>
      </c>
      <c r="C170" s="1135"/>
      <c r="D170" s="1134">
        <v>191254</v>
      </c>
      <c r="E170" s="1136">
        <v>41978</v>
      </c>
      <c r="F170" s="1137">
        <v>36000</v>
      </c>
      <c r="G170" s="1134">
        <v>8</v>
      </c>
      <c r="H170" s="1137">
        <v>34800</v>
      </c>
      <c r="I170" s="1134">
        <v>15</v>
      </c>
      <c r="J170" s="1138">
        <v>5410</v>
      </c>
      <c r="K170" s="1139"/>
      <c r="L170" s="1140">
        <v>42072</v>
      </c>
      <c r="M170" s="269">
        <f t="shared" si="20"/>
        <v>1</v>
      </c>
      <c r="N170" s="1141">
        <v>225</v>
      </c>
      <c r="O170" s="1087">
        <f t="shared" si="21"/>
        <v>5990.64</v>
      </c>
      <c r="P170" s="269">
        <f t="shared" si="38"/>
        <v>1</v>
      </c>
      <c r="Q170" s="269" t="str">
        <f t="shared" si="22"/>
        <v/>
      </c>
      <c r="R170" s="1147"/>
      <c r="S170" s="1143" t="str">
        <f t="shared" si="23"/>
        <v>Downsize</v>
      </c>
      <c r="T170" s="1144">
        <f t="shared" si="24"/>
        <v>2304.8275862068967</v>
      </c>
      <c r="U170" s="1144">
        <f t="shared" si="25"/>
        <v>919.65517241379314</v>
      </c>
      <c r="V170" s="1146">
        <f t="shared" si="26"/>
        <v>14671.41065830721</v>
      </c>
      <c r="W170" s="1146">
        <f t="shared" si="27"/>
        <v>9112.376470588235</v>
      </c>
      <c r="X170" s="1146">
        <f t="shared" si="28"/>
        <v>5559.0341877189749</v>
      </c>
      <c r="Y170" s="1146">
        <f t="shared" si="29"/>
        <v>9964.2100204253293</v>
      </c>
      <c r="Z170" s="1146">
        <f t="shared" si="30"/>
        <v>9112.376470588235</v>
      </c>
      <c r="AA170" s="1146">
        <f t="shared" si="31"/>
        <v>851.83354983709432</v>
      </c>
      <c r="AB170" s="1146">
        <f t="shared" si="32"/>
        <v>14182.363636363636</v>
      </c>
      <c r="AC170" s="1146">
        <f t="shared" si="33"/>
        <v>9112.376470588235</v>
      </c>
      <c r="AD170" s="1146">
        <f t="shared" si="34"/>
        <v>5069.9871657754011</v>
      </c>
      <c r="AE170" s="1146">
        <f t="shared" si="35"/>
        <v>9632.0696864111505</v>
      </c>
      <c r="AF170" s="1146">
        <f t="shared" si="36"/>
        <v>9112.376470588235</v>
      </c>
      <c r="AG170" s="1146">
        <f t="shared" si="37"/>
        <v>519.69321582291559</v>
      </c>
    </row>
    <row r="171" spans="2:33" ht="14.4">
      <c r="B171" s="1134">
        <v>8819955</v>
      </c>
      <c r="C171" s="1135"/>
      <c r="D171" s="1134">
        <v>352928</v>
      </c>
      <c r="E171" s="1136">
        <v>42024</v>
      </c>
      <c r="F171" s="1137">
        <v>42000</v>
      </c>
      <c r="G171" s="1134">
        <v>10</v>
      </c>
      <c r="H171" s="1137">
        <v>41500</v>
      </c>
      <c r="I171" s="1134">
        <v>15</v>
      </c>
      <c r="J171" s="1138">
        <v>4265</v>
      </c>
      <c r="K171" s="1139"/>
      <c r="L171" s="1140">
        <v>42072</v>
      </c>
      <c r="M171" s="269">
        <f t="shared" si="20"/>
        <v>1</v>
      </c>
      <c r="N171" s="1141">
        <v>225</v>
      </c>
      <c r="O171" s="1087">
        <f t="shared" si="21"/>
        <v>3938.8000000000006</v>
      </c>
      <c r="P171" s="269">
        <f t="shared" si="38"/>
        <v>1</v>
      </c>
      <c r="Q171" s="269" t="str">
        <f t="shared" si="22"/>
        <v/>
      </c>
      <c r="R171" s="1147"/>
      <c r="S171" s="1143" t="str">
        <f t="shared" si="23"/>
        <v>Downsize</v>
      </c>
      <c r="T171" s="1144">
        <f t="shared" si="24"/>
        <v>2254.8433734939758</v>
      </c>
      <c r="U171" s="1144">
        <f t="shared" si="25"/>
        <v>899.71084337349396</v>
      </c>
      <c r="V171" s="1146">
        <f t="shared" si="26"/>
        <v>14377.855859802847</v>
      </c>
      <c r="W171" s="1146">
        <f t="shared" si="27"/>
        <v>10631.10588235294</v>
      </c>
      <c r="X171" s="1146">
        <f t="shared" si="28"/>
        <v>3746.7499774499065</v>
      </c>
      <c r="Y171" s="1146">
        <f t="shared" si="29"/>
        <v>11372.805171907141</v>
      </c>
      <c r="Z171" s="1146">
        <f t="shared" si="30"/>
        <v>10631.10588235294</v>
      </c>
      <c r="AA171" s="1146">
        <f t="shared" si="31"/>
        <v>741.69928955420073</v>
      </c>
      <c r="AB171" s="1146">
        <f t="shared" si="32"/>
        <v>14206.690909090907</v>
      </c>
      <c r="AC171" s="1146">
        <f t="shared" si="33"/>
        <v>10631.10588235294</v>
      </c>
      <c r="AD171" s="1146">
        <f t="shared" si="34"/>
        <v>3575.5850267379665</v>
      </c>
      <c r="AE171" s="1146">
        <f t="shared" si="35"/>
        <v>11237.414634146342</v>
      </c>
      <c r="AF171" s="1146">
        <f t="shared" si="36"/>
        <v>10631.10588235294</v>
      </c>
      <c r="AG171" s="1146">
        <f t="shared" si="37"/>
        <v>606.30875179340183</v>
      </c>
    </row>
    <row r="172" spans="2:33" ht="14.4">
      <c r="B172" s="1134">
        <v>2924777</v>
      </c>
      <c r="C172" s="1135"/>
      <c r="D172" s="1134">
        <v>138325</v>
      </c>
      <c r="E172" s="1136">
        <v>42033</v>
      </c>
      <c r="F172" s="1137">
        <v>34000</v>
      </c>
      <c r="G172" s="1134">
        <v>12</v>
      </c>
      <c r="H172" s="1137">
        <v>34400</v>
      </c>
      <c r="I172" s="1134">
        <v>21.50</v>
      </c>
      <c r="J172" s="1138">
        <v>13032</v>
      </c>
      <c r="K172" s="1139"/>
      <c r="L172" s="1140">
        <v>42073</v>
      </c>
      <c r="M172" s="269">
        <f t="shared" si="20"/>
        <v>1</v>
      </c>
      <c r="N172" s="1141">
        <v>300</v>
      </c>
      <c r="O172" s="1087">
        <f t="shared" si="21"/>
        <v>3389.2000000000007</v>
      </c>
      <c r="P172" s="269">
        <f t="shared" si="38"/>
        <v>1</v>
      </c>
      <c r="Q172" s="269" t="str">
        <f t="shared" si="22"/>
        <v/>
      </c>
      <c r="R172" s="1147"/>
      <c r="S172" s="1143" t="str">
        <f t="shared" si="23"/>
        <v>Upsize</v>
      </c>
      <c r="T172" s="1144">
        <f t="shared" si="24"/>
        <v>2202.0930232558139</v>
      </c>
      <c r="U172" s="1144">
        <f t="shared" si="25"/>
        <v>878.66279069767438</v>
      </c>
      <c r="V172" s="1146">
        <f t="shared" si="26"/>
        <v>10119.073291050034</v>
      </c>
      <c r="W172" s="1146">
        <f t="shared" si="27"/>
        <v>7079.3488372093025</v>
      </c>
      <c r="X172" s="1146">
        <f t="shared" si="28"/>
        <v>3039.7244538407313</v>
      </c>
      <c r="Y172" s="1146">
        <f t="shared" si="29"/>
        <v>8991.1761607649296</v>
      </c>
      <c r="Z172" s="1146">
        <f t="shared" si="30"/>
        <v>7079.3488372093025</v>
      </c>
      <c r="AA172" s="1146">
        <f t="shared" si="31"/>
        <v>1911.8273235556271</v>
      </c>
      <c r="AB172" s="1146">
        <f t="shared" si="32"/>
        <v>10238.12121212121</v>
      </c>
      <c r="AC172" s="1146">
        <f t="shared" si="33"/>
        <v>7079.3488372093025</v>
      </c>
      <c r="AD172" s="1146">
        <f t="shared" si="34"/>
        <v>3158.7723749119077</v>
      </c>
      <c r="AE172" s="1146">
        <f t="shared" si="35"/>
        <v>9096.954703832751</v>
      </c>
      <c r="AF172" s="1146">
        <f t="shared" si="36"/>
        <v>7079.3488372093025</v>
      </c>
      <c r="AG172" s="1146">
        <f t="shared" si="37"/>
        <v>2017.6058666234485</v>
      </c>
    </row>
    <row r="173" spans="2:33" ht="14.4">
      <c r="B173" s="1134">
        <v>8810220</v>
      </c>
      <c r="C173" s="1135"/>
      <c r="D173" s="1134">
        <v>566780</v>
      </c>
      <c r="E173" s="1136">
        <v>42010</v>
      </c>
      <c r="F173" s="1137">
        <v>48000</v>
      </c>
      <c r="G173" s="1134">
        <v>10</v>
      </c>
      <c r="H173" s="1137">
        <v>43500</v>
      </c>
      <c r="I173" s="1134">
        <v>15</v>
      </c>
      <c r="J173" s="1138">
        <v>7038</v>
      </c>
      <c r="K173" s="1139"/>
      <c r="L173" s="1140">
        <v>42075</v>
      </c>
      <c r="M173" s="269">
        <f t="shared" si="20"/>
        <v>1</v>
      </c>
      <c r="N173" s="1141">
        <v>250</v>
      </c>
      <c r="O173" s="1087">
        <f t="shared" si="21"/>
        <v>5221.2000000000007</v>
      </c>
      <c r="P173" s="269">
        <f t="shared" si="38"/>
        <v>1</v>
      </c>
      <c r="Q173" s="269" t="str">
        <f t="shared" si="22"/>
        <v/>
      </c>
      <c r="R173" s="1147"/>
      <c r="S173" s="1143" t="str">
        <f t="shared" si="23"/>
        <v>Downsize</v>
      </c>
      <c r="T173" s="1144">
        <f t="shared" si="24"/>
        <v>2458.4827586206898</v>
      </c>
      <c r="U173" s="1144">
        <f t="shared" si="25"/>
        <v>980.9655172413793</v>
      </c>
      <c r="V173" s="1146">
        <f t="shared" si="26"/>
        <v>17915.82695924765</v>
      </c>
      <c r="W173" s="1146">
        <f t="shared" si="27"/>
        <v>12149.835294117647</v>
      </c>
      <c r="X173" s="1146">
        <f t="shared" si="28"/>
        <v>5765.9916651300027</v>
      </c>
      <c r="Y173" s="1146">
        <f t="shared" si="29"/>
        <v>14171.320917938243</v>
      </c>
      <c r="Z173" s="1146">
        <f t="shared" si="30"/>
        <v>12149.835294117647</v>
      </c>
      <c r="AA173" s="1146">
        <f t="shared" si="31"/>
        <v>2021.4856238205957</v>
      </c>
      <c r="AB173" s="1146">
        <f t="shared" si="32"/>
        <v>16236.218181818182</v>
      </c>
      <c r="AC173" s="1146">
        <f t="shared" si="33"/>
        <v>12149.835294117647</v>
      </c>
      <c r="AD173" s="1146">
        <f t="shared" si="34"/>
        <v>4086.3828877005344</v>
      </c>
      <c r="AE173" s="1146">
        <f t="shared" si="35"/>
        <v>12842.759581881533</v>
      </c>
      <c r="AF173" s="1146">
        <f t="shared" si="36"/>
        <v>12149.835294117647</v>
      </c>
      <c r="AG173" s="1146">
        <f t="shared" si="37"/>
        <v>692.92428776388624</v>
      </c>
    </row>
    <row r="174" spans="2:33" ht="14.4">
      <c r="B174" s="1134">
        <v>1537331</v>
      </c>
      <c r="C174" s="1135"/>
      <c r="D174" s="1134">
        <v>153733</v>
      </c>
      <c r="E174" s="1136">
        <v>41887</v>
      </c>
      <c r="F174" s="1137">
        <v>60000</v>
      </c>
      <c r="G174" s="1134">
        <v>12</v>
      </c>
      <c r="H174" s="1137">
        <v>60000</v>
      </c>
      <c r="I174" s="1134">
        <v>14</v>
      </c>
      <c r="J174" s="1138">
        <v>7800</v>
      </c>
      <c r="K174" s="1139"/>
      <c r="L174" s="1140">
        <v>42080</v>
      </c>
      <c r="M174" s="269">
        <f t="shared" si="20"/>
        <v>1</v>
      </c>
      <c r="N174" s="1141">
        <v>325</v>
      </c>
      <c r="O174" s="1087">
        <f t="shared" si="21"/>
        <v>1962.857142857144</v>
      </c>
      <c r="P174" s="269">
        <f t="shared" si="38"/>
        <v>1</v>
      </c>
      <c r="Q174" s="269" t="str">
        <f t="shared" si="22"/>
        <v/>
      </c>
      <c r="R174" s="1147"/>
      <c r="S174" s="1143" t="str">
        <f t="shared" si="23"/>
        <v>Same Size</v>
      </c>
      <c r="T174" s="1144">
        <f t="shared" si="24"/>
        <v>2228</v>
      </c>
      <c r="U174" s="1144">
        <f t="shared" si="25"/>
        <v>889</v>
      </c>
      <c r="V174" s="1146">
        <f t="shared" si="26"/>
        <v>18067.272727272728</v>
      </c>
      <c r="W174" s="1146">
        <f t="shared" si="27"/>
        <v>15823.865546218487</v>
      </c>
      <c r="X174" s="1146">
        <f t="shared" si="28"/>
        <v>2243.4071810542409</v>
      </c>
      <c r="Y174" s="1146">
        <f t="shared" si="29"/>
        <v>16053.449477351916</v>
      </c>
      <c r="Z174" s="1146">
        <f t="shared" si="30"/>
        <v>15823.865546218487</v>
      </c>
      <c r="AA174" s="1146">
        <f t="shared" si="31"/>
        <v>229.58393113342936</v>
      </c>
      <c r="AB174" s="1146">
        <f t="shared" si="32"/>
        <v>18067.272727272728</v>
      </c>
      <c r="AC174" s="1146">
        <f t="shared" si="33"/>
        <v>15823.865546218487</v>
      </c>
      <c r="AD174" s="1146">
        <f t="shared" si="34"/>
        <v>2243.4071810542409</v>
      </c>
      <c r="AE174" s="1146">
        <f t="shared" si="35"/>
        <v>16053.449477351916</v>
      </c>
      <c r="AF174" s="1146">
        <f t="shared" si="36"/>
        <v>15823.865546218487</v>
      </c>
      <c r="AG174" s="1146">
        <f t="shared" si="37"/>
        <v>229.58393113342936</v>
      </c>
    </row>
    <row r="175" spans="2:33" ht="14.4">
      <c r="B175" s="1134">
        <v>8807702</v>
      </c>
      <c r="C175" s="1135"/>
      <c r="D175" s="1134">
        <v>674262</v>
      </c>
      <c r="E175" s="1136">
        <v>42055</v>
      </c>
      <c r="F175" s="1137">
        <v>48000</v>
      </c>
      <c r="G175" s="1134">
        <v>12</v>
      </c>
      <c r="H175" s="1137">
        <v>57000</v>
      </c>
      <c r="I175" s="1134">
        <v>15</v>
      </c>
      <c r="J175" s="1138">
        <v>5550</v>
      </c>
      <c r="K175" s="1139"/>
      <c r="L175" s="1140">
        <v>42080</v>
      </c>
      <c r="M175" s="269">
        <f t="shared" si="20"/>
        <v>1</v>
      </c>
      <c r="N175" s="1141">
        <v>325</v>
      </c>
      <c r="O175" s="1087">
        <f t="shared" si="21"/>
        <v>549.60</v>
      </c>
      <c r="P175" s="269">
        <f t="shared" si="38"/>
        <v>1</v>
      </c>
      <c r="Q175" s="269" t="str">
        <f t="shared" si="22"/>
        <v/>
      </c>
      <c r="R175" s="1147"/>
      <c r="S175" s="1143" t="str">
        <f t="shared" si="23"/>
        <v>Upsize</v>
      </c>
      <c r="T175" s="1144">
        <f t="shared" si="24"/>
        <v>1876.2105263157894</v>
      </c>
      <c r="U175" s="1144">
        <f t="shared" si="25"/>
        <v>748.63157894736833</v>
      </c>
      <c r="V175" s="1146">
        <f t="shared" si="26"/>
        <v>12171.636363636364</v>
      </c>
      <c r="W175" s="1146">
        <f t="shared" si="27"/>
        <v>12149.835294117645</v>
      </c>
      <c r="X175" s="1146">
        <f t="shared" si="28"/>
        <v>21.801069518718577</v>
      </c>
      <c r="Y175" s="1146">
        <f t="shared" si="29"/>
        <v>10814.955437373923</v>
      </c>
      <c r="Z175" s="1146">
        <f t="shared" si="30"/>
        <v>12149.835294117645</v>
      </c>
      <c r="AA175" s="1146">
        <f t="shared" si="31"/>
        <v>-1334.8798567437225</v>
      </c>
      <c r="AB175" s="1146">
        <f t="shared" si="32"/>
        <v>14453.818181818182</v>
      </c>
      <c r="AC175" s="1146">
        <f t="shared" si="33"/>
        <v>12149.835294117645</v>
      </c>
      <c r="AD175" s="1146">
        <f t="shared" si="34"/>
        <v>2303.9828877005366</v>
      </c>
      <c r="AE175" s="1146">
        <f t="shared" si="35"/>
        <v>12842.759581881532</v>
      </c>
      <c r="AF175" s="1146">
        <f t="shared" si="36"/>
        <v>12149.835294117645</v>
      </c>
      <c r="AG175" s="1146">
        <f t="shared" si="37"/>
        <v>692.92428776388624</v>
      </c>
    </row>
    <row r="176" spans="2:33" ht="14.4">
      <c r="B176" s="1134">
        <v>8645699</v>
      </c>
      <c r="C176" s="1135"/>
      <c r="D176" s="1134">
        <v>546359</v>
      </c>
      <c r="E176" s="1136">
        <v>42051</v>
      </c>
      <c r="F176" s="1137">
        <v>36000</v>
      </c>
      <c r="G176" s="1134">
        <v>10</v>
      </c>
      <c r="H176" s="1137">
        <v>34800</v>
      </c>
      <c r="I176" s="1134">
        <v>15</v>
      </c>
      <c r="J176" s="1138">
        <v>5326</v>
      </c>
      <c r="K176" s="1139"/>
      <c r="L176" s="1140">
        <v>42080</v>
      </c>
      <c r="M176" s="269">
        <f t="shared" si="20"/>
        <v>1</v>
      </c>
      <c r="N176" s="1141">
        <v>175</v>
      </c>
      <c r="O176" s="1087">
        <f t="shared" si="21"/>
        <v>3517.4400000000005</v>
      </c>
      <c r="P176" s="269">
        <f t="shared" si="38"/>
        <v>1</v>
      </c>
      <c r="Q176" s="269" t="str">
        <f t="shared" si="22"/>
        <v/>
      </c>
      <c r="R176" s="1147"/>
      <c r="S176" s="1143" t="str">
        <f t="shared" si="23"/>
        <v>Downsize</v>
      </c>
      <c r="T176" s="1144">
        <f t="shared" si="24"/>
        <v>2304.8275862068967</v>
      </c>
      <c r="U176" s="1144">
        <f t="shared" si="25"/>
        <v>919.65517241379314</v>
      </c>
      <c r="V176" s="1146">
        <f t="shared" si="26"/>
        <v>12597.065830721003</v>
      </c>
      <c r="W176" s="1146">
        <f t="shared" si="27"/>
        <v>9112.376470588235</v>
      </c>
      <c r="X176" s="1146">
        <f t="shared" si="28"/>
        <v>3484.6893601327683</v>
      </c>
      <c r="Y176" s="1146">
        <f t="shared" si="29"/>
        <v>9964.2100204253293</v>
      </c>
      <c r="Z176" s="1146">
        <f t="shared" si="30"/>
        <v>9112.376470588235</v>
      </c>
      <c r="AA176" s="1146">
        <f t="shared" si="31"/>
        <v>851.83354983709432</v>
      </c>
      <c r="AB176" s="1146">
        <f t="shared" si="32"/>
        <v>12177.163636363635</v>
      </c>
      <c r="AC176" s="1146">
        <f t="shared" si="33"/>
        <v>9112.376470588235</v>
      </c>
      <c r="AD176" s="1146">
        <f t="shared" si="34"/>
        <v>3064.7871657754004</v>
      </c>
      <c r="AE176" s="1146">
        <f t="shared" si="35"/>
        <v>9632.0696864111505</v>
      </c>
      <c r="AF176" s="1146">
        <f t="shared" si="36"/>
        <v>9112.376470588235</v>
      </c>
      <c r="AG176" s="1146">
        <f t="shared" si="37"/>
        <v>519.69321582291559</v>
      </c>
    </row>
    <row r="177" spans="2:33" ht="14.4">
      <c r="B177" s="1134">
        <v>8907653</v>
      </c>
      <c r="C177" s="1135"/>
      <c r="D177" s="1134">
        <v>384736</v>
      </c>
      <c r="E177" s="1136">
        <v>41957</v>
      </c>
      <c r="F177" s="1137">
        <v>48000</v>
      </c>
      <c r="G177" s="1134">
        <v>10</v>
      </c>
      <c r="H177" s="1137">
        <v>45500</v>
      </c>
      <c r="I177" s="1134">
        <v>16</v>
      </c>
      <c r="J177" s="1138">
        <v>5885</v>
      </c>
      <c r="K177" s="1139"/>
      <c r="L177" s="1140">
        <v>42080</v>
      </c>
      <c r="M177" s="269">
        <f t="shared" si="20"/>
        <v>1</v>
      </c>
      <c r="N177" s="1141">
        <v>325</v>
      </c>
      <c r="O177" s="1087">
        <f t="shared" si="21"/>
        <v>5375.7750000000005</v>
      </c>
      <c r="P177" s="269">
        <f t="shared" si="38"/>
        <v>1</v>
      </c>
      <c r="Q177" s="269" t="str">
        <f t="shared" si="22"/>
        <v/>
      </c>
      <c r="R177" s="1147"/>
      <c r="S177" s="1143" t="str">
        <f t="shared" si="23"/>
        <v>Downsize</v>
      </c>
      <c r="T177" s="1144">
        <f t="shared" si="24"/>
        <v>2350.4175824175823</v>
      </c>
      <c r="U177" s="1144">
        <f t="shared" si="25"/>
        <v>937.84615384615392</v>
      </c>
      <c r="V177" s="1146">
        <f t="shared" si="26"/>
        <v>17128.318081918082</v>
      </c>
      <c r="W177" s="1146">
        <f t="shared" si="27"/>
        <v>11704.235294117649</v>
      </c>
      <c r="X177" s="1146">
        <f t="shared" si="28"/>
        <v>5424.0827878004329</v>
      </c>
      <c r="Y177" s="1146">
        <f t="shared" si="29"/>
        <v>13548.405712754144</v>
      </c>
      <c r="Z177" s="1146">
        <f t="shared" si="30"/>
        <v>11704.235294117649</v>
      </c>
      <c r="AA177" s="1146">
        <f t="shared" si="31"/>
        <v>1844.170418636495</v>
      </c>
      <c r="AB177" s="1146">
        <f t="shared" si="32"/>
        <v>16236.218181818182</v>
      </c>
      <c r="AC177" s="1146">
        <f t="shared" si="33"/>
        <v>11704.235294117649</v>
      </c>
      <c r="AD177" s="1146">
        <f t="shared" si="34"/>
        <v>4531.982887700533</v>
      </c>
      <c r="AE177" s="1146">
        <f t="shared" si="35"/>
        <v>12842.759581881532</v>
      </c>
      <c r="AF177" s="1146">
        <f t="shared" si="36"/>
        <v>11704.235294117649</v>
      </c>
      <c r="AG177" s="1146">
        <f t="shared" si="37"/>
        <v>1138.524287763883</v>
      </c>
    </row>
    <row r="178" spans="2:33" ht="14.4">
      <c r="B178" s="1134">
        <v>7146152</v>
      </c>
      <c r="C178" s="1135"/>
      <c r="D178" s="1134">
        <v>693802</v>
      </c>
      <c r="E178" s="1136">
        <v>41983</v>
      </c>
      <c r="F178" s="1137">
        <v>48000</v>
      </c>
      <c r="G178" s="1134">
        <v>13</v>
      </c>
      <c r="H178" s="1137">
        <v>57000</v>
      </c>
      <c r="I178" s="1134">
        <v>15</v>
      </c>
      <c r="J178" s="1138">
        <v>6200</v>
      </c>
      <c r="K178" s="1139"/>
      <c r="L178" s="1140">
        <v>42080</v>
      </c>
      <c r="M178" s="269">
        <f t="shared" si="20"/>
        <v>1</v>
      </c>
      <c r="N178" s="1141">
        <v>375</v>
      </c>
      <c r="O178" s="1087">
        <f t="shared" si="21"/>
        <v>-295.93846153846135</v>
      </c>
      <c r="P178" s="269">
        <f t="shared" si="38"/>
        <v>1</v>
      </c>
      <c r="Q178" s="269" t="str">
        <f t="shared" si="22"/>
        <v/>
      </c>
      <c r="R178" s="1147"/>
      <c r="S178" s="1143" t="str">
        <f t="shared" si="23"/>
        <v>Upsize</v>
      </c>
      <c r="T178" s="1144">
        <f t="shared" si="24"/>
        <v>1876.2105263157894</v>
      </c>
      <c r="U178" s="1144">
        <f t="shared" si="25"/>
        <v>748.63157894736833</v>
      </c>
      <c r="V178" s="1146">
        <f t="shared" si="26"/>
        <v>11594.340817077658</v>
      </c>
      <c r="W178" s="1146">
        <f t="shared" si="27"/>
        <v>12149.835294117645</v>
      </c>
      <c r="X178" s="1146">
        <f t="shared" si="28"/>
        <v>-555.49447703998703</v>
      </c>
      <c r="Y178" s="1146">
        <f t="shared" si="29"/>
        <v>10814.955437373923</v>
      </c>
      <c r="Z178" s="1146">
        <f t="shared" si="30"/>
        <v>12149.835294117645</v>
      </c>
      <c r="AA178" s="1146">
        <f t="shared" si="31"/>
        <v>-1334.8798567437225</v>
      </c>
      <c r="AB178" s="1146">
        <f t="shared" si="32"/>
        <v>13768.279720279719</v>
      </c>
      <c r="AC178" s="1146">
        <f t="shared" si="33"/>
        <v>12149.835294117645</v>
      </c>
      <c r="AD178" s="1146">
        <f t="shared" si="34"/>
        <v>1618.4444261620738</v>
      </c>
      <c r="AE178" s="1146">
        <f t="shared" si="35"/>
        <v>12842.759581881532</v>
      </c>
      <c r="AF178" s="1146">
        <f t="shared" si="36"/>
        <v>12149.835294117645</v>
      </c>
      <c r="AG178" s="1146">
        <f t="shared" si="37"/>
        <v>692.92428776388624</v>
      </c>
    </row>
    <row r="179" spans="2:33" ht="14.4">
      <c r="B179" s="1134">
        <v>4586913</v>
      </c>
      <c r="C179" s="1135"/>
      <c r="D179" s="1134">
        <v>27553</v>
      </c>
      <c r="E179" s="1136">
        <v>42048</v>
      </c>
      <c r="F179" s="1137">
        <v>48000</v>
      </c>
      <c r="G179" s="1134">
        <v>12</v>
      </c>
      <c r="H179" s="1137">
        <v>47000</v>
      </c>
      <c r="I179" s="1134">
        <v>19.25</v>
      </c>
      <c r="J179" s="1138">
        <v>10925</v>
      </c>
      <c r="K179" s="1139"/>
      <c r="L179" s="1140">
        <v>42080</v>
      </c>
      <c r="M179" s="269">
        <f t="shared" si="20"/>
        <v>1</v>
      </c>
      <c r="N179" s="1141">
        <v>400</v>
      </c>
      <c r="O179" s="1087">
        <f t="shared" si="21"/>
        <v>4282.5974025974028</v>
      </c>
      <c r="P179" s="269">
        <f t="shared" si="38"/>
        <v>1</v>
      </c>
      <c r="Q179" s="269" t="str">
        <f t="shared" si="22"/>
        <v/>
      </c>
      <c r="R179" s="1147"/>
      <c r="S179" s="1143" t="str">
        <f t="shared" si="23"/>
        <v>Downsize</v>
      </c>
      <c r="T179" s="1144">
        <f t="shared" si="24"/>
        <v>2275.4042553191489</v>
      </c>
      <c r="U179" s="1144">
        <f t="shared" si="25"/>
        <v>907.91489361702122</v>
      </c>
      <c r="V179" s="1146">
        <f t="shared" si="26"/>
        <v>14761.346228239843</v>
      </c>
      <c r="W179" s="1146">
        <f t="shared" si="27"/>
        <v>10575.767761650115</v>
      </c>
      <c r="X179" s="1146">
        <f t="shared" si="28"/>
        <v>4185.5784665897281</v>
      </c>
      <c r="Y179" s="1146">
        <f t="shared" si="29"/>
        <v>13116.009785751354</v>
      </c>
      <c r="Z179" s="1146">
        <f t="shared" si="30"/>
        <v>10575.767761650115</v>
      </c>
      <c r="AA179" s="1146">
        <f t="shared" si="31"/>
        <v>2540.2420241012387</v>
      </c>
      <c r="AB179" s="1146">
        <f t="shared" si="32"/>
        <v>14453.81818181818</v>
      </c>
      <c r="AC179" s="1146">
        <f t="shared" si="33"/>
        <v>10575.767761650115</v>
      </c>
      <c r="AD179" s="1146">
        <f t="shared" si="34"/>
        <v>3878.0504201680651</v>
      </c>
      <c r="AE179" s="1146">
        <f t="shared" si="35"/>
        <v>12842.759581881533</v>
      </c>
      <c r="AF179" s="1146">
        <f t="shared" si="36"/>
        <v>10575.767761650115</v>
      </c>
      <c r="AG179" s="1146">
        <f t="shared" si="37"/>
        <v>2266.9918202314184</v>
      </c>
    </row>
    <row r="180" spans="2:33" ht="14.4">
      <c r="B180" s="1134">
        <v>7351414</v>
      </c>
      <c r="C180" s="1135"/>
      <c r="D180" s="1134">
        <v>732444</v>
      </c>
      <c r="E180" s="1136">
        <v>42055</v>
      </c>
      <c r="F180" s="1137">
        <v>36000</v>
      </c>
      <c r="G180" s="1134">
        <v>12</v>
      </c>
      <c r="H180" s="1137">
        <v>42000</v>
      </c>
      <c r="I180" s="1134">
        <v>15.50</v>
      </c>
      <c r="J180" s="1138">
        <v>5585</v>
      </c>
      <c r="K180" s="1139"/>
      <c r="L180" s="1140">
        <v>42080</v>
      </c>
      <c r="M180" s="269">
        <f t="shared" si="20"/>
        <v>1</v>
      </c>
      <c r="N180" s="1141">
        <v>225</v>
      </c>
      <c r="O180" s="1087">
        <f t="shared" si="21"/>
        <v>797.80645161290374</v>
      </c>
      <c r="P180" s="269">
        <f t="shared" si="38"/>
        <v>1</v>
      </c>
      <c r="Q180" s="269" t="str">
        <f t="shared" si="22"/>
        <v/>
      </c>
      <c r="R180" s="1147"/>
      <c r="S180" s="1143" t="str">
        <f t="shared" si="23"/>
        <v>Upsize</v>
      </c>
      <c r="T180" s="1144">
        <f t="shared" si="24"/>
        <v>1909.7142857142856</v>
      </c>
      <c r="U180" s="1144">
        <f t="shared" si="25"/>
        <v>762</v>
      </c>
      <c r="V180" s="1146">
        <f t="shared" si="26"/>
        <v>9291.7402597402597</v>
      </c>
      <c r="W180" s="1146">
        <f t="shared" si="27"/>
        <v>8939.8861480075902</v>
      </c>
      <c r="X180" s="1146">
        <f t="shared" si="28"/>
        <v>351.85411173266948</v>
      </c>
      <c r="Y180" s="1146">
        <f t="shared" si="29"/>
        <v>8256.0597312095579</v>
      </c>
      <c r="Z180" s="1146">
        <f t="shared" si="30"/>
        <v>8939.8861480075902</v>
      </c>
      <c r="AA180" s="1146">
        <f t="shared" si="31"/>
        <v>-683.82641679803237</v>
      </c>
      <c r="AB180" s="1146">
        <f t="shared" si="32"/>
        <v>10840.363636363636</v>
      </c>
      <c r="AC180" s="1146">
        <f t="shared" si="33"/>
        <v>8939.8861480075902</v>
      </c>
      <c r="AD180" s="1146">
        <f t="shared" si="34"/>
        <v>1900.4774883560458</v>
      </c>
      <c r="AE180" s="1146">
        <f t="shared" si="35"/>
        <v>9632.0696864111505</v>
      </c>
      <c r="AF180" s="1146">
        <f t="shared" si="36"/>
        <v>8939.8861480075902</v>
      </c>
      <c r="AG180" s="1146">
        <f t="shared" si="37"/>
        <v>692.18353840356031</v>
      </c>
    </row>
    <row r="181" spans="2:33" ht="14.4">
      <c r="B181" s="1134">
        <v>2543460</v>
      </c>
      <c r="C181" s="1135"/>
      <c r="D181" s="1134">
        <v>254346</v>
      </c>
      <c r="E181" s="1136">
        <v>42054</v>
      </c>
      <c r="F181" s="1137">
        <v>48000</v>
      </c>
      <c r="G181" s="1134">
        <v>10</v>
      </c>
      <c r="H181" s="1137">
        <v>48000</v>
      </c>
      <c r="I181" s="1134">
        <v>15.50</v>
      </c>
      <c r="J181" s="1138">
        <v>5200</v>
      </c>
      <c r="K181" s="1139"/>
      <c r="L181" s="1140">
        <v>42080</v>
      </c>
      <c r="M181" s="269">
        <f t="shared" si="20"/>
        <v>1</v>
      </c>
      <c r="N181" s="1141">
        <v>250</v>
      </c>
      <c r="O181" s="1087">
        <f t="shared" si="21"/>
        <v>4680.4645161290318</v>
      </c>
      <c r="P181" s="269">
        <f t="shared" si="38"/>
        <v>1</v>
      </c>
      <c r="Q181" s="269" t="str">
        <f t="shared" si="22"/>
        <v/>
      </c>
      <c r="R181" s="1147"/>
      <c r="S181" s="1143" t="str">
        <f t="shared" si="23"/>
        <v>Same Size</v>
      </c>
      <c r="T181" s="1144">
        <f t="shared" si="24"/>
        <v>2228</v>
      </c>
      <c r="U181" s="1144">
        <f t="shared" si="25"/>
        <v>889</v>
      </c>
      <c r="V181" s="1146">
        <f t="shared" si="26"/>
        <v>16236.218181818182</v>
      </c>
      <c r="W181" s="1146">
        <f t="shared" si="27"/>
        <v>11919.848197343454</v>
      </c>
      <c r="X181" s="1146">
        <f t="shared" si="28"/>
        <v>4316.369984474728</v>
      </c>
      <c r="Y181" s="1146">
        <f t="shared" si="29"/>
        <v>12842.759581881532</v>
      </c>
      <c r="Z181" s="1146">
        <f t="shared" si="30"/>
        <v>11919.848197343454</v>
      </c>
      <c r="AA181" s="1146">
        <f t="shared" si="31"/>
        <v>922.91138453807798</v>
      </c>
      <c r="AB181" s="1146">
        <f t="shared" si="32"/>
        <v>16236.218181818182</v>
      </c>
      <c r="AC181" s="1146">
        <f t="shared" si="33"/>
        <v>11919.848197343454</v>
      </c>
      <c r="AD181" s="1146">
        <f t="shared" si="34"/>
        <v>4316.369984474728</v>
      </c>
      <c r="AE181" s="1146">
        <f t="shared" si="35"/>
        <v>12842.759581881532</v>
      </c>
      <c r="AF181" s="1146">
        <f t="shared" si="36"/>
        <v>11919.848197343454</v>
      </c>
      <c r="AG181" s="1146">
        <f t="shared" si="37"/>
        <v>922.91138453807798</v>
      </c>
    </row>
    <row r="182" spans="2:33" ht="14.4">
      <c r="B182" s="1134">
        <v>7549694</v>
      </c>
      <c r="C182" s="1135"/>
      <c r="D182" s="1134">
        <v>450191</v>
      </c>
      <c r="E182" s="1136">
        <v>42053</v>
      </c>
      <c r="F182" s="1137">
        <v>60000</v>
      </c>
      <c r="G182" s="1134">
        <v>10</v>
      </c>
      <c r="H182" s="1137">
        <v>57500</v>
      </c>
      <c r="I182" s="1134">
        <v>15</v>
      </c>
      <c r="J182" s="1138">
        <v>6500</v>
      </c>
      <c r="K182" s="1139"/>
      <c r="L182" s="1140">
        <v>42080</v>
      </c>
      <c r="M182" s="269">
        <f t="shared" si="20"/>
        <v>1</v>
      </c>
      <c r="N182" s="1141">
        <v>325</v>
      </c>
      <c r="O182" s="1087">
        <f t="shared" si="21"/>
        <v>5954</v>
      </c>
      <c r="P182" s="269">
        <f t="shared" si="38"/>
        <v>1</v>
      </c>
      <c r="Q182" s="269" t="str">
        <f t="shared" si="22"/>
        <v/>
      </c>
      <c r="R182" s="1147"/>
      <c r="S182" s="1143" t="str">
        <f t="shared" si="23"/>
        <v>Downsize</v>
      </c>
      <c r="T182" s="1144">
        <f t="shared" si="24"/>
        <v>2324.869565217391</v>
      </c>
      <c r="U182" s="1144">
        <f t="shared" si="25"/>
        <v>927.6521739130435</v>
      </c>
      <c r="V182" s="1146">
        <f t="shared" si="26"/>
        <v>21177.67588932806</v>
      </c>
      <c r="W182" s="1146">
        <f t="shared" si="27"/>
        <v>15187.294117647058</v>
      </c>
      <c r="X182" s="1146">
        <f t="shared" si="28"/>
        <v>5990.3817716810026</v>
      </c>
      <c r="Y182" s="1146">
        <f t="shared" si="29"/>
        <v>16751.425541584609</v>
      </c>
      <c r="Z182" s="1146">
        <f t="shared" si="30"/>
        <v>15187.294117647058</v>
      </c>
      <c r="AA182" s="1146">
        <f t="shared" si="31"/>
        <v>1564.1314239375515</v>
      </c>
      <c r="AB182" s="1146">
        <f t="shared" si="32"/>
        <v>20295.272727272724</v>
      </c>
      <c r="AC182" s="1146">
        <f t="shared" si="33"/>
        <v>15187.294117647058</v>
      </c>
      <c r="AD182" s="1146">
        <f t="shared" si="34"/>
        <v>5107.9786096256666</v>
      </c>
      <c r="AE182" s="1146">
        <f t="shared" si="35"/>
        <v>16053.449477351916</v>
      </c>
      <c r="AF182" s="1146">
        <f t="shared" si="36"/>
        <v>15187.294117647058</v>
      </c>
      <c r="AG182" s="1146">
        <f t="shared" si="37"/>
        <v>866.15535970485871</v>
      </c>
    </row>
    <row r="183" spans="2:33" ht="14.4">
      <c r="B183" s="1134">
        <v>7902638</v>
      </c>
      <c r="C183" s="1135"/>
      <c r="D183" s="1134">
        <v>190340</v>
      </c>
      <c r="E183" s="1136">
        <v>42003</v>
      </c>
      <c r="F183" s="1137">
        <v>48000</v>
      </c>
      <c r="G183" s="1134">
        <v>10</v>
      </c>
      <c r="H183" s="1137">
        <v>47500</v>
      </c>
      <c r="I183" s="1134">
        <v>15</v>
      </c>
      <c r="J183" s="1138">
        <v>4500</v>
      </c>
      <c r="K183" s="1139"/>
      <c r="L183" s="1140">
        <v>42081</v>
      </c>
      <c r="M183" s="269">
        <f t="shared" si="20"/>
        <v>1</v>
      </c>
      <c r="N183" s="1141">
        <v>300</v>
      </c>
      <c r="O183" s="1087">
        <f t="shared" si="21"/>
        <v>4488.4000000000005</v>
      </c>
      <c r="P183" s="269">
        <f t="shared" si="38"/>
        <v>1</v>
      </c>
      <c r="Q183" s="269" t="str">
        <f t="shared" si="22"/>
        <v/>
      </c>
      <c r="R183" s="1147"/>
      <c r="S183" s="1143" t="str">
        <f t="shared" si="23"/>
        <v>Downsize</v>
      </c>
      <c r="T183" s="1144">
        <f t="shared" si="24"/>
        <v>2251.4526315789476</v>
      </c>
      <c r="U183" s="1144">
        <f t="shared" si="25"/>
        <v>898.35789473684213</v>
      </c>
      <c r="V183" s="1146">
        <f t="shared" si="26"/>
        <v>16407.125741626798</v>
      </c>
      <c r="W183" s="1146">
        <f t="shared" si="27"/>
        <v>12149.835294117649</v>
      </c>
      <c r="X183" s="1146">
        <f t="shared" si="28"/>
        <v>4257.2904475091491</v>
      </c>
      <c r="Y183" s="1146">
        <f t="shared" si="29"/>
        <v>12977.946524848709</v>
      </c>
      <c r="Z183" s="1146">
        <f t="shared" si="30"/>
        <v>12149.835294117649</v>
      </c>
      <c r="AA183" s="1146">
        <f t="shared" si="31"/>
        <v>828.11123073105955</v>
      </c>
      <c r="AB183" s="1146">
        <f t="shared" si="32"/>
        <v>16236.218181818183</v>
      </c>
      <c r="AC183" s="1146">
        <f t="shared" si="33"/>
        <v>12149.835294117649</v>
      </c>
      <c r="AD183" s="1146">
        <f t="shared" si="34"/>
        <v>4086.3828877005344</v>
      </c>
      <c r="AE183" s="1146">
        <f t="shared" si="35"/>
        <v>12842.759581881535</v>
      </c>
      <c r="AF183" s="1146">
        <f t="shared" si="36"/>
        <v>12149.835294117649</v>
      </c>
      <c r="AG183" s="1146">
        <f t="shared" si="37"/>
        <v>692.92428776388624</v>
      </c>
    </row>
    <row r="184" spans="2:33" ht="14.4">
      <c r="B184" s="1134">
        <v>8888215</v>
      </c>
      <c r="C184" s="1135"/>
      <c r="D184" s="1134">
        <v>90382</v>
      </c>
      <c r="E184" s="1136">
        <v>42011</v>
      </c>
      <c r="F184" s="1137">
        <v>36000</v>
      </c>
      <c r="G184" s="1134">
        <v>10</v>
      </c>
      <c r="H184" s="1137">
        <v>35000</v>
      </c>
      <c r="I184" s="1134">
        <v>16</v>
      </c>
      <c r="J184" s="1138">
        <v>8437</v>
      </c>
      <c r="K184" s="1139"/>
      <c r="L184" s="1140">
        <v>42081</v>
      </c>
      <c r="M184" s="269">
        <f t="shared" si="20"/>
        <v>1</v>
      </c>
      <c r="N184" s="1141">
        <v>225</v>
      </c>
      <c r="O184" s="1087">
        <f t="shared" si="21"/>
        <v>3881.55</v>
      </c>
      <c r="P184" s="269">
        <f t="shared" si="38"/>
        <v>1</v>
      </c>
      <c r="Q184" s="269" t="str">
        <f t="shared" si="22"/>
        <v/>
      </c>
      <c r="R184" s="1147"/>
      <c r="S184" s="1143" t="str">
        <f t="shared" si="23"/>
        <v>Downsize</v>
      </c>
      <c r="T184" s="1144">
        <f t="shared" si="24"/>
        <v>2291.6571428571428</v>
      </c>
      <c r="U184" s="1144">
        <f t="shared" si="25"/>
        <v>914.39999999999986</v>
      </c>
      <c r="V184" s="1146">
        <f t="shared" si="26"/>
        <v>12525.082597402598</v>
      </c>
      <c r="W184" s="1146">
        <f t="shared" si="27"/>
        <v>8778.1764705882342</v>
      </c>
      <c r="X184" s="1146">
        <f t="shared" si="28"/>
        <v>3746.9061268143632</v>
      </c>
      <c r="Y184" s="1146">
        <f t="shared" si="29"/>
        <v>9907.2716774514683</v>
      </c>
      <c r="Z184" s="1146">
        <f t="shared" si="30"/>
        <v>8778.1764705882342</v>
      </c>
      <c r="AA184" s="1146">
        <f t="shared" si="31"/>
        <v>1129.0952068632341</v>
      </c>
      <c r="AB184" s="1146">
        <f t="shared" si="32"/>
        <v>12177.163636363635</v>
      </c>
      <c r="AC184" s="1146">
        <f t="shared" si="33"/>
        <v>8778.1764705882342</v>
      </c>
      <c r="AD184" s="1146">
        <f t="shared" si="34"/>
        <v>3398.9871657754011</v>
      </c>
      <c r="AE184" s="1146">
        <f t="shared" si="35"/>
        <v>9632.0696864111487</v>
      </c>
      <c r="AF184" s="1146">
        <f t="shared" si="36"/>
        <v>8778.1764705882342</v>
      </c>
      <c r="AG184" s="1146">
        <f t="shared" si="37"/>
        <v>853.8932158229145</v>
      </c>
    </row>
    <row r="185" spans="2:33" ht="14.4">
      <c r="B185" s="1134">
        <v>6196653</v>
      </c>
      <c r="C185" s="1135"/>
      <c r="D185" s="1134">
        <v>259686</v>
      </c>
      <c r="E185" s="1136">
        <v>42013</v>
      </c>
      <c r="F185" s="1137">
        <v>30000</v>
      </c>
      <c r="G185" s="1134">
        <v>10</v>
      </c>
      <c r="H185" s="1137">
        <v>31000</v>
      </c>
      <c r="I185" s="1134">
        <v>15</v>
      </c>
      <c r="J185" s="1138">
        <v>4900</v>
      </c>
      <c r="K185" s="1139"/>
      <c r="L185" s="1140">
        <v>42083</v>
      </c>
      <c r="M185" s="269">
        <f t="shared" si="20"/>
        <v>1</v>
      </c>
      <c r="N185" s="1141">
        <v>150</v>
      </c>
      <c r="O185" s="1087">
        <f t="shared" si="21"/>
        <v>2564.8000000000006</v>
      </c>
      <c r="P185" s="269">
        <f t="shared" si="38"/>
        <v>1</v>
      </c>
      <c r="Q185" s="269" t="str">
        <f t="shared" si="22"/>
        <v/>
      </c>
      <c r="R185" s="1147"/>
      <c r="S185" s="1143" t="str">
        <f t="shared" si="23"/>
        <v>Upsize</v>
      </c>
      <c r="T185" s="1144">
        <f t="shared" si="24"/>
        <v>2156.1290322580644</v>
      </c>
      <c r="U185" s="1144">
        <f t="shared" si="25"/>
        <v>860.32258064516134</v>
      </c>
      <c r="V185" s="1146">
        <f t="shared" si="26"/>
        <v>9820.2932551319645</v>
      </c>
      <c r="W185" s="1146">
        <f t="shared" si="27"/>
        <v>7593.6470588235288</v>
      </c>
      <c r="X185" s="1146">
        <f t="shared" si="28"/>
        <v>2226.6461963084357</v>
      </c>
      <c r="Y185" s="1146">
        <f t="shared" si="29"/>
        <v>7767.7981342025405</v>
      </c>
      <c r="Z185" s="1146">
        <f t="shared" si="30"/>
        <v>7593.6470588235288</v>
      </c>
      <c r="AA185" s="1146">
        <f t="shared" si="31"/>
        <v>174.15107537901167</v>
      </c>
      <c r="AB185" s="1146">
        <f t="shared" si="32"/>
        <v>10147.636363636362</v>
      </c>
      <c r="AC185" s="1146">
        <f t="shared" si="33"/>
        <v>7593.6470588235288</v>
      </c>
      <c r="AD185" s="1146">
        <f t="shared" si="34"/>
        <v>2553.9893048128333</v>
      </c>
      <c r="AE185" s="1146">
        <f t="shared" si="35"/>
        <v>8026.7247386759591</v>
      </c>
      <c r="AF185" s="1146">
        <f t="shared" si="36"/>
        <v>7593.6470588235288</v>
      </c>
      <c r="AG185" s="1146">
        <f t="shared" si="37"/>
        <v>433.07767985243026</v>
      </c>
    </row>
    <row r="186" spans="2:33" ht="14.4">
      <c r="B186" s="1134">
        <v>1625110</v>
      </c>
      <c r="C186" s="1135"/>
      <c r="D186" s="1134">
        <v>162511</v>
      </c>
      <c r="E186" s="1136">
        <v>42061</v>
      </c>
      <c r="F186" s="1137">
        <v>48000</v>
      </c>
      <c r="G186" s="1134">
        <v>8</v>
      </c>
      <c r="H186" s="1137">
        <v>46500</v>
      </c>
      <c r="I186" s="1134">
        <v>15</v>
      </c>
      <c r="J186" s="1138">
        <v>3950</v>
      </c>
      <c r="K186" s="1139"/>
      <c r="L186" s="1140">
        <v>42088</v>
      </c>
      <c r="M186" s="269">
        <f t="shared" si="20"/>
        <v>1</v>
      </c>
      <c r="N186" s="1141">
        <v>250</v>
      </c>
      <c r="O186" s="1087">
        <f t="shared" si="21"/>
        <v>7969.2000000000007</v>
      </c>
      <c r="P186" s="269">
        <f t="shared" si="38"/>
        <v>1</v>
      </c>
      <c r="Q186" s="269" t="str">
        <f t="shared" si="22"/>
        <v/>
      </c>
      <c r="R186" s="1147"/>
      <c r="S186" s="1143" t="str">
        <f t="shared" si="23"/>
        <v>Downsize</v>
      </c>
      <c r="T186" s="1144">
        <f t="shared" si="24"/>
        <v>2299.8709677419356</v>
      </c>
      <c r="U186" s="1144">
        <f t="shared" si="25"/>
        <v>917.67741935483866</v>
      </c>
      <c r="V186" s="1146">
        <f t="shared" si="26"/>
        <v>19519.812316715543</v>
      </c>
      <c r="W186" s="1146">
        <f t="shared" si="27"/>
        <v>12149.835294117649</v>
      </c>
      <c r="X186" s="1146">
        <f t="shared" si="28"/>
        <v>7369.9770225978937</v>
      </c>
      <c r="Y186" s="1146">
        <f t="shared" si="29"/>
        <v>13257.042149039004</v>
      </c>
      <c r="Z186" s="1146">
        <f t="shared" si="30"/>
        <v>12149.835294117649</v>
      </c>
      <c r="AA186" s="1146">
        <f t="shared" si="31"/>
        <v>1107.2068549213545</v>
      </c>
      <c r="AB186" s="1146">
        <f t="shared" si="32"/>
        <v>18909.818181818184</v>
      </c>
      <c r="AC186" s="1146">
        <f t="shared" si="33"/>
        <v>12149.835294117649</v>
      </c>
      <c r="AD186" s="1146">
        <f t="shared" si="34"/>
        <v>6759.9828877005348</v>
      </c>
      <c r="AE186" s="1146">
        <f t="shared" si="35"/>
        <v>12842.759581881533</v>
      </c>
      <c r="AF186" s="1146">
        <f t="shared" si="36"/>
        <v>12149.835294117649</v>
      </c>
      <c r="AG186" s="1146">
        <f t="shared" si="37"/>
        <v>692.92428776388442</v>
      </c>
    </row>
    <row r="187" spans="2:33" ht="14.4">
      <c r="B187" s="1134">
        <v>6813192</v>
      </c>
      <c r="C187" s="1135"/>
      <c r="D187" s="1134">
        <v>152017</v>
      </c>
      <c r="E187" s="1136">
        <v>41969</v>
      </c>
      <c r="F187" s="1137">
        <v>41000</v>
      </c>
      <c r="G187" s="1134">
        <v>10</v>
      </c>
      <c r="H187" s="1137">
        <v>41500</v>
      </c>
      <c r="I187" s="1134">
        <v>14.50</v>
      </c>
      <c r="J187" s="1138">
        <v>5704</v>
      </c>
      <c r="K187" s="1139"/>
      <c r="L187" s="1140">
        <v>42093</v>
      </c>
      <c r="M187" s="269">
        <f t="shared" si="20"/>
        <v>1</v>
      </c>
      <c r="N187" s="1141">
        <v>225</v>
      </c>
      <c r="O187" s="1087">
        <f t="shared" si="21"/>
        <v>3401.8344827586211</v>
      </c>
      <c r="P187" s="269">
        <f t="shared" si="38"/>
        <v>1</v>
      </c>
      <c r="Q187" s="269" t="str">
        <f t="shared" si="22"/>
        <v/>
      </c>
      <c r="R187" s="1147"/>
      <c r="S187" s="1143" t="str">
        <f t="shared" si="23"/>
        <v>Upsize</v>
      </c>
      <c r="T187" s="1144">
        <f t="shared" si="24"/>
        <v>2201.1566265060242</v>
      </c>
      <c r="U187" s="1144">
        <f t="shared" si="25"/>
        <v>878.28915662650604</v>
      </c>
      <c r="V187" s="1146">
        <f t="shared" si="26"/>
        <v>13701.346768893756</v>
      </c>
      <c r="W187" s="1146">
        <f t="shared" si="27"/>
        <v>10587.979716024342</v>
      </c>
      <c r="X187" s="1146">
        <f t="shared" si="28"/>
        <v>3113.3670528694147</v>
      </c>
      <c r="Y187" s="1146">
        <f t="shared" si="29"/>
        <v>10837.690189328745</v>
      </c>
      <c r="Z187" s="1146">
        <f t="shared" si="30"/>
        <v>10587.979716024342</v>
      </c>
      <c r="AA187" s="1146">
        <f t="shared" si="31"/>
        <v>249.71047330440342</v>
      </c>
      <c r="AB187" s="1146">
        <f t="shared" si="32"/>
        <v>13868.436363636363</v>
      </c>
      <c r="AC187" s="1146">
        <f t="shared" si="33"/>
        <v>10587.979716024342</v>
      </c>
      <c r="AD187" s="1146">
        <f t="shared" si="34"/>
        <v>3280.4566476120217</v>
      </c>
      <c r="AE187" s="1146">
        <f t="shared" si="35"/>
        <v>10969.857142857143</v>
      </c>
      <c r="AF187" s="1146">
        <f t="shared" si="36"/>
        <v>10587.979716024342</v>
      </c>
      <c r="AG187" s="1146">
        <f t="shared" si="37"/>
        <v>381.87742683280158</v>
      </c>
    </row>
    <row r="188" spans="2:33" ht="14.4">
      <c r="B188" s="1134">
        <v>1487669</v>
      </c>
      <c r="C188" s="1135"/>
      <c r="D188" s="1134">
        <v>148766</v>
      </c>
      <c r="E188" s="1136">
        <v>42072</v>
      </c>
      <c r="F188" s="1137">
        <v>48000</v>
      </c>
      <c r="G188" s="1134">
        <v>10</v>
      </c>
      <c r="H188" s="1137">
        <v>48000</v>
      </c>
      <c r="I188" s="1134">
        <v>15</v>
      </c>
      <c r="J188" s="1138">
        <v>5386</v>
      </c>
      <c r="K188" s="1139"/>
      <c r="L188" s="1140">
        <v>42093</v>
      </c>
      <c r="M188" s="269">
        <f t="shared" si="39" ref="M188:M251">IF(MAX(K188,L188)&lt;40000,"",ROUNDUP(MONTH(MAX(K188,L188))/3,0))</f>
        <v>1</v>
      </c>
      <c r="N188" s="1141">
        <v>250</v>
      </c>
      <c r="O188" s="1087">
        <f t="shared" si="40" ref="O188:O251">IF(F188&lt;1,"",2.748*(F188/G188-H188/I188))</f>
        <v>4396.80</v>
      </c>
      <c r="P188" s="269">
        <f t="shared" si="38"/>
        <v>1</v>
      </c>
      <c r="Q188" s="269" t="str">
        <f t="shared" si="41" ref="Q188:Q251">IF(K188&gt;0,1,"")</f>
        <v/>
      </c>
      <c r="R188" s="1147"/>
      <c r="S188" s="1143" t="str">
        <f t="shared" si="23"/>
        <v>Same Size</v>
      </c>
      <c r="T188" s="1144">
        <f t="shared" si="24"/>
        <v>2228</v>
      </c>
      <c r="U188" s="1144">
        <f t="shared" si="25"/>
        <v>889</v>
      </c>
      <c r="V188" s="1146">
        <f t="shared" si="26"/>
        <v>16236.218181818182</v>
      </c>
      <c r="W188" s="1146">
        <f t="shared" si="27"/>
        <v>12149.835294117647</v>
      </c>
      <c r="X188" s="1146">
        <f t="shared" si="28"/>
        <v>4086.3828877005344</v>
      </c>
      <c r="Y188" s="1146">
        <f t="shared" si="29"/>
        <v>12842.759581881532</v>
      </c>
      <c r="Z188" s="1146">
        <f t="shared" si="30"/>
        <v>12149.835294117647</v>
      </c>
      <c r="AA188" s="1146">
        <f t="shared" si="31"/>
        <v>692.92428776388442</v>
      </c>
      <c r="AB188" s="1146">
        <f t="shared" si="32"/>
        <v>16236.218181818182</v>
      </c>
      <c r="AC188" s="1146">
        <f t="shared" si="33"/>
        <v>12149.835294117647</v>
      </c>
      <c r="AD188" s="1146">
        <f t="shared" si="34"/>
        <v>4086.3828877005344</v>
      </c>
      <c r="AE188" s="1146">
        <f t="shared" si="35"/>
        <v>12842.759581881532</v>
      </c>
      <c r="AF188" s="1146">
        <f t="shared" si="36"/>
        <v>12149.835294117647</v>
      </c>
      <c r="AG188" s="1146">
        <f t="shared" si="37"/>
        <v>692.92428776388442</v>
      </c>
    </row>
    <row r="189" spans="2:33" ht="14.4">
      <c r="B189" s="1134">
        <v>3096641</v>
      </c>
      <c r="C189" s="1135"/>
      <c r="D189" s="1134">
        <v>155313</v>
      </c>
      <c r="E189" s="1136">
        <v>42027</v>
      </c>
      <c r="F189" s="1137">
        <v>48000</v>
      </c>
      <c r="G189" s="1134">
        <v>10</v>
      </c>
      <c r="H189" s="1137">
        <v>46500</v>
      </c>
      <c r="I189" s="1134">
        <v>15</v>
      </c>
      <c r="J189" s="1138">
        <v>6700</v>
      </c>
      <c r="K189" s="1139"/>
      <c r="L189" s="1140">
        <v>42093</v>
      </c>
      <c r="M189" s="269">
        <f t="shared" si="39"/>
        <v>1</v>
      </c>
      <c r="N189" s="1141">
        <v>250</v>
      </c>
      <c r="O189" s="1087">
        <f t="shared" si="40"/>
        <v>4671.6000000000004</v>
      </c>
      <c r="P189" s="269">
        <f t="shared" si="38"/>
        <v>1</v>
      </c>
      <c r="Q189" s="269" t="str">
        <f t="shared" si="41"/>
        <v/>
      </c>
      <c r="R189" s="1147"/>
      <c r="S189" s="1143" t="str">
        <f t="shared" si="42" ref="S189:S252">IF(F189=H189,"Same Size",IF(F189&lt;H189,"Upsize","Downsize"))</f>
        <v>Downsize</v>
      </c>
      <c r="T189" s="1144">
        <f t="shared" si="43" ref="T189:T252">($F189/$H189)*$K$35</f>
        <v>2299.8709677419356</v>
      </c>
      <c r="U189" s="1144">
        <f t="shared" si="44" ref="U189:U252">($F189/$H189)*$K$36</f>
        <v>917.67741935483866</v>
      </c>
      <c r="V189" s="1146">
        <f t="shared" si="45" ref="V189:V252">$P189*$F189/1000*($T189/$G189+$U189/$K$33)</f>
        <v>16759.96715542522</v>
      </c>
      <c r="W189" s="1146">
        <f t="shared" si="46" ref="W189:W252">$P189*$H189/1000*($T189/$I189+$U189/$K$32)</f>
        <v>12149.835294117649</v>
      </c>
      <c r="X189" s="1146">
        <f t="shared" si="47" ref="X189:X252">V189-W189</f>
        <v>4610.1318613075709</v>
      </c>
      <c r="Y189" s="1146">
        <f t="shared" si="48" ref="Y189:Y252">$P189*$F189/1000*($T189/14+$U189/$K$34)</f>
        <v>13257.042149039004</v>
      </c>
      <c r="Z189" s="1146">
        <f t="shared" si="49" ref="Z189:Z252">$P189*$H189/1000*($T189/$I189+$U189/$K$32)</f>
        <v>12149.835294117649</v>
      </c>
      <c r="AA189" s="1146">
        <f t="shared" si="50" ref="AA189:AA252">Y189-Z189</f>
        <v>1107.2068549213545</v>
      </c>
      <c r="AB189" s="1146">
        <f t="shared" si="51" ref="AB189:AB252">$P189*$H189/1000*($T189/$G189+$U189/$K$33)</f>
        <v>16236.218181818183</v>
      </c>
      <c r="AC189" s="1146">
        <f t="shared" si="52" ref="AC189:AC252">$P189*$H189/1000*($T189/$I189+$U189/$K$32)</f>
        <v>12149.835294117649</v>
      </c>
      <c r="AD189" s="1146">
        <f t="shared" si="53" ref="AD189:AD252">AB189-AC189</f>
        <v>4086.3828877005344</v>
      </c>
      <c r="AE189" s="1146">
        <f t="shared" si="54" ref="AE189:AE252">$P189*$H189/1000*($T189/14+$U189/$K$34)</f>
        <v>12842.759581881533</v>
      </c>
      <c r="AF189" s="1146">
        <f t="shared" si="55" ref="AF189:AF252">$P189*$H189/1000*($T189/$I189+$U189/$K$32)</f>
        <v>12149.835294117649</v>
      </c>
      <c r="AG189" s="1146">
        <f t="shared" si="56" ref="AG189:AG252">AE189-AF189</f>
        <v>692.92428776388442</v>
      </c>
    </row>
    <row r="190" spans="2:33" ht="14.4">
      <c r="B190" s="1134">
        <v>6119333</v>
      </c>
      <c r="C190" s="1135"/>
      <c r="D190" s="1134">
        <v>602491</v>
      </c>
      <c r="E190" s="1136">
        <v>42075</v>
      </c>
      <c r="F190" s="1137">
        <v>36000</v>
      </c>
      <c r="G190" s="1134">
        <v>10</v>
      </c>
      <c r="H190" s="1137">
        <v>34600</v>
      </c>
      <c r="I190" s="1134">
        <v>15</v>
      </c>
      <c r="J190" s="1138">
        <v>5525</v>
      </c>
      <c r="K190" s="1139"/>
      <c r="L190" s="1140">
        <v>42093</v>
      </c>
      <c r="M190" s="269">
        <f t="shared" si="39"/>
        <v>1</v>
      </c>
      <c r="N190" s="1141">
        <v>175</v>
      </c>
      <c r="O190" s="1087">
        <f t="shared" si="40"/>
        <v>3554.0800000000008</v>
      </c>
      <c r="P190" s="269">
        <f t="shared" si="38"/>
        <v>1</v>
      </c>
      <c r="Q190" s="269" t="str">
        <f t="shared" si="41"/>
        <v/>
      </c>
      <c r="R190" s="1147"/>
      <c r="S190" s="1143" t="str">
        <f t="shared" si="42"/>
        <v>Downsize</v>
      </c>
      <c r="T190" s="1144">
        <f t="shared" si="43"/>
        <v>2318.150289017341</v>
      </c>
      <c r="U190" s="1144">
        <f t="shared" si="44"/>
        <v>924.97109826589588</v>
      </c>
      <c r="V190" s="1146">
        <f t="shared" si="45"/>
        <v>12669.881240147137</v>
      </c>
      <c r="W190" s="1146">
        <f t="shared" si="46"/>
        <v>9112.3764705882368</v>
      </c>
      <c r="X190" s="1146">
        <f t="shared" si="47"/>
        <v>3557.5047695589001</v>
      </c>
      <c r="Y190" s="1146">
        <f t="shared" si="48"/>
        <v>10021.806610138769</v>
      </c>
      <c r="Z190" s="1146">
        <f t="shared" si="49"/>
        <v>9112.3764705882368</v>
      </c>
      <c r="AA190" s="1146">
        <f t="shared" si="50"/>
        <v>909.43013955053175</v>
      </c>
      <c r="AB190" s="1146">
        <f t="shared" si="51"/>
        <v>12177.163636363637</v>
      </c>
      <c r="AC190" s="1146">
        <f t="shared" si="52"/>
        <v>9112.3764705882368</v>
      </c>
      <c r="AD190" s="1146">
        <f t="shared" si="53"/>
        <v>3064.7871657754004</v>
      </c>
      <c r="AE190" s="1146">
        <f t="shared" si="54"/>
        <v>9632.0696864111505</v>
      </c>
      <c r="AF190" s="1146">
        <f t="shared" si="55"/>
        <v>9112.3764705882368</v>
      </c>
      <c r="AG190" s="1146">
        <f t="shared" si="56"/>
        <v>519.69321582291377</v>
      </c>
    </row>
    <row r="191" spans="2:33" ht="14.4">
      <c r="B191" s="1134">
        <v>8833095</v>
      </c>
      <c r="C191" s="1135"/>
      <c r="D191" s="1134">
        <v>269022</v>
      </c>
      <c r="E191" s="1136">
        <v>42054</v>
      </c>
      <c r="F191" s="1137">
        <v>48000</v>
      </c>
      <c r="G191" s="1134">
        <v>8</v>
      </c>
      <c r="H191" s="1137">
        <v>49000</v>
      </c>
      <c r="I191" s="1134">
        <v>15</v>
      </c>
      <c r="J191" s="1138">
        <v>6569</v>
      </c>
      <c r="K191" s="1139"/>
      <c r="L191" s="1140">
        <v>42093</v>
      </c>
      <c r="M191" s="269">
        <f t="shared" si="39"/>
        <v>1</v>
      </c>
      <c r="N191" s="1141">
        <v>250</v>
      </c>
      <c r="O191" s="1087">
        <f t="shared" si="40"/>
        <v>7511.2000000000007</v>
      </c>
      <c r="P191" s="269">
        <f t="shared" si="38"/>
        <v>1</v>
      </c>
      <c r="Q191" s="269" t="str">
        <f t="shared" si="41"/>
        <v/>
      </c>
      <c r="R191" s="1147"/>
      <c r="S191" s="1143" t="str">
        <f t="shared" si="42"/>
        <v>Upsize</v>
      </c>
      <c r="T191" s="1144">
        <f t="shared" si="43"/>
        <v>2182.5306122448978</v>
      </c>
      <c r="U191" s="1144">
        <f t="shared" si="44"/>
        <v>870.85714285714289</v>
      </c>
      <c r="V191" s="1146">
        <f t="shared" si="45"/>
        <v>18523.903525046382</v>
      </c>
      <c r="W191" s="1146">
        <f t="shared" si="46"/>
        <v>12149.835294117647</v>
      </c>
      <c r="X191" s="1146">
        <f t="shared" si="47"/>
        <v>6374.0682309287349</v>
      </c>
      <c r="Y191" s="1146">
        <f t="shared" si="48"/>
        <v>12580.662447557423</v>
      </c>
      <c r="Z191" s="1146">
        <f t="shared" si="49"/>
        <v>12149.835294117647</v>
      </c>
      <c r="AA191" s="1146">
        <f t="shared" si="50"/>
        <v>430.82715343977543</v>
      </c>
      <c r="AB191" s="1146">
        <f t="shared" si="51"/>
        <v>18909.81818181818</v>
      </c>
      <c r="AC191" s="1146">
        <f t="shared" si="52"/>
        <v>12149.835294117647</v>
      </c>
      <c r="AD191" s="1146">
        <f t="shared" si="53"/>
        <v>6759.982887700533</v>
      </c>
      <c r="AE191" s="1146">
        <f t="shared" si="54"/>
        <v>12842.759581881535</v>
      </c>
      <c r="AF191" s="1146">
        <f t="shared" si="55"/>
        <v>12149.835294117647</v>
      </c>
      <c r="AG191" s="1146">
        <f t="shared" si="56"/>
        <v>692.92428776388806</v>
      </c>
    </row>
    <row r="192" spans="2:33" ht="14.4">
      <c r="B192" s="1134">
        <v>3855582</v>
      </c>
      <c r="C192" s="1135"/>
      <c r="D192" s="1134">
        <v>200350</v>
      </c>
      <c r="E192" s="1136">
        <v>42053</v>
      </c>
      <c r="F192" s="1137">
        <v>48000</v>
      </c>
      <c r="G192" s="1134">
        <v>11.30</v>
      </c>
      <c r="H192" s="1137">
        <v>56500</v>
      </c>
      <c r="I192" s="1134">
        <v>16</v>
      </c>
      <c r="J192" s="1138">
        <v>13449</v>
      </c>
      <c r="K192" s="1139"/>
      <c r="L192" s="1140">
        <v>42093</v>
      </c>
      <c r="M192" s="269">
        <f t="shared" si="39"/>
        <v>1</v>
      </c>
      <c r="N192" s="1141">
        <v>375</v>
      </c>
      <c r="O192" s="1087">
        <f t="shared" si="40"/>
        <v>1969.0453539823009</v>
      </c>
      <c r="P192" s="269">
        <f t="shared" si="38"/>
        <v>1</v>
      </c>
      <c r="Q192" s="269" t="str">
        <f t="shared" si="41"/>
        <v/>
      </c>
      <c r="R192" s="1147"/>
      <c r="S192" s="1143" t="str">
        <f t="shared" si="42"/>
        <v>Upsize</v>
      </c>
      <c r="T192" s="1144">
        <f t="shared" si="43"/>
        <v>1892.8141592920354</v>
      </c>
      <c r="U192" s="1144">
        <f t="shared" si="44"/>
        <v>755.25663716814154</v>
      </c>
      <c r="V192" s="1146">
        <f t="shared" si="45"/>
        <v>12748.365857652409</v>
      </c>
      <c r="W192" s="1146">
        <f t="shared" si="46"/>
        <v>11704.235294117647</v>
      </c>
      <c r="X192" s="1146">
        <f t="shared" si="47"/>
        <v>1044.1305635347617</v>
      </c>
      <c r="Y192" s="1146">
        <f t="shared" si="48"/>
        <v>10910.663007616171</v>
      </c>
      <c r="Z192" s="1146">
        <f t="shared" si="49"/>
        <v>11704.235294117647</v>
      </c>
      <c r="AA192" s="1146">
        <f t="shared" si="50"/>
        <v>-793.5722865014759</v>
      </c>
      <c r="AB192" s="1146">
        <f t="shared" si="51"/>
        <v>15005.888978278355</v>
      </c>
      <c r="AC192" s="1146">
        <f t="shared" si="52"/>
        <v>11704.235294117647</v>
      </c>
      <c r="AD192" s="1146">
        <f t="shared" si="53"/>
        <v>3301.6536841607085</v>
      </c>
      <c r="AE192" s="1146">
        <f t="shared" si="54"/>
        <v>12842.759581881533</v>
      </c>
      <c r="AF192" s="1146">
        <f t="shared" si="55"/>
        <v>11704.235294117647</v>
      </c>
      <c r="AG192" s="1146">
        <f t="shared" si="56"/>
        <v>1138.5242877638866</v>
      </c>
    </row>
    <row r="193" spans="2:33" ht="14.4">
      <c r="B193" s="1134">
        <v>7388077</v>
      </c>
      <c r="C193" s="1135"/>
      <c r="D193" s="1134">
        <v>493204</v>
      </c>
      <c r="E193" s="1136">
        <v>42028</v>
      </c>
      <c r="F193" s="1137">
        <v>60000</v>
      </c>
      <c r="G193" s="1134">
        <v>7</v>
      </c>
      <c r="H193" s="1137">
        <v>60000</v>
      </c>
      <c r="I193" s="1134">
        <v>16</v>
      </c>
      <c r="J193" s="1138">
        <v>7105</v>
      </c>
      <c r="K193" s="1139"/>
      <c r="L193" s="1140">
        <v>42093</v>
      </c>
      <c r="M193" s="269">
        <f t="shared" si="39"/>
        <v>1</v>
      </c>
      <c r="N193" s="1141">
        <v>375</v>
      </c>
      <c r="O193" s="1087">
        <f t="shared" si="40"/>
        <v>13249.285714285714</v>
      </c>
      <c r="P193" s="269">
        <f t="shared" si="38"/>
        <v>1</v>
      </c>
      <c r="Q193" s="269" t="str">
        <f t="shared" si="41"/>
        <v/>
      </c>
      <c r="R193" s="1147"/>
      <c r="S193" s="1143" t="str">
        <f t="shared" si="42"/>
        <v>Same Size</v>
      </c>
      <c r="T193" s="1144">
        <f t="shared" si="43"/>
        <v>2228</v>
      </c>
      <c r="U193" s="1144">
        <f t="shared" si="44"/>
        <v>889</v>
      </c>
      <c r="V193" s="1146">
        <f t="shared" si="45"/>
        <v>26024.415584415583</v>
      </c>
      <c r="W193" s="1146">
        <f t="shared" si="46"/>
        <v>14630.29411764706</v>
      </c>
      <c r="X193" s="1146">
        <f t="shared" si="47"/>
        <v>11394.121466768524</v>
      </c>
      <c r="Y193" s="1146">
        <f t="shared" si="48"/>
        <v>16053.449477351916</v>
      </c>
      <c r="Z193" s="1146">
        <f t="shared" si="49"/>
        <v>14630.29411764706</v>
      </c>
      <c r="AA193" s="1146">
        <f t="shared" si="50"/>
        <v>1423.1553597048569</v>
      </c>
      <c r="AB193" s="1146">
        <f t="shared" si="51"/>
        <v>26024.415584415583</v>
      </c>
      <c r="AC193" s="1146">
        <f t="shared" si="52"/>
        <v>14630.29411764706</v>
      </c>
      <c r="AD193" s="1146">
        <f t="shared" si="53"/>
        <v>11394.121466768524</v>
      </c>
      <c r="AE193" s="1146">
        <f t="shared" si="54"/>
        <v>16053.449477351916</v>
      </c>
      <c r="AF193" s="1146">
        <f t="shared" si="55"/>
        <v>14630.29411764706</v>
      </c>
      <c r="AG193" s="1146">
        <f t="shared" si="56"/>
        <v>1423.1553597048569</v>
      </c>
    </row>
    <row r="194" spans="2:33" ht="14.4">
      <c r="B194" s="1134">
        <v>4585758</v>
      </c>
      <c r="C194" s="1135"/>
      <c r="D194" s="1134">
        <v>458575</v>
      </c>
      <c r="E194" s="1136">
        <v>41911</v>
      </c>
      <c r="F194" s="1137">
        <v>48000</v>
      </c>
      <c r="G194" s="1134">
        <v>10</v>
      </c>
      <c r="H194" s="1137">
        <v>47000</v>
      </c>
      <c r="I194" s="1134">
        <v>19.25</v>
      </c>
      <c r="J194" s="1138">
        <v>8255</v>
      </c>
      <c r="K194" s="1139"/>
      <c r="L194" s="1140">
        <v>42093</v>
      </c>
      <c r="M194" s="269">
        <f t="shared" si="39"/>
        <v>1</v>
      </c>
      <c r="N194" s="1141">
        <v>400</v>
      </c>
      <c r="O194" s="1087">
        <f t="shared" si="40"/>
        <v>6480.9974025974025</v>
      </c>
      <c r="P194" s="269">
        <f t="shared" si="38"/>
        <v>1</v>
      </c>
      <c r="Q194" s="269" t="str">
        <f t="shared" si="41"/>
        <v/>
      </c>
      <c r="R194" s="1147"/>
      <c r="S194" s="1143" t="str">
        <f t="shared" si="42"/>
        <v>Downsize</v>
      </c>
      <c r="T194" s="1144">
        <f t="shared" si="43"/>
        <v>2275.4042553191489</v>
      </c>
      <c r="U194" s="1144">
        <f t="shared" si="44"/>
        <v>907.91489361702122</v>
      </c>
      <c r="V194" s="1146">
        <f t="shared" si="45"/>
        <v>16581.669632495163</v>
      </c>
      <c r="W194" s="1146">
        <f t="shared" si="46"/>
        <v>10575.767761650115</v>
      </c>
      <c r="X194" s="1146">
        <f t="shared" si="47"/>
        <v>6005.9018708450476</v>
      </c>
      <c r="Y194" s="1146">
        <f t="shared" si="48"/>
        <v>13116.009785751354</v>
      </c>
      <c r="Z194" s="1146">
        <f t="shared" si="49"/>
        <v>10575.767761650115</v>
      </c>
      <c r="AA194" s="1146">
        <f t="shared" si="50"/>
        <v>2540.2420241012387</v>
      </c>
      <c r="AB194" s="1146">
        <f t="shared" si="51"/>
        <v>16236.218181818182</v>
      </c>
      <c r="AC194" s="1146">
        <f t="shared" si="52"/>
        <v>10575.767761650115</v>
      </c>
      <c r="AD194" s="1146">
        <f t="shared" si="53"/>
        <v>5660.4504201680666</v>
      </c>
      <c r="AE194" s="1146">
        <f t="shared" si="54"/>
        <v>12842.759581881533</v>
      </c>
      <c r="AF194" s="1146">
        <f t="shared" si="55"/>
        <v>10575.767761650115</v>
      </c>
      <c r="AG194" s="1146">
        <f t="shared" si="56"/>
        <v>2266.9918202314184</v>
      </c>
    </row>
    <row r="195" spans="2:33" ht="14.4">
      <c r="B195" s="1134">
        <v>3233145</v>
      </c>
      <c r="C195" s="1135"/>
      <c r="D195" s="1134">
        <v>323314</v>
      </c>
      <c r="E195" s="1136">
        <v>42075</v>
      </c>
      <c r="F195" s="1137">
        <v>36000</v>
      </c>
      <c r="G195" s="1134">
        <v>10</v>
      </c>
      <c r="H195" s="1137">
        <v>33800</v>
      </c>
      <c r="I195" s="1134">
        <v>15</v>
      </c>
      <c r="J195" s="1138">
        <v>5310</v>
      </c>
      <c r="K195" s="1139"/>
      <c r="L195" s="1140">
        <v>42093</v>
      </c>
      <c r="M195" s="269">
        <f t="shared" si="39"/>
        <v>1</v>
      </c>
      <c r="N195" s="1141">
        <v>175</v>
      </c>
      <c r="O195" s="1087">
        <f t="shared" si="40"/>
        <v>3700.64</v>
      </c>
      <c r="P195" s="269">
        <f t="shared" si="38"/>
        <v>1</v>
      </c>
      <c r="Q195" s="269" t="str">
        <f t="shared" si="41"/>
        <v/>
      </c>
      <c r="R195" s="1147"/>
      <c r="S195" s="1143" t="str">
        <f t="shared" si="42"/>
        <v>Downsize</v>
      </c>
      <c r="T195" s="1144">
        <f t="shared" si="43"/>
        <v>2373.0177514792904</v>
      </c>
      <c r="U195" s="1144">
        <f t="shared" si="44"/>
        <v>946.86390532544385</v>
      </c>
      <c r="V195" s="1146">
        <f t="shared" si="45"/>
        <v>12969.760086067779</v>
      </c>
      <c r="W195" s="1146">
        <f t="shared" si="46"/>
        <v>9112.3764705882368</v>
      </c>
      <c r="X195" s="1146">
        <f t="shared" si="47"/>
        <v>3857.3836154795426</v>
      </c>
      <c r="Y195" s="1146">
        <f t="shared" si="48"/>
        <v>10259.009133455664</v>
      </c>
      <c r="Z195" s="1146">
        <f t="shared" si="49"/>
        <v>9112.3764705882368</v>
      </c>
      <c r="AA195" s="1146">
        <f t="shared" si="50"/>
        <v>1146.6326628674269</v>
      </c>
      <c r="AB195" s="1146">
        <f t="shared" si="51"/>
        <v>12177.163636363637</v>
      </c>
      <c r="AC195" s="1146">
        <f t="shared" si="52"/>
        <v>9112.3764705882368</v>
      </c>
      <c r="AD195" s="1146">
        <f t="shared" si="53"/>
        <v>3064.7871657754004</v>
      </c>
      <c r="AE195" s="1146">
        <f t="shared" si="54"/>
        <v>9632.0696864111505</v>
      </c>
      <c r="AF195" s="1146">
        <f t="shared" si="55"/>
        <v>9112.3764705882368</v>
      </c>
      <c r="AG195" s="1146">
        <f t="shared" si="56"/>
        <v>519.69321582291377</v>
      </c>
    </row>
    <row r="196" spans="2:33" ht="14.4">
      <c r="B196" s="1134">
        <v>947960</v>
      </c>
      <c r="C196" s="1135"/>
      <c r="D196" s="1134">
        <v>94796</v>
      </c>
      <c r="E196" s="1136">
        <v>42073</v>
      </c>
      <c r="F196" s="1137">
        <v>24000</v>
      </c>
      <c r="G196" s="1134">
        <v>8</v>
      </c>
      <c r="H196" s="1137">
        <v>24000</v>
      </c>
      <c r="I196" s="1134">
        <v>16</v>
      </c>
      <c r="J196" s="1138">
        <v>6344</v>
      </c>
      <c r="K196" s="1139"/>
      <c r="L196" s="1140">
        <v>42093</v>
      </c>
      <c r="M196" s="269">
        <f t="shared" si="39"/>
        <v>1</v>
      </c>
      <c r="N196" s="1141">
        <v>150</v>
      </c>
      <c r="O196" s="1087">
        <f t="shared" si="40"/>
        <v>4122</v>
      </c>
      <c r="P196" s="269">
        <f t="shared" si="38"/>
        <v>1</v>
      </c>
      <c r="Q196" s="269" t="str">
        <f t="shared" si="41"/>
        <v/>
      </c>
      <c r="R196" s="1147"/>
      <c r="S196" s="1143" t="str">
        <f t="shared" si="42"/>
        <v>Same Size</v>
      </c>
      <c r="T196" s="1144">
        <f t="shared" si="43"/>
        <v>2228</v>
      </c>
      <c r="U196" s="1144">
        <f t="shared" si="44"/>
        <v>889</v>
      </c>
      <c r="V196" s="1146">
        <f t="shared" si="45"/>
        <v>9454.9090909090901</v>
      </c>
      <c r="W196" s="1146">
        <f t="shared" si="46"/>
        <v>5852.1176470588234</v>
      </c>
      <c r="X196" s="1146">
        <f t="shared" si="47"/>
        <v>3602.7914438502667</v>
      </c>
      <c r="Y196" s="1146">
        <f t="shared" si="48"/>
        <v>6421.3797909407658</v>
      </c>
      <c r="Z196" s="1146">
        <f t="shared" si="49"/>
        <v>5852.1176470588234</v>
      </c>
      <c r="AA196" s="1146">
        <f t="shared" si="50"/>
        <v>569.26214388194239</v>
      </c>
      <c r="AB196" s="1146">
        <f t="shared" si="51"/>
        <v>9454.9090909090901</v>
      </c>
      <c r="AC196" s="1146">
        <f t="shared" si="52"/>
        <v>5852.1176470588234</v>
      </c>
      <c r="AD196" s="1146">
        <f t="shared" si="53"/>
        <v>3602.7914438502667</v>
      </c>
      <c r="AE196" s="1146">
        <f t="shared" si="54"/>
        <v>6421.3797909407658</v>
      </c>
      <c r="AF196" s="1146">
        <f t="shared" si="55"/>
        <v>5852.1176470588234</v>
      </c>
      <c r="AG196" s="1146">
        <f t="shared" si="56"/>
        <v>569.26214388194239</v>
      </c>
    </row>
    <row r="197" spans="2:33" ht="14.4">
      <c r="B197" s="1134">
        <v>8909974</v>
      </c>
      <c r="C197" s="1135"/>
      <c r="D197" s="1134">
        <v>101665</v>
      </c>
      <c r="E197" s="1136">
        <v>42061</v>
      </c>
      <c r="F197" s="1137">
        <v>48000</v>
      </c>
      <c r="G197" s="1134">
        <v>10</v>
      </c>
      <c r="H197" s="1137">
        <v>36000</v>
      </c>
      <c r="I197" s="1134">
        <v>16</v>
      </c>
      <c r="J197" s="1138">
        <v>6629</v>
      </c>
      <c r="K197" s="1139"/>
      <c r="L197" s="1140">
        <v>42093</v>
      </c>
      <c r="M197" s="269">
        <f t="shared" si="39"/>
        <v>1</v>
      </c>
      <c r="N197" s="1141">
        <v>225</v>
      </c>
      <c r="O197" s="1087">
        <f t="shared" si="40"/>
        <v>7007.40</v>
      </c>
      <c r="P197" s="269">
        <f t="shared" si="38"/>
        <v>1</v>
      </c>
      <c r="Q197" s="269" t="str">
        <f t="shared" si="41"/>
        <v/>
      </c>
      <c r="R197" s="1147"/>
      <c r="S197" s="1143" t="str">
        <f t="shared" si="42"/>
        <v>Downsize</v>
      </c>
      <c r="T197" s="1144">
        <f t="shared" si="43"/>
        <v>2970.6666666666665</v>
      </c>
      <c r="U197" s="1144">
        <f t="shared" si="44"/>
        <v>1185.3333333333333</v>
      </c>
      <c r="V197" s="1146">
        <f t="shared" si="45"/>
        <v>21648.290909090909</v>
      </c>
      <c r="W197" s="1146">
        <f t="shared" si="46"/>
        <v>11704.235294117647</v>
      </c>
      <c r="X197" s="1146">
        <f t="shared" si="47"/>
        <v>9944.055614973262</v>
      </c>
      <c r="Y197" s="1146">
        <f t="shared" si="48"/>
        <v>17123.679442508714</v>
      </c>
      <c r="Z197" s="1146">
        <f t="shared" si="49"/>
        <v>11704.235294117647</v>
      </c>
      <c r="AA197" s="1146">
        <f t="shared" si="50"/>
        <v>5419.4441483910668</v>
      </c>
      <c r="AB197" s="1146">
        <f t="shared" si="51"/>
        <v>16236.218181818182</v>
      </c>
      <c r="AC197" s="1146">
        <f t="shared" si="52"/>
        <v>11704.235294117647</v>
      </c>
      <c r="AD197" s="1146">
        <f t="shared" si="53"/>
        <v>4531.9828877005348</v>
      </c>
      <c r="AE197" s="1146">
        <f t="shared" si="54"/>
        <v>12842.759581881533</v>
      </c>
      <c r="AF197" s="1146">
        <f t="shared" si="55"/>
        <v>11704.235294117647</v>
      </c>
      <c r="AG197" s="1146">
        <f t="shared" si="56"/>
        <v>1138.5242877638866</v>
      </c>
    </row>
    <row r="198" spans="2:33" ht="14.4">
      <c r="B198" s="1134">
        <v>6635288</v>
      </c>
      <c r="C198" s="1135"/>
      <c r="D198" s="1134">
        <v>663528</v>
      </c>
      <c r="E198" s="1136">
        <v>42069</v>
      </c>
      <c r="F198" s="1137">
        <v>38000</v>
      </c>
      <c r="G198" s="1134">
        <v>10</v>
      </c>
      <c r="H198" s="1137">
        <v>42000</v>
      </c>
      <c r="I198" s="1134">
        <v>15.50</v>
      </c>
      <c r="J198" s="1138">
        <v>6857</v>
      </c>
      <c r="K198" s="1139"/>
      <c r="L198" s="1140">
        <v>42093</v>
      </c>
      <c r="M198" s="269">
        <f t="shared" si="39"/>
        <v>1</v>
      </c>
      <c r="N198" s="1141">
        <v>225</v>
      </c>
      <c r="O198" s="1087">
        <f t="shared" si="40"/>
        <v>2996.2064516129039</v>
      </c>
      <c r="P198" s="269">
        <f t="shared" si="38"/>
        <v>1</v>
      </c>
      <c r="Q198" s="269" t="str">
        <f t="shared" si="41"/>
        <v/>
      </c>
      <c r="R198" s="1147"/>
      <c r="S198" s="1143" t="str">
        <f t="shared" si="42"/>
        <v>Upsize</v>
      </c>
      <c r="T198" s="1144">
        <f t="shared" si="43"/>
        <v>2015.8095238095239</v>
      </c>
      <c r="U198" s="1144">
        <f t="shared" si="44"/>
        <v>804.33333333333337</v>
      </c>
      <c r="V198" s="1146">
        <f t="shared" si="45"/>
        <v>11629.513419913421</v>
      </c>
      <c r="W198" s="1146">
        <f t="shared" si="46"/>
        <v>9436.5464895635669</v>
      </c>
      <c r="X198" s="1146">
        <f t="shared" si="47"/>
        <v>2192.966930349854</v>
      </c>
      <c r="Y198" s="1146">
        <f t="shared" si="48"/>
        <v>9198.8813671810203</v>
      </c>
      <c r="Z198" s="1146">
        <f t="shared" si="49"/>
        <v>9436.5464895635669</v>
      </c>
      <c r="AA198" s="1146">
        <f t="shared" si="50"/>
        <v>-237.66512238254654</v>
      </c>
      <c r="AB198" s="1146">
        <f t="shared" si="51"/>
        <v>12853.672727272728</v>
      </c>
      <c r="AC198" s="1146">
        <f t="shared" si="52"/>
        <v>9436.5464895635669</v>
      </c>
      <c r="AD198" s="1146">
        <f t="shared" si="53"/>
        <v>3417.1262377091607</v>
      </c>
      <c r="AE198" s="1146">
        <f t="shared" si="54"/>
        <v>10167.184668989548</v>
      </c>
      <c r="AF198" s="1146">
        <f t="shared" si="55"/>
        <v>9436.5464895635669</v>
      </c>
      <c r="AG198" s="1146">
        <f t="shared" si="56"/>
        <v>730.63817942598143</v>
      </c>
    </row>
    <row r="199" spans="2:33" ht="14.4">
      <c r="B199" s="1134">
        <v>3309002</v>
      </c>
      <c r="C199" s="1135"/>
      <c r="D199" s="1134">
        <v>330900</v>
      </c>
      <c r="E199" s="1136">
        <v>42077</v>
      </c>
      <c r="F199" s="1137">
        <v>30000</v>
      </c>
      <c r="G199" s="1134">
        <v>10</v>
      </c>
      <c r="H199" s="1137">
        <v>28800</v>
      </c>
      <c r="I199" s="1134">
        <v>15.20</v>
      </c>
      <c r="J199" s="1138">
        <v>3500</v>
      </c>
      <c r="K199" s="1139"/>
      <c r="L199" s="1140">
        <v>42093</v>
      </c>
      <c r="M199" s="269">
        <f t="shared" si="39"/>
        <v>1</v>
      </c>
      <c r="N199" s="1141">
        <v>150</v>
      </c>
      <c r="O199" s="1087">
        <f t="shared" si="40"/>
        <v>3037.2631578947367</v>
      </c>
      <c r="P199" s="269">
        <f t="shared" si="38"/>
        <v>1</v>
      </c>
      <c r="Q199" s="269" t="str">
        <f t="shared" si="41"/>
        <v/>
      </c>
      <c r="R199" s="1147"/>
      <c r="S199" s="1143" t="str">
        <f t="shared" si="42"/>
        <v>Downsize</v>
      </c>
      <c r="T199" s="1144">
        <f t="shared" si="43"/>
        <v>2320.8333333333335</v>
      </c>
      <c r="U199" s="1144">
        <f t="shared" si="44"/>
        <v>926.04166666666674</v>
      </c>
      <c r="V199" s="1146">
        <f t="shared" si="45"/>
        <v>10570.454545454546</v>
      </c>
      <c r="W199" s="1146">
        <f t="shared" si="46"/>
        <v>7535.0154798761614</v>
      </c>
      <c r="X199" s="1146">
        <f t="shared" si="47"/>
        <v>3035.4390655783845</v>
      </c>
      <c r="Y199" s="1146">
        <f t="shared" si="48"/>
        <v>8361.1716027874572</v>
      </c>
      <c r="Z199" s="1146">
        <f t="shared" si="49"/>
        <v>7535.0154798761614</v>
      </c>
      <c r="AA199" s="1146">
        <f t="shared" si="50"/>
        <v>826.15612291129582</v>
      </c>
      <c r="AB199" s="1146">
        <f t="shared" si="51"/>
        <v>10147.636363636364</v>
      </c>
      <c r="AC199" s="1146">
        <f t="shared" si="52"/>
        <v>7535.0154798761614</v>
      </c>
      <c r="AD199" s="1146">
        <f t="shared" si="53"/>
        <v>2612.6208837602026</v>
      </c>
      <c r="AE199" s="1146">
        <f t="shared" si="54"/>
        <v>8026.72473867596</v>
      </c>
      <c r="AF199" s="1146">
        <f t="shared" si="55"/>
        <v>7535.0154798761614</v>
      </c>
      <c r="AG199" s="1146">
        <f t="shared" si="56"/>
        <v>491.70925879979859</v>
      </c>
    </row>
    <row r="200" spans="2:33" ht="14.4">
      <c r="B200" s="1134">
        <v>1749878</v>
      </c>
      <c r="C200" s="1135"/>
      <c r="D200" s="1134">
        <v>174987</v>
      </c>
      <c r="E200" s="1136">
        <v>42038</v>
      </c>
      <c r="F200" s="1137">
        <v>42000</v>
      </c>
      <c r="G200" s="1134">
        <v>10</v>
      </c>
      <c r="H200" s="1137">
        <v>47000</v>
      </c>
      <c r="I200" s="1134">
        <v>17.50</v>
      </c>
      <c r="J200" s="1138">
        <v>10000</v>
      </c>
      <c r="K200" s="1139"/>
      <c r="L200" s="1140">
        <v>42093</v>
      </c>
      <c r="M200" s="269">
        <f t="shared" si="39"/>
        <v>1</v>
      </c>
      <c r="N200" s="1141">
        <v>325</v>
      </c>
      <c r="O200" s="1087">
        <f t="shared" si="40"/>
        <v>4161.2571428571428</v>
      </c>
      <c r="P200" s="269">
        <f t="shared" si="38"/>
        <v>1</v>
      </c>
      <c r="Q200" s="269" t="str">
        <f t="shared" si="41"/>
        <v/>
      </c>
      <c r="R200" s="1147"/>
      <c r="S200" s="1143" t="str">
        <f t="shared" si="42"/>
        <v>Upsize</v>
      </c>
      <c r="T200" s="1144">
        <f t="shared" si="43"/>
        <v>1990.9787234042553</v>
      </c>
      <c r="U200" s="1144">
        <f t="shared" si="44"/>
        <v>794.42553191489355</v>
      </c>
      <c r="V200" s="1146">
        <f t="shared" si="45"/>
        <v>12695.340812379111</v>
      </c>
      <c r="W200" s="1146">
        <f t="shared" si="46"/>
        <v>9739.9058823529413</v>
      </c>
      <c r="X200" s="1146">
        <f t="shared" si="47"/>
        <v>2955.4349300261692</v>
      </c>
      <c r="Y200" s="1146">
        <f t="shared" si="48"/>
        <v>10041.94499221588</v>
      </c>
      <c r="Z200" s="1146">
        <f t="shared" si="49"/>
        <v>9739.9058823529413</v>
      </c>
      <c r="AA200" s="1146">
        <f t="shared" si="50"/>
        <v>302.03910986293886</v>
      </c>
      <c r="AB200" s="1146">
        <f t="shared" si="51"/>
        <v>14206.69090909091</v>
      </c>
      <c r="AC200" s="1146">
        <f t="shared" si="52"/>
        <v>9739.9058823529413</v>
      </c>
      <c r="AD200" s="1146">
        <f t="shared" si="53"/>
        <v>4466.785026737969</v>
      </c>
      <c r="AE200" s="1146">
        <f t="shared" si="54"/>
        <v>11237.414634146342</v>
      </c>
      <c r="AF200" s="1146">
        <f t="shared" si="55"/>
        <v>9739.9058823529413</v>
      </c>
      <c r="AG200" s="1146">
        <f t="shared" si="56"/>
        <v>1497.5087517934007</v>
      </c>
    </row>
    <row r="201" spans="2:33" ht="14.4">
      <c r="B201" s="1134">
        <v>3753076</v>
      </c>
      <c r="C201" s="1135"/>
      <c r="D201" s="1134">
        <v>290969</v>
      </c>
      <c r="E201" s="1136">
        <v>42079</v>
      </c>
      <c r="F201" s="1137">
        <v>24000</v>
      </c>
      <c r="G201" s="1134">
        <v>10</v>
      </c>
      <c r="H201" s="1137">
        <v>35800</v>
      </c>
      <c r="I201" s="1134">
        <v>16.50</v>
      </c>
      <c r="J201" s="1138">
        <v>5800</v>
      </c>
      <c r="K201" s="1139"/>
      <c r="L201" s="1140">
        <v>42093</v>
      </c>
      <c r="M201" s="269">
        <f t="shared" si="39"/>
        <v>1</v>
      </c>
      <c r="N201" s="1141">
        <v>225</v>
      </c>
      <c r="O201" s="1087">
        <f t="shared" si="40"/>
        <v>632.87272727272784</v>
      </c>
      <c r="P201" s="269">
        <f t="shared" si="38"/>
        <v>1</v>
      </c>
      <c r="Q201" s="269" t="str">
        <f t="shared" si="41"/>
        <v/>
      </c>
      <c r="R201" s="1147"/>
      <c r="S201" s="1143" t="str">
        <f t="shared" si="42"/>
        <v>Upsize</v>
      </c>
      <c r="T201" s="1144">
        <f t="shared" si="43"/>
        <v>1493.6312849162011</v>
      </c>
      <c r="U201" s="1144">
        <f t="shared" si="44"/>
        <v>595.97765363128485</v>
      </c>
      <c r="V201" s="1146">
        <f t="shared" si="45"/>
        <v>5442.3077704418483</v>
      </c>
      <c r="W201" s="1146">
        <f t="shared" si="46"/>
        <v>5750.8449197860955</v>
      </c>
      <c r="X201" s="1146">
        <f t="shared" si="47"/>
        <v>-308.53714934424715</v>
      </c>
      <c r="Y201" s="1146">
        <f t="shared" si="48"/>
        <v>4304.8356140385022</v>
      </c>
      <c r="Z201" s="1146">
        <f t="shared" si="49"/>
        <v>5750.8449197860955</v>
      </c>
      <c r="AA201" s="1146">
        <f t="shared" si="50"/>
        <v>-1446.0093057475933</v>
      </c>
      <c r="AB201" s="1146">
        <f t="shared" si="51"/>
        <v>8118.109090909089</v>
      </c>
      <c r="AC201" s="1146">
        <f t="shared" si="52"/>
        <v>5750.8449197860955</v>
      </c>
      <c r="AD201" s="1146">
        <f t="shared" si="53"/>
        <v>2367.2641711229935</v>
      </c>
      <c r="AE201" s="1146">
        <f t="shared" si="54"/>
        <v>6421.3797909407658</v>
      </c>
      <c r="AF201" s="1146">
        <f t="shared" si="55"/>
        <v>5750.8449197860955</v>
      </c>
      <c r="AG201" s="1146">
        <f t="shared" si="56"/>
        <v>670.53487115467033</v>
      </c>
    </row>
    <row r="202" spans="2:33" ht="14.4">
      <c r="B202" s="1134">
        <v>5113295</v>
      </c>
      <c r="C202" s="1135"/>
      <c r="D202" s="1134">
        <v>270049</v>
      </c>
      <c r="E202" s="1136">
        <v>42074</v>
      </c>
      <c r="F202" s="1137">
        <v>42000</v>
      </c>
      <c r="G202" s="1134">
        <v>8</v>
      </c>
      <c r="H202" s="1137">
        <v>41500</v>
      </c>
      <c r="I202" s="1134">
        <v>15</v>
      </c>
      <c r="J202" s="1138">
        <v>5229</v>
      </c>
      <c r="K202" s="1139"/>
      <c r="L202" s="1140">
        <v>42093</v>
      </c>
      <c r="M202" s="269">
        <f t="shared" si="39"/>
        <v>1</v>
      </c>
      <c r="N202" s="1141">
        <v>225</v>
      </c>
      <c r="O202" s="1087">
        <f t="shared" si="40"/>
        <v>6824.2000000000007</v>
      </c>
      <c r="P202" s="269">
        <f t="shared" si="38"/>
        <v>1</v>
      </c>
      <c r="Q202" s="269" t="str">
        <f t="shared" si="41"/>
        <v/>
      </c>
      <c r="R202" s="1147"/>
      <c r="S202" s="1143" t="str">
        <f t="shared" si="42"/>
        <v>Downsize</v>
      </c>
      <c r="T202" s="1144">
        <f t="shared" si="43"/>
        <v>2254.8433734939758</v>
      </c>
      <c r="U202" s="1144">
        <f t="shared" si="44"/>
        <v>899.71084337349396</v>
      </c>
      <c r="V202" s="1146">
        <f t="shared" si="45"/>
        <v>16745.441401971522</v>
      </c>
      <c r="W202" s="1146">
        <f t="shared" si="46"/>
        <v>10631.10588235294</v>
      </c>
      <c r="X202" s="1146">
        <f t="shared" si="47"/>
        <v>6114.3355196185821</v>
      </c>
      <c r="Y202" s="1146">
        <f t="shared" si="48"/>
        <v>11372.805171907141</v>
      </c>
      <c r="Z202" s="1146">
        <f t="shared" si="49"/>
        <v>10631.10588235294</v>
      </c>
      <c r="AA202" s="1146">
        <f t="shared" si="50"/>
        <v>741.69928955420073</v>
      </c>
      <c r="AB202" s="1146">
        <f t="shared" si="51"/>
        <v>16546.090909090908</v>
      </c>
      <c r="AC202" s="1146">
        <f t="shared" si="52"/>
        <v>10631.10588235294</v>
      </c>
      <c r="AD202" s="1146">
        <f t="shared" si="53"/>
        <v>5914.9850267379679</v>
      </c>
      <c r="AE202" s="1146">
        <f t="shared" si="54"/>
        <v>11237.414634146342</v>
      </c>
      <c r="AF202" s="1146">
        <f t="shared" si="55"/>
        <v>10631.10588235294</v>
      </c>
      <c r="AG202" s="1146">
        <f t="shared" si="56"/>
        <v>606.30875179340183</v>
      </c>
    </row>
    <row r="203" spans="2:33" ht="14.4">
      <c r="B203" s="1134">
        <v>2193233</v>
      </c>
      <c r="C203" s="1135"/>
      <c r="D203" s="1134">
        <v>219323</v>
      </c>
      <c r="E203" s="1136">
        <v>42069</v>
      </c>
      <c r="F203" s="1137">
        <v>42000</v>
      </c>
      <c r="G203" s="1134">
        <v>10</v>
      </c>
      <c r="H203" s="1137">
        <v>41500</v>
      </c>
      <c r="I203" s="1134">
        <v>15</v>
      </c>
      <c r="J203" s="1138">
        <v>4999</v>
      </c>
      <c r="K203" s="1139"/>
      <c r="L203" s="1140">
        <v>42094</v>
      </c>
      <c r="M203" s="269">
        <f t="shared" si="39"/>
        <v>1</v>
      </c>
      <c r="N203" s="1141">
        <v>225</v>
      </c>
      <c r="O203" s="1087">
        <f t="shared" si="40"/>
        <v>3938.8000000000006</v>
      </c>
      <c r="P203" s="269">
        <f t="shared" si="38"/>
        <v>1</v>
      </c>
      <c r="Q203" s="269" t="str">
        <f t="shared" si="41"/>
        <v/>
      </c>
      <c r="R203" s="1147"/>
      <c r="S203" s="1143" t="str">
        <f t="shared" si="42"/>
        <v>Downsize</v>
      </c>
      <c r="T203" s="1144">
        <f t="shared" si="43"/>
        <v>2254.8433734939758</v>
      </c>
      <c r="U203" s="1144">
        <f t="shared" si="44"/>
        <v>899.71084337349396</v>
      </c>
      <c r="V203" s="1146">
        <f t="shared" si="45"/>
        <v>14377.855859802847</v>
      </c>
      <c r="W203" s="1146">
        <f t="shared" si="46"/>
        <v>10631.10588235294</v>
      </c>
      <c r="X203" s="1146">
        <f t="shared" si="47"/>
        <v>3746.7499774499065</v>
      </c>
      <c r="Y203" s="1146">
        <f t="shared" si="48"/>
        <v>11372.805171907141</v>
      </c>
      <c r="Z203" s="1146">
        <f t="shared" si="49"/>
        <v>10631.10588235294</v>
      </c>
      <c r="AA203" s="1146">
        <f t="shared" si="50"/>
        <v>741.69928955420073</v>
      </c>
      <c r="AB203" s="1146">
        <f t="shared" si="51"/>
        <v>14206.690909090907</v>
      </c>
      <c r="AC203" s="1146">
        <f t="shared" si="52"/>
        <v>10631.10588235294</v>
      </c>
      <c r="AD203" s="1146">
        <f t="shared" si="53"/>
        <v>3575.5850267379665</v>
      </c>
      <c r="AE203" s="1146">
        <f t="shared" si="54"/>
        <v>11237.414634146342</v>
      </c>
      <c r="AF203" s="1146">
        <f t="shared" si="55"/>
        <v>10631.10588235294</v>
      </c>
      <c r="AG203" s="1146">
        <f t="shared" si="56"/>
        <v>606.30875179340183</v>
      </c>
    </row>
    <row r="204" spans="2:33" ht="14.4">
      <c r="B204" s="1134">
        <v>5575741</v>
      </c>
      <c r="C204" s="1135"/>
      <c r="D204" s="1134">
        <v>537573</v>
      </c>
      <c r="E204" s="1136">
        <v>42079</v>
      </c>
      <c r="F204" s="1137">
        <v>42000</v>
      </c>
      <c r="G204" s="1134">
        <v>10</v>
      </c>
      <c r="H204" s="1137">
        <v>47000</v>
      </c>
      <c r="I204" s="1134">
        <v>17</v>
      </c>
      <c r="J204" s="1138">
        <v>6190</v>
      </c>
      <c r="K204" s="1139"/>
      <c r="L204" s="1140">
        <v>42094</v>
      </c>
      <c r="M204" s="269">
        <f t="shared" si="39"/>
        <v>1</v>
      </c>
      <c r="N204" s="1141">
        <v>325</v>
      </c>
      <c r="O204" s="1087">
        <f t="shared" si="40"/>
        <v>3944.1882352941184</v>
      </c>
      <c r="P204" s="269">
        <f t="shared" si="38"/>
        <v>1</v>
      </c>
      <c r="Q204" s="269" t="str">
        <f t="shared" si="41"/>
        <v/>
      </c>
      <c r="R204" s="1147"/>
      <c r="S204" s="1143" t="str">
        <f t="shared" si="42"/>
        <v>Upsize</v>
      </c>
      <c r="T204" s="1144">
        <f t="shared" si="43"/>
        <v>1990.9787234042553</v>
      </c>
      <c r="U204" s="1144">
        <f t="shared" si="44"/>
        <v>794.42553191489355</v>
      </c>
      <c r="V204" s="1146">
        <f t="shared" si="45"/>
        <v>12695.340812379111</v>
      </c>
      <c r="W204" s="1146">
        <f t="shared" si="46"/>
        <v>9897.176470588236</v>
      </c>
      <c r="X204" s="1146">
        <f t="shared" si="47"/>
        <v>2798.1643417908745</v>
      </c>
      <c r="Y204" s="1146">
        <f t="shared" si="48"/>
        <v>10041.94499221588</v>
      </c>
      <c r="Z204" s="1146">
        <f t="shared" si="49"/>
        <v>9897.176470588236</v>
      </c>
      <c r="AA204" s="1146">
        <f t="shared" si="50"/>
        <v>144.76852162764408</v>
      </c>
      <c r="AB204" s="1146">
        <f t="shared" si="51"/>
        <v>14206.69090909091</v>
      </c>
      <c r="AC204" s="1146">
        <f t="shared" si="52"/>
        <v>9897.176470588236</v>
      </c>
      <c r="AD204" s="1146">
        <f t="shared" si="53"/>
        <v>4309.5144385026742</v>
      </c>
      <c r="AE204" s="1146">
        <f t="shared" si="54"/>
        <v>11237.414634146342</v>
      </c>
      <c r="AF204" s="1146">
        <f t="shared" si="55"/>
        <v>9897.176470588236</v>
      </c>
      <c r="AG204" s="1146">
        <f t="shared" si="56"/>
        <v>1340.238163558106</v>
      </c>
    </row>
    <row r="205" spans="2:33" ht="14.4">
      <c r="B205" s="1134">
        <v>1508043</v>
      </c>
      <c r="C205" s="1135"/>
      <c r="D205" s="1134">
        <v>150804</v>
      </c>
      <c r="E205" s="1136">
        <v>42020</v>
      </c>
      <c r="F205" s="1137">
        <v>30000</v>
      </c>
      <c r="G205" s="1134">
        <v>10</v>
      </c>
      <c r="H205" s="1137">
        <v>28200</v>
      </c>
      <c r="I205" s="1134">
        <v>15</v>
      </c>
      <c r="J205" s="1138">
        <v>5390</v>
      </c>
      <c r="K205" s="1139"/>
      <c r="L205" s="1140">
        <v>42096</v>
      </c>
      <c r="M205" s="269">
        <f t="shared" si="39"/>
        <v>2</v>
      </c>
      <c r="N205" s="1141">
        <v>300</v>
      </c>
      <c r="O205" s="1087">
        <f t="shared" si="40"/>
        <v>3077.76</v>
      </c>
      <c r="P205" s="269">
        <f t="shared" si="38"/>
        <v>1</v>
      </c>
      <c r="Q205" s="269" t="str">
        <f t="shared" si="41"/>
        <v/>
      </c>
      <c r="R205" s="1147"/>
      <c r="S205" s="1143" t="str">
        <f t="shared" si="42"/>
        <v>Downsize</v>
      </c>
      <c r="T205" s="1144">
        <f t="shared" si="43"/>
        <v>2370.2127659574467</v>
      </c>
      <c r="U205" s="1144">
        <f t="shared" si="44"/>
        <v>945.74468085106378</v>
      </c>
      <c r="V205" s="1146">
        <f t="shared" si="45"/>
        <v>10795.357833655704</v>
      </c>
      <c r="W205" s="1146">
        <f t="shared" si="46"/>
        <v>7593.6470588235288</v>
      </c>
      <c r="X205" s="1146">
        <f t="shared" si="47"/>
        <v>3201.710774832175</v>
      </c>
      <c r="Y205" s="1146">
        <f t="shared" si="48"/>
        <v>8539.0688709318692</v>
      </c>
      <c r="Z205" s="1146">
        <f t="shared" si="49"/>
        <v>7593.6470588235288</v>
      </c>
      <c r="AA205" s="1146">
        <f t="shared" si="50"/>
        <v>945.42181210834042</v>
      </c>
      <c r="AB205" s="1146">
        <f t="shared" si="51"/>
        <v>10147.636363636362</v>
      </c>
      <c r="AC205" s="1146">
        <f t="shared" si="52"/>
        <v>7593.6470588235288</v>
      </c>
      <c r="AD205" s="1146">
        <f t="shared" si="53"/>
        <v>2553.9893048128333</v>
      </c>
      <c r="AE205" s="1146">
        <f t="shared" si="54"/>
        <v>8026.7247386759573</v>
      </c>
      <c r="AF205" s="1146">
        <f t="shared" si="55"/>
        <v>7593.6470588235288</v>
      </c>
      <c r="AG205" s="1146">
        <f t="shared" si="56"/>
        <v>433.07767985242845</v>
      </c>
    </row>
    <row r="206" spans="2:33" ht="14.4">
      <c r="B206" s="1134">
        <v>5181193</v>
      </c>
      <c r="C206" s="1135"/>
      <c r="D206" s="1134">
        <v>509844</v>
      </c>
      <c r="E206" s="1136">
        <v>42017</v>
      </c>
      <c r="F206" s="1137">
        <v>50000</v>
      </c>
      <c r="G206" s="1134">
        <v>12</v>
      </c>
      <c r="H206" s="1137">
        <v>56500</v>
      </c>
      <c r="I206" s="1134">
        <v>15</v>
      </c>
      <c r="J206" s="1138">
        <v>7611</v>
      </c>
      <c r="K206" s="1139"/>
      <c r="L206" s="1140">
        <v>42096</v>
      </c>
      <c r="M206" s="269">
        <f t="shared" si="39"/>
        <v>2</v>
      </c>
      <c r="N206" s="1141">
        <v>325</v>
      </c>
      <c r="O206" s="1087">
        <f t="shared" si="40"/>
        <v>1099.2000000000014</v>
      </c>
      <c r="P206" s="269">
        <f t="shared" si="38"/>
        <v>1</v>
      </c>
      <c r="Q206" s="269" t="str">
        <f t="shared" si="41"/>
        <v/>
      </c>
      <c r="R206" s="1147"/>
      <c r="S206" s="1143" t="str">
        <f t="shared" si="42"/>
        <v>Upsize</v>
      </c>
      <c r="T206" s="1144">
        <f t="shared" si="43"/>
        <v>1971.6814159292037</v>
      </c>
      <c r="U206" s="1144">
        <f t="shared" si="44"/>
        <v>786.72566371681421</v>
      </c>
      <c r="V206" s="1146">
        <f t="shared" si="45"/>
        <v>13323.947438991687</v>
      </c>
      <c r="W206" s="1146">
        <f t="shared" si="46"/>
        <v>12656.078431372549</v>
      </c>
      <c r="X206" s="1146">
        <f t="shared" si="47"/>
        <v>667.86900761913785</v>
      </c>
      <c r="Y206" s="1146">
        <f t="shared" si="48"/>
        <v>11838.827048194629</v>
      </c>
      <c r="Z206" s="1146">
        <f t="shared" si="49"/>
        <v>12656.078431372549</v>
      </c>
      <c r="AA206" s="1146">
        <f t="shared" si="50"/>
        <v>-817.25138317791971</v>
      </c>
      <c r="AB206" s="1146">
        <f t="shared" si="51"/>
        <v>15056.060606060606</v>
      </c>
      <c r="AC206" s="1146">
        <f t="shared" si="52"/>
        <v>12656.078431372549</v>
      </c>
      <c r="AD206" s="1146">
        <f t="shared" si="53"/>
        <v>2399.9821746880571</v>
      </c>
      <c r="AE206" s="1146">
        <f t="shared" si="54"/>
        <v>13377.874564459931</v>
      </c>
      <c r="AF206" s="1146">
        <f t="shared" si="55"/>
        <v>12656.078431372549</v>
      </c>
      <c r="AG206" s="1146">
        <f t="shared" si="56"/>
        <v>721.79613308738226</v>
      </c>
    </row>
    <row r="207" spans="2:33" ht="14.4">
      <c r="B207" s="1134">
        <v>2484707</v>
      </c>
      <c r="C207" s="1135"/>
      <c r="D207" s="1134">
        <v>137747</v>
      </c>
      <c r="E207" s="1136">
        <v>42068</v>
      </c>
      <c r="F207" s="1137">
        <v>34000</v>
      </c>
      <c r="G207" s="1134">
        <v>10</v>
      </c>
      <c r="H207" s="1137">
        <v>34200</v>
      </c>
      <c r="I207" s="1134">
        <v>15</v>
      </c>
      <c r="J207" s="1138">
        <v>5124</v>
      </c>
      <c r="K207" s="1139"/>
      <c r="L207" s="1140">
        <v>42107</v>
      </c>
      <c r="M207" s="269">
        <f t="shared" si="39"/>
        <v>2</v>
      </c>
      <c r="N207" s="1141">
        <v>175</v>
      </c>
      <c r="O207" s="1087">
        <f t="shared" si="40"/>
        <v>3077.76</v>
      </c>
      <c r="P207" s="269">
        <f t="shared" si="38"/>
        <v>1</v>
      </c>
      <c r="Q207" s="269" t="str">
        <f t="shared" si="41"/>
        <v/>
      </c>
      <c r="R207" s="1147"/>
      <c r="S207" s="1143" t="str">
        <f t="shared" si="42"/>
        <v>Upsize</v>
      </c>
      <c r="T207" s="1144">
        <f t="shared" si="43"/>
        <v>2214.9707602339181</v>
      </c>
      <c r="U207" s="1144">
        <f t="shared" si="44"/>
        <v>883.80116959064321</v>
      </c>
      <c r="V207" s="1146">
        <f t="shared" si="45"/>
        <v>11433.399255715045</v>
      </c>
      <c r="W207" s="1146">
        <f t="shared" si="46"/>
        <v>8606.1333333333332</v>
      </c>
      <c r="X207" s="1146">
        <f t="shared" si="47"/>
        <v>2827.2659223817118</v>
      </c>
      <c r="Y207" s="1146">
        <f t="shared" si="48"/>
        <v>9043.7561383132634</v>
      </c>
      <c r="Z207" s="1146">
        <f t="shared" si="49"/>
        <v>8606.1333333333332</v>
      </c>
      <c r="AA207" s="1146">
        <f t="shared" si="50"/>
        <v>437.62280497993015</v>
      </c>
      <c r="AB207" s="1146">
        <f t="shared" si="51"/>
        <v>11500.654545454547</v>
      </c>
      <c r="AC207" s="1146">
        <f t="shared" si="52"/>
        <v>8606.1333333333332</v>
      </c>
      <c r="AD207" s="1146">
        <f t="shared" si="53"/>
        <v>2894.5212121212135</v>
      </c>
      <c r="AE207" s="1146">
        <f t="shared" si="54"/>
        <v>9096.9547038327546</v>
      </c>
      <c r="AF207" s="1146">
        <f t="shared" si="55"/>
        <v>8606.1333333333332</v>
      </c>
      <c r="AG207" s="1146">
        <f t="shared" si="56"/>
        <v>490.82137049942139</v>
      </c>
    </row>
    <row r="208" spans="2:33" ht="14.4">
      <c r="B208" s="1134">
        <v>2031060</v>
      </c>
      <c r="C208" s="1135"/>
      <c r="D208" s="1134">
        <v>203106</v>
      </c>
      <c r="E208" s="1136">
        <v>42061</v>
      </c>
      <c r="F208" s="1137">
        <v>36000</v>
      </c>
      <c r="G208" s="1134">
        <v>14</v>
      </c>
      <c r="H208" s="1137">
        <v>55000</v>
      </c>
      <c r="I208" s="1134">
        <v>16</v>
      </c>
      <c r="J208" s="1138">
        <v>7473</v>
      </c>
      <c r="K208" s="1139"/>
      <c r="L208" s="1140">
        <v>42109</v>
      </c>
      <c r="M208" s="269">
        <f t="shared" si="39"/>
        <v>2</v>
      </c>
      <c r="N208" s="1141">
        <v>375</v>
      </c>
      <c r="O208" s="1087">
        <f t="shared" si="40"/>
        <v>-2379.9642857142853</v>
      </c>
      <c r="P208" s="269">
        <f t="shared" si="38"/>
        <v>1</v>
      </c>
      <c r="Q208" s="269" t="str">
        <f t="shared" si="41"/>
        <v/>
      </c>
      <c r="R208" s="1147"/>
      <c r="S208" s="1143" t="str">
        <f t="shared" si="42"/>
        <v>Upsize</v>
      </c>
      <c r="T208" s="1144">
        <f t="shared" si="43"/>
        <v>1458.3272727272727</v>
      </c>
      <c r="U208" s="1144">
        <f t="shared" si="44"/>
        <v>581.89090909090908</v>
      </c>
      <c r="V208" s="1146">
        <f t="shared" si="45"/>
        <v>6470.5133412042496</v>
      </c>
      <c r="W208" s="1146">
        <f t="shared" si="46"/>
        <v>8778.1764705882342</v>
      </c>
      <c r="X208" s="1146">
        <f t="shared" si="47"/>
        <v>-2307.6631293839846</v>
      </c>
      <c r="Y208" s="1146">
        <f t="shared" si="48"/>
        <v>6304.6274311054804</v>
      </c>
      <c r="Z208" s="1146">
        <f t="shared" si="49"/>
        <v>8778.1764705882342</v>
      </c>
      <c r="AA208" s="1146">
        <f t="shared" si="50"/>
        <v>-2473.5490394827539</v>
      </c>
      <c r="AB208" s="1146">
        <f t="shared" si="51"/>
        <v>9885.5064935064929</v>
      </c>
      <c r="AC208" s="1146">
        <f t="shared" si="52"/>
        <v>8778.1764705882342</v>
      </c>
      <c r="AD208" s="1146">
        <f t="shared" si="53"/>
        <v>1107.3300229182587</v>
      </c>
      <c r="AE208" s="1146">
        <f t="shared" si="54"/>
        <v>9632.0696864111505</v>
      </c>
      <c r="AF208" s="1146">
        <f t="shared" si="55"/>
        <v>8778.1764705882342</v>
      </c>
      <c r="AG208" s="1146">
        <f t="shared" si="56"/>
        <v>853.89321582291632</v>
      </c>
    </row>
    <row r="209" spans="2:33" ht="14.4">
      <c r="B209" s="1134">
        <v>4588273</v>
      </c>
      <c r="C209" s="1135"/>
      <c r="D209" s="1134">
        <v>428734</v>
      </c>
      <c r="E209" s="1136">
        <v>42087</v>
      </c>
      <c r="F209" s="1137">
        <v>48000</v>
      </c>
      <c r="G209" s="1134">
        <v>12</v>
      </c>
      <c r="H209" s="1137">
        <v>49500</v>
      </c>
      <c r="I209" s="1134">
        <v>15</v>
      </c>
      <c r="J209" s="1138">
        <v>6033</v>
      </c>
      <c r="K209" s="1139"/>
      <c r="L209" s="1140">
        <v>42109</v>
      </c>
      <c r="M209" s="269">
        <f t="shared" si="39"/>
        <v>2</v>
      </c>
      <c r="N209" s="1141">
        <v>250</v>
      </c>
      <c r="O209" s="1087">
        <f t="shared" si="40"/>
        <v>1923.60</v>
      </c>
      <c r="P209" s="269">
        <f t="shared" si="38"/>
        <v>1</v>
      </c>
      <c r="Q209" s="269" t="str">
        <f t="shared" si="41"/>
        <v/>
      </c>
      <c r="R209" s="1147"/>
      <c r="S209" s="1143" t="str">
        <f t="shared" si="42"/>
        <v>Upsize</v>
      </c>
      <c r="T209" s="1144">
        <f t="shared" si="43"/>
        <v>2160.4848484848485</v>
      </c>
      <c r="U209" s="1144">
        <f t="shared" si="44"/>
        <v>862.06060606060612</v>
      </c>
      <c r="V209" s="1146">
        <f t="shared" si="45"/>
        <v>14015.823691460057</v>
      </c>
      <c r="W209" s="1146">
        <f t="shared" si="46"/>
        <v>12149.835294117647</v>
      </c>
      <c r="X209" s="1146">
        <f t="shared" si="47"/>
        <v>1865.9883973424094</v>
      </c>
      <c r="Y209" s="1146">
        <f t="shared" si="48"/>
        <v>12453.585049097244</v>
      </c>
      <c r="Z209" s="1146">
        <f t="shared" si="49"/>
        <v>12149.835294117647</v>
      </c>
      <c r="AA209" s="1146">
        <f t="shared" si="50"/>
        <v>303.74975497959713</v>
      </c>
      <c r="AB209" s="1146">
        <f t="shared" si="51"/>
        <v>14453.818181818184</v>
      </c>
      <c r="AC209" s="1146">
        <f t="shared" si="52"/>
        <v>12149.835294117647</v>
      </c>
      <c r="AD209" s="1146">
        <f t="shared" si="53"/>
        <v>2303.9828877005366</v>
      </c>
      <c r="AE209" s="1146">
        <f t="shared" si="54"/>
        <v>12842.759581881533</v>
      </c>
      <c r="AF209" s="1146">
        <f t="shared" si="55"/>
        <v>12149.835294117647</v>
      </c>
      <c r="AG209" s="1146">
        <f t="shared" si="56"/>
        <v>692.92428776388624</v>
      </c>
    </row>
    <row r="210" spans="2:33" ht="14.4">
      <c r="B210" s="1134">
        <v>8800432</v>
      </c>
      <c r="C210" s="1135"/>
      <c r="D210" s="1134">
        <v>595974</v>
      </c>
      <c r="E210" s="1136">
        <v>42087</v>
      </c>
      <c r="F210" s="1137">
        <v>36000</v>
      </c>
      <c r="G210" s="1134">
        <v>12</v>
      </c>
      <c r="H210" s="1137">
        <v>34800</v>
      </c>
      <c r="I210" s="1134">
        <v>15.20</v>
      </c>
      <c r="J210" s="1138">
        <v>6500</v>
      </c>
      <c r="K210" s="1139"/>
      <c r="L210" s="1140">
        <v>42109</v>
      </c>
      <c r="M210" s="269">
        <f t="shared" si="39"/>
        <v>2</v>
      </c>
      <c r="N210" s="1141">
        <v>175</v>
      </c>
      <c r="O210" s="1087">
        <f t="shared" si="40"/>
        <v>1952.526315789474</v>
      </c>
      <c r="P210" s="269">
        <f t="shared" si="38"/>
        <v>1</v>
      </c>
      <c r="Q210" s="269" t="str">
        <f t="shared" si="41"/>
        <v/>
      </c>
      <c r="R210" s="1147"/>
      <c r="S210" s="1143" t="str">
        <f t="shared" si="42"/>
        <v>Downsize</v>
      </c>
      <c r="T210" s="1144">
        <f t="shared" si="43"/>
        <v>2304.8275862068967</v>
      </c>
      <c r="U210" s="1144">
        <f t="shared" si="44"/>
        <v>919.65517241379314</v>
      </c>
      <c r="V210" s="1146">
        <f t="shared" si="45"/>
        <v>11214.169278996866</v>
      </c>
      <c r="W210" s="1146">
        <f t="shared" si="46"/>
        <v>9042.0185758513926</v>
      </c>
      <c r="X210" s="1146">
        <f t="shared" si="47"/>
        <v>2172.150703145473</v>
      </c>
      <c r="Y210" s="1146">
        <f t="shared" si="48"/>
        <v>9964.2100204253293</v>
      </c>
      <c r="Z210" s="1146">
        <f t="shared" si="49"/>
        <v>9042.0185758513926</v>
      </c>
      <c r="AA210" s="1146">
        <f t="shared" si="50"/>
        <v>922.19144457393668</v>
      </c>
      <c r="AB210" s="1146">
        <f t="shared" si="51"/>
        <v>10840.363636363636</v>
      </c>
      <c r="AC210" s="1146">
        <f t="shared" si="52"/>
        <v>9042.0185758513926</v>
      </c>
      <c r="AD210" s="1146">
        <f t="shared" si="53"/>
        <v>1798.3450605122434</v>
      </c>
      <c r="AE210" s="1146">
        <f t="shared" si="54"/>
        <v>9632.0696864111505</v>
      </c>
      <c r="AF210" s="1146">
        <f t="shared" si="55"/>
        <v>9042.0185758513926</v>
      </c>
      <c r="AG210" s="1146">
        <f t="shared" si="56"/>
        <v>590.05111055975794</v>
      </c>
    </row>
    <row r="211" spans="2:33" ht="14.4">
      <c r="B211" s="1134">
        <v>8875004</v>
      </c>
      <c r="C211" s="1135"/>
      <c r="D211" s="1134">
        <v>557456</v>
      </c>
      <c r="E211" s="1136">
        <v>42086</v>
      </c>
      <c r="F211" s="1137">
        <v>36000</v>
      </c>
      <c r="G211" s="1134">
        <v>10</v>
      </c>
      <c r="H211" s="1137">
        <v>42000</v>
      </c>
      <c r="I211" s="1134">
        <v>16</v>
      </c>
      <c r="J211" s="1138">
        <v>5386</v>
      </c>
      <c r="K211" s="1139"/>
      <c r="L211" s="1140">
        <v>42109</v>
      </c>
      <c r="M211" s="269">
        <f t="shared" si="39"/>
        <v>2</v>
      </c>
      <c r="N211" s="1141">
        <v>250</v>
      </c>
      <c r="O211" s="1087">
        <f t="shared" si="40"/>
        <v>2679.30</v>
      </c>
      <c r="P211" s="269">
        <f t="shared" si="38"/>
        <v>1</v>
      </c>
      <c r="Q211" s="269" t="str">
        <f t="shared" si="41"/>
        <v/>
      </c>
      <c r="R211" s="1147"/>
      <c r="S211" s="1143" t="str">
        <f t="shared" si="42"/>
        <v>Upsize</v>
      </c>
      <c r="T211" s="1144">
        <f t="shared" si="43"/>
        <v>1909.7142857142856</v>
      </c>
      <c r="U211" s="1144">
        <f t="shared" si="44"/>
        <v>762</v>
      </c>
      <c r="V211" s="1146">
        <f t="shared" si="45"/>
        <v>10437.56883116883</v>
      </c>
      <c r="W211" s="1146">
        <f t="shared" si="46"/>
        <v>8778.1764705882342</v>
      </c>
      <c r="X211" s="1146">
        <f t="shared" si="47"/>
        <v>1659.3923605805958</v>
      </c>
      <c r="Y211" s="1146">
        <f t="shared" si="48"/>
        <v>8256.0597312095579</v>
      </c>
      <c r="Z211" s="1146">
        <f t="shared" si="49"/>
        <v>8778.1764705882342</v>
      </c>
      <c r="AA211" s="1146">
        <f t="shared" si="50"/>
        <v>-522.11673937867636</v>
      </c>
      <c r="AB211" s="1146">
        <f t="shared" si="51"/>
        <v>12177.163636363635</v>
      </c>
      <c r="AC211" s="1146">
        <f t="shared" si="52"/>
        <v>8778.1764705882342</v>
      </c>
      <c r="AD211" s="1146">
        <f t="shared" si="53"/>
        <v>3398.9871657754011</v>
      </c>
      <c r="AE211" s="1146">
        <f t="shared" si="54"/>
        <v>9632.0696864111505</v>
      </c>
      <c r="AF211" s="1146">
        <f t="shared" si="55"/>
        <v>8778.1764705882342</v>
      </c>
      <c r="AG211" s="1146">
        <f t="shared" si="56"/>
        <v>853.89321582291632</v>
      </c>
    </row>
    <row r="212" spans="2:33" ht="14.4">
      <c r="B212" s="1134">
        <v>8836838</v>
      </c>
      <c r="C212" s="1135"/>
      <c r="D212" s="1134">
        <v>173111</v>
      </c>
      <c r="E212" s="1136">
        <v>41927</v>
      </c>
      <c r="F212" s="1137">
        <v>60000</v>
      </c>
      <c r="G212" s="1134">
        <v>12</v>
      </c>
      <c r="H212" s="1137">
        <v>42500</v>
      </c>
      <c r="I212" s="1134">
        <v>15</v>
      </c>
      <c r="J212" s="1138">
        <v>3883</v>
      </c>
      <c r="K212" s="1139"/>
      <c r="L212" s="1140">
        <v>42109</v>
      </c>
      <c r="M212" s="269">
        <f t="shared" si="39"/>
        <v>2</v>
      </c>
      <c r="N212" s="1141">
        <v>250</v>
      </c>
      <c r="O212" s="1087">
        <f t="shared" si="40"/>
        <v>5954</v>
      </c>
      <c r="P212" s="269">
        <f t="shared" si="38"/>
        <v>1</v>
      </c>
      <c r="Q212" s="269" t="str">
        <f t="shared" si="41"/>
        <v/>
      </c>
      <c r="R212" s="1147"/>
      <c r="S212" s="1143" t="str">
        <f t="shared" si="42"/>
        <v>Downsize</v>
      </c>
      <c r="T212" s="1144">
        <f t="shared" si="43"/>
        <v>3145.4117647058824</v>
      </c>
      <c r="U212" s="1144">
        <f t="shared" si="44"/>
        <v>1255.0588235294119</v>
      </c>
      <c r="V212" s="1146">
        <f t="shared" si="45"/>
        <v>25506.73796791444</v>
      </c>
      <c r="W212" s="1146">
        <f t="shared" si="46"/>
        <v>15187.29411764706</v>
      </c>
      <c r="X212" s="1146">
        <f t="shared" si="47"/>
        <v>10319.44385026738</v>
      </c>
      <c r="Y212" s="1146">
        <f t="shared" si="48"/>
        <v>22663.693379790941</v>
      </c>
      <c r="Z212" s="1146">
        <f t="shared" si="49"/>
        <v>15187.29411764706</v>
      </c>
      <c r="AA212" s="1146">
        <f t="shared" si="50"/>
        <v>7476.3992621438811</v>
      </c>
      <c r="AB212" s="1146">
        <f t="shared" si="51"/>
        <v>18067.272727272728</v>
      </c>
      <c r="AC212" s="1146">
        <f t="shared" si="52"/>
        <v>15187.29411764706</v>
      </c>
      <c r="AD212" s="1146">
        <f t="shared" si="53"/>
        <v>2879.9786096256685</v>
      </c>
      <c r="AE212" s="1146">
        <f t="shared" si="54"/>
        <v>16053.449477351916</v>
      </c>
      <c r="AF212" s="1146">
        <f t="shared" si="55"/>
        <v>15187.29411764706</v>
      </c>
      <c r="AG212" s="1146">
        <f t="shared" si="56"/>
        <v>866.15535970485689</v>
      </c>
    </row>
    <row r="213" spans="2:33" ht="14.4">
      <c r="B213" s="1134">
        <v>7707888</v>
      </c>
      <c r="C213" s="1135"/>
      <c r="D213" s="1134">
        <v>195913</v>
      </c>
      <c r="E213" s="1136">
        <v>42062</v>
      </c>
      <c r="F213" s="1137">
        <v>36000</v>
      </c>
      <c r="G213" s="1134">
        <v>10</v>
      </c>
      <c r="H213" s="1137">
        <v>35000</v>
      </c>
      <c r="I213" s="1134">
        <v>16</v>
      </c>
      <c r="J213" s="1138">
        <v>9342</v>
      </c>
      <c r="K213" s="1139"/>
      <c r="L213" s="1140">
        <v>42109</v>
      </c>
      <c r="M213" s="269">
        <f t="shared" si="39"/>
        <v>2</v>
      </c>
      <c r="N213" s="1141">
        <v>225</v>
      </c>
      <c r="O213" s="1087">
        <f t="shared" si="40"/>
        <v>3881.55</v>
      </c>
      <c r="P213" s="269">
        <f t="shared" si="38"/>
        <v>1</v>
      </c>
      <c r="Q213" s="269" t="str">
        <f t="shared" si="41"/>
        <v/>
      </c>
      <c r="R213" s="1147"/>
      <c r="S213" s="1143" t="str">
        <f t="shared" si="42"/>
        <v>Downsize</v>
      </c>
      <c r="T213" s="1144">
        <f t="shared" si="43"/>
        <v>2291.6571428571428</v>
      </c>
      <c r="U213" s="1144">
        <f t="shared" si="44"/>
        <v>914.39999999999986</v>
      </c>
      <c r="V213" s="1146">
        <f t="shared" si="45"/>
        <v>12525.082597402598</v>
      </c>
      <c r="W213" s="1146">
        <f t="shared" si="46"/>
        <v>8778.1764705882342</v>
      </c>
      <c r="X213" s="1146">
        <f t="shared" si="47"/>
        <v>3746.9061268143632</v>
      </c>
      <c r="Y213" s="1146">
        <f t="shared" si="48"/>
        <v>9907.2716774514683</v>
      </c>
      <c r="Z213" s="1146">
        <f t="shared" si="49"/>
        <v>8778.1764705882342</v>
      </c>
      <c r="AA213" s="1146">
        <f t="shared" si="50"/>
        <v>1129.0952068632341</v>
      </c>
      <c r="AB213" s="1146">
        <f t="shared" si="51"/>
        <v>12177.163636363635</v>
      </c>
      <c r="AC213" s="1146">
        <f t="shared" si="52"/>
        <v>8778.1764705882342</v>
      </c>
      <c r="AD213" s="1146">
        <f t="shared" si="53"/>
        <v>3398.9871657754011</v>
      </c>
      <c r="AE213" s="1146">
        <f t="shared" si="54"/>
        <v>9632.0696864111487</v>
      </c>
      <c r="AF213" s="1146">
        <f t="shared" si="55"/>
        <v>8778.1764705882342</v>
      </c>
      <c r="AG213" s="1146">
        <f t="shared" si="56"/>
        <v>853.8932158229145</v>
      </c>
    </row>
    <row r="214" spans="2:33" ht="14.4">
      <c r="B214" s="1134">
        <v>909549</v>
      </c>
      <c r="C214" s="1135"/>
      <c r="D214" s="1134">
        <v>90954</v>
      </c>
      <c r="E214" s="1136">
        <v>42003</v>
      </c>
      <c r="F214" s="1137">
        <v>9600</v>
      </c>
      <c r="G214" s="1134">
        <v>8</v>
      </c>
      <c r="H214" s="1137">
        <v>46000</v>
      </c>
      <c r="I214" s="1134">
        <v>15</v>
      </c>
      <c r="J214" s="1138">
        <v>7779</v>
      </c>
      <c r="K214" s="1139"/>
      <c r="L214" s="1140">
        <v>42109</v>
      </c>
      <c r="M214" s="269">
        <f t="shared" si="39"/>
        <v>2</v>
      </c>
      <c r="N214" s="1141">
        <v>300</v>
      </c>
      <c r="O214" s="1087">
        <f t="shared" si="40"/>
        <v>-5129.6000000000004</v>
      </c>
      <c r="P214" s="269">
        <f t="shared" si="38"/>
        <v>1</v>
      </c>
      <c r="Q214" s="269" t="str">
        <f t="shared" si="41"/>
        <v/>
      </c>
      <c r="R214" s="1147"/>
      <c r="S214" s="1143" t="str">
        <f t="shared" si="42"/>
        <v>Upsize</v>
      </c>
      <c r="T214" s="1144">
        <f t="shared" si="43"/>
        <v>464.97391304347826</v>
      </c>
      <c r="U214" s="1144">
        <f t="shared" si="44"/>
        <v>185.53043478260869</v>
      </c>
      <c r="V214" s="1146">
        <f t="shared" si="45"/>
        <v>789.27936758893281</v>
      </c>
      <c r="W214" s="1146">
        <f t="shared" si="46"/>
        <v>2429.9670588235294</v>
      </c>
      <c r="X214" s="1146">
        <f t="shared" si="47"/>
        <v>-1640.6876912345965</v>
      </c>
      <c r="Y214" s="1146">
        <f t="shared" si="48"/>
        <v>536.0456173307075</v>
      </c>
      <c r="Z214" s="1146">
        <f t="shared" si="49"/>
        <v>2429.9670588235294</v>
      </c>
      <c r="AA214" s="1146">
        <f t="shared" si="50"/>
        <v>-1893.9214414928219</v>
      </c>
      <c r="AB214" s="1146">
        <f t="shared" si="51"/>
        <v>3781.9636363636364</v>
      </c>
      <c r="AC214" s="1146">
        <f t="shared" si="52"/>
        <v>2429.9670588235294</v>
      </c>
      <c r="AD214" s="1146">
        <f t="shared" si="53"/>
        <v>1351.996577540107</v>
      </c>
      <c r="AE214" s="1146">
        <f t="shared" si="54"/>
        <v>2568.5519163763065</v>
      </c>
      <c r="AF214" s="1146">
        <f t="shared" si="55"/>
        <v>2429.9670588235294</v>
      </c>
      <c r="AG214" s="1146">
        <f t="shared" si="56"/>
        <v>138.58485755277707</v>
      </c>
    </row>
    <row r="215" spans="2:33" ht="14.4">
      <c r="B215" s="1134">
        <v>3447729</v>
      </c>
      <c r="C215" s="1135"/>
      <c r="D215" s="1134">
        <v>344772</v>
      </c>
      <c r="E215" s="1136">
        <v>5387</v>
      </c>
      <c r="F215" s="1137">
        <v>36000</v>
      </c>
      <c r="G215" s="1134">
        <v>10</v>
      </c>
      <c r="H215" s="1137">
        <v>34200</v>
      </c>
      <c r="I215" s="1134">
        <v>15</v>
      </c>
      <c r="J215" s="1138">
        <v>5387</v>
      </c>
      <c r="K215" s="1139"/>
      <c r="L215" s="1140">
        <v>42109</v>
      </c>
      <c r="M215" s="269">
        <f t="shared" si="39"/>
        <v>2</v>
      </c>
      <c r="N215" s="1141">
        <v>175</v>
      </c>
      <c r="O215" s="1087">
        <f t="shared" si="40"/>
        <v>3627.36</v>
      </c>
      <c r="P215" s="269">
        <f t="shared" si="38"/>
        <v>1</v>
      </c>
      <c r="Q215" s="269" t="str">
        <f t="shared" si="41"/>
        <v/>
      </c>
      <c r="R215" s="1147"/>
      <c r="S215" s="1143" t="str">
        <f t="shared" si="42"/>
        <v>Downsize</v>
      </c>
      <c r="T215" s="1144">
        <f t="shared" si="43"/>
        <v>2345.2631578947367</v>
      </c>
      <c r="U215" s="1144">
        <f t="shared" si="44"/>
        <v>935.78947368421052</v>
      </c>
      <c r="V215" s="1146">
        <f t="shared" si="45"/>
        <v>12818.066985645934</v>
      </c>
      <c r="W215" s="1146">
        <f t="shared" si="46"/>
        <v>9112.3764705882368</v>
      </c>
      <c r="X215" s="1146">
        <f t="shared" si="47"/>
        <v>3705.6905150576968</v>
      </c>
      <c r="Y215" s="1146">
        <f t="shared" si="48"/>
        <v>10139.020722538051</v>
      </c>
      <c r="Z215" s="1146">
        <f t="shared" si="49"/>
        <v>9112.3764705882368</v>
      </c>
      <c r="AA215" s="1146">
        <f t="shared" si="50"/>
        <v>1026.6442519498141</v>
      </c>
      <c r="AB215" s="1146">
        <f t="shared" si="51"/>
        <v>12177.163636363637</v>
      </c>
      <c r="AC215" s="1146">
        <f t="shared" si="52"/>
        <v>9112.3764705882368</v>
      </c>
      <c r="AD215" s="1146">
        <f t="shared" si="53"/>
        <v>3064.7871657754004</v>
      </c>
      <c r="AE215" s="1146">
        <f t="shared" si="54"/>
        <v>9632.0696864111487</v>
      </c>
      <c r="AF215" s="1146">
        <f t="shared" si="55"/>
        <v>9112.3764705882368</v>
      </c>
      <c r="AG215" s="1146">
        <f t="shared" si="56"/>
        <v>519.69321582291195</v>
      </c>
    </row>
    <row r="216" spans="2:33" ht="14.4">
      <c r="B216" s="1134">
        <v>1343847</v>
      </c>
      <c r="C216" s="1135"/>
      <c r="D216" s="1134">
        <v>134384</v>
      </c>
      <c r="E216" s="1136">
        <v>42060</v>
      </c>
      <c r="F216" s="1137">
        <v>48000</v>
      </c>
      <c r="G216" s="1134">
        <v>10</v>
      </c>
      <c r="H216" s="1137">
        <v>53000</v>
      </c>
      <c r="I216" s="1134">
        <v>18</v>
      </c>
      <c r="J216" s="1138">
        <v>13324</v>
      </c>
      <c r="K216" s="1139"/>
      <c r="L216" s="1140">
        <v>42109</v>
      </c>
      <c r="M216" s="269">
        <f t="shared" si="39"/>
        <v>2</v>
      </c>
      <c r="N216" s="1141">
        <v>350</v>
      </c>
      <c r="O216" s="1087">
        <f t="shared" si="40"/>
        <v>5099.0666666666675</v>
      </c>
      <c r="P216" s="269">
        <f t="shared" si="38"/>
        <v>1</v>
      </c>
      <c r="Q216" s="269" t="str">
        <f t="shared" si="41"/>
        <v/>
      </c>
      <c r="R216" s="1147"/>
      <c r="S216" s="1143" t="str">
        <f t="shared" si="42"/>
        <v>Upsize</v>
      </c>
      <c r="T216" s="1144">
        <f t="shared" si="43"/>
        <v>2017.8113207547169</v>
      </c>
      <c r="U216" s="1144">
        <f t="shared" si="44"/>
        <v>805.13207547169816</v>
      </c>
      <c r="V216" s="1146">
        <f t="shared" si="45"/>
        <v>14704.499485420241</v>
      </c>
      <c r="W216" s="1146">
        <f t="shared" si="46"/>
        <v>10961.568627450979</v>
      </c>
      <c r="X216" s="1146">
        <f t="shared" si="47"/>
        <v>3742.9308579692624</v>
      </c>
      <c r="Y216" s="1146">
        <f t="shared" si="48"/>
        <v>11631.178489251201</v>
      </c>
      <c r="Z216" s="1146">
        <f t="shared" si="49"/>
        <v>10961.568627450979</v>
      </c>
      <c r="AA216" s="1146">
        <f t="shared" si="50"/>
        <v>669.60986180022155</v>
      </c>
      <c r="AB216" s="1146">
        <f t="shared" si="51"/>
        <v>16236.218181818183</v>
      </c>
      <c r="AC216" s="1146">
        <f t="shared" si="52"/>
        <v>10961.568627450979</v>
      </c>
      <c r="AD216" s="1146">
        <f t="shared" si="53"/>
        <v>5274.6495543672045</v>
      </c>
      <c r="AE216" s="1146">
        <f t="shared" si="54"/>
        <v>12842.759581881533</v>
      </c>
      <c r="AF216" s="1146">
        <f t="shared" si="55"/>
        <v>10961.568627450979</v>
      </c>
      <c r="AG216" s="1146">
        <f t="shared" si="56"/>
        <v>1881.1909544305545</v>
      </c>
    </row>
    <row r="217" spans="2:33" ht="14.4">
      <c r="B217" s="1134">
        <v>4684726</v>
      </c>
      <c r="C217" s="1135"/>
      <c r="D217" s="1134">
        <v>118219</v>
      </c>
      <c r="E217" s="1136">
        <v>42075</v>
      </c>
      <c r="F217" s="1137">
        <v>42000</v>
      </c>
      <c r="G217" s="1134">
        <v>8</v>
      </c>
      <c r="H217" s="1137">
        <v>40000</v>
      </c>
      <c r="I217" s="1134">
        <v>15</v>
      </c>
      <c r="J217" s="1138">
        <v>5500</v>
      </c>
      <c r="K217" s="1139"/>
      <c r="L217" s="1140">
        <v>42109</v>
      </c>
      <c r="M217" s="269">
        <f t="shared" si="39"/>
        <v>2</v>
      </c>
      <c r="N217" s="1141">
        <v>225</v>
      </c>
      <c r="O217" s="1087">
        <f t="shared" si="40"/>
        <v>7099.0000000000009</v>
      </c>
      <c r="P217" s="269">
        <f t="shared" si="38"/>
        <v>1</v>
      </c>
      <c r="Q217" s="269" t="str">
        <f t="shared" si="41"/>
        <v/>
      </c>
      <c r="R217" s="1147"/>
      <c r="S217" s="1143" t="str">
        <f t="shared" si="42"/>
        <v>Downsize</v>
      </c>
      <c r="T217" s="1144">
        <f t="shared" si="43"/>
        <v>2339.40</v>
      </c>
      <c r="U217" s="1144">
        <f t="shared" si="44"/>
        <v>933.45</v>
      </c>
      <c r="V217" s="1146">
        <f t="shared" si="45"/>
        <v>17373.395454545454</v>
      </c>
      <c r="W217" s="1146">
        <f t="shared" si="46"/>
        <v>10631.105882352942</v>
      </c>
      <c r="X217" s="1146">
        <f t="shared" si="47"/>
        <v>6742.2895721925124</v>
      </c>
      <c r="Y217" s="1146">
        <f t="shared" si="48"/>
        <v>11799.285365853659</v>
      </c>
      <c r="Z217" s="1146">
        <f t="shared" si="49"/>
        <v>10631.105882352942</v>
      </c>
      <c r="AA217" s="1146">
        <f t="shared" si="50"/>
        <v>1168.1794835007167</v>
      </c>
      <c r="AB217" s="1146">
        <f t="shared" si="51"/>
        <v>16546.090909090912</v>
      </c>
      <c r="AC217" s="1146">
        <f t="shared" si="52"/>
        <v>10631.105882352942</v>
      </c>
      <c r="AD217" s="1146">
        <f t="shared" si="53"/>
        <v>5914.9850267379697</v>
      </c>
      <c r="AE217" s="1146">
        <f t="shared" si="54"/>
        <v>11237.414634146342</v>
      </c>
      <c r="AF217" s="1146">
        <f t="shared" si="55"/>
        <v>10631.105882352942</v>
      </c>
      <c r="AG217" s="1146">
        <f t="shared" si="56"/>
        <v>606.30875179340001</v>
      </c>
    </row>
    <row r="218" spans="2:33" ht="14.4">
      <c r="B218" s="1134">
        <v>7747181</v>
      </c>
      <c r="C218" s="1135"/>
      <c r="D218" s="1134">
        <v>187043</v>
      </c>
      <c r="E218" s="1136">
        <v>42086</v>
      </c>
      <c r="F218" s="1137">
        <v>24000</v>
      </c>
      <c r="G218" s="1134">
        <v>10</v>
      </c>
      <c r="H218" s="1137">
        <v>24000</v>
      </c>
      <c r="I218" s="1134">
        <v>15.20</v>
      </c>
      <c r="J218" s="1138">
        <v>4733</v>
      </c>
      <c r="K218" s="1139"/>
      <c r="L218" s="1140">
        <v>42110</v>
      </c>
      <c r="M218" s="269">
        <f t="shared" si="39"/>
        <v>2</v>
      </c>
      <c r="N218" s="1141">
        <v>125</v>
      </c>
      <c r="O218" s="1087">
        <f t="shared" si="40"/>
        <v>2256.2526315789473</v>
      </c>
      <c r="P218" s="269">
        <f t="shared" si="38"/>
        <v>1</v>
      </c>
      <c r="Q218" s="269" t="str">
        <f t="shared" si="41"/>
        <v/>
      </c>
      <c r="R218" s="1147"/>
      <c r="S218" s="1143" t="str">
        <f t="shared" si="42"/>
        <v>Same Size</v>
      </c>
      <c r="T218" s="1144">
        <f t="shared" si="43"/>
        <v>2228</v>
      </c>
      <c r="U218" s="1144">
        <f t="shared" si="44"/>
        <v>889</v>
      </c>
      <c r="V218" s="1146">
        <f t="shared" si="45"/>
        <v>8118.1090909090908</v>
      </c>
      <c r="W218" s="1146">
        <f t="shared" si="46"/>
        <v>6028.0123839009293</v>
      </c>
      <c r="X218" s="1146">
        <f t="shared" si="47"/>
        <v>2090.0967070081615</v>
      </c>
      <c r="Y218" s="1146">
        <f t="shared" si="48"/>
        <v>6421.3797909407658</v>
      </c>
      <c r="Z218" s="1146">
        <f t="shared" si="49"/>
        <v>6028.0123839009293</v>
      </c>
      <c r="AA218" s="1146">
        <f t="shared" si="50"/>
        <v>393.36740703983651</v>
      </c>
      <c r="AB218" s="1146">
        <f t="shared" si="51"/>
        <v>8118.1090909090908</v>
      </c>
      <c r="AC218" s="1146">
        <f t="shared" si="52"/>
        <v>6028.0123839009293</v>
      </c>
      <c r="AD218" s="1146">
        <f t="shared" si="53"/>
        <v>2090.0967070081615</v>
      </c>
      <c r="AE218" s="1146">
        <f t="shared" si="54"/>
        <v>6421.3797909407658</v>
      </c>
      <c r="AF218" s="1146">
        <f t="shared" si="55"/>
        <v>6028.0123839009293</v>
      </c>
      <c r="AG218" s="1146">
        <f t="shared" si="56"/>
        <v>393.36740703983651</v>
      </c>
    </row>
    <row r="219" spans="2:33" ht="14.4">
      <c r="B219" s="1134">
        <v>8917126</v>
      </c>
      <c r="C219" s="1135"/>
      <c r="D219" s="1134">
        <v>327673</v>
      </c>
      <c r="E219" s="1136">
        <v>42041</v>
      </c>
      <c r="F219" s="1137">
        <v>30000</v>
      </c>
      <c r="G219" s="1134">
        <v>8</v>
      </c>
      <c r="H219" s="1137">
        <v>28000</v>
      </c>
      <c r="I219" s="1134">
        <v>15</v>
      </c>
      <c r="J219" s="1138">
        <v>4261</v>
      </c>
      <c r="K219" s="1139"/>
      <c r="L219" s="1140">
        <v>42110</v>
      </c>
      <c r="M219" s="269">
        <f t="shared" si="39"/>
        <v>2</v>
      </c>
      <c r="N219" s="1141">
        <v>150</v>
      </c>
      <c r="O219" s="1087">
        <f t="shared" si="40"/>
        <v>5175.4000000000005</v>
      </c>
      <c r="P219" s="269">
        <f t="shared" si="57" ref="P219:P282">IF(L219&gt;0,1,"")</f>
        <v>1</v>
      </c>
      <c r="Q219" s="269" t="str">
        <f t="shared" si="41"/>
        <v/>
      </c>
      <c r="R219" s="1147"/>
      <c r="S219" s="1143" t="str">
        <f t="shared" si="42"/>
        <v>Downsize</v>
      </c>
      <c r="T219" s="1144">
        <f t="shared" si="43"/>
        <v>2387.1428571428569</v>
      </c>
      <c r="U219" s="1144">
        <f t="shared" si="44"/>
        <v>952.50</v>
      </c>
      <c r="V219" s="1146">
        <f t="shared" si="45"/>
        <v>12662.824675324675</v>
      </c>
      <c r="W219" s="1146">
        <f t="shared" si="46"/>
        <v>7593.6470588235297</v>
      </c>
      <c r="X219" s="1146">
        <f t="shared" si="47"/>
        <v>5069.1776165011452</v>
      </c>
      <c r="Y219" s="1146">
        <f t="shared" si="48"/>
        <v>8600.0622200099533</v>
      </c>
      <c r="Z219" s="1146">
        <f t="shared" si="49"/>
        <v>7593.6470588235297</v>
      </c>
      <c r="AA219" s="1146">
        <f t="shared" si="50"/>
        <v>1006.4151611864236</v>
      </c>
      <c r="AB219" s="1146">
        <f t="shared" si="51"/>
        <v>11818.636363636362</v>
      </c>
      <c r="AC219" s="1146">
        <f t="shared" si="52"/>
        <v>7593.6470588235297</v>
      </c>
      <c r="AD219" s="1146">
        <f t="shared" si="53"/>
        <v>4224.9893048128324</v>
      </c>
      <c r="AE219" s="1146">
        <f t="shared" si="54"/>
        <v>8026.7247386759573</v>
      </c>
      <c r="AF219" s="1146">
        <f t="shared" si="55"/>
        <v>7593.6470588235297</v>
      </c>
      <c r="AG219" s="1146">
        <f t="shared" si="56"/>
        <v>433.07767985242754</v>
      </c>
    </row>
    <row r="220" spans="2:33" ht="14.4">
      <c r="B220" s="1134">
        <v>4280079</v>
      </c>
      <c r="C220" s="1135"/>
      <c r="D220" s="1134">
        <v>219347</v>
      </c>
      <c r="E220" s="1136">
        <v>42065</v>
      </c>
      <c r="F220" s="1137">
        <v>48000</v>
      </c>
      <c r="G220" s="1134">
        <v>10</v>
      </c>
      <c r="H220" s="1137">
        <v>47500</v>
      </c>
      <c r="I220" s="1134">
        <v>15</v>
      </c>
      <c r="J220" s="1138">
        <v>5275</v>
      </c>
      <c r="K220" s="1139"/>
      <c r="L220" s="1140">
        <v>42110</v>
      </c>
      <c r="M220" s="269">
        <f t="shared" si="39"/>
        <v>2</v>
      </c>
      <c r="N220" s="1141">
        <v>250</v>
      </c>
      <c r="O220" s="1087">
        <f t="shared" si="40"/>
        <v>4488.4000000000005</v>
      </c>
      <c r="P220" s="269">
        <f t="shared" si="57"/>
        <v>1</v>
      </c>
      <c r="Q220" s="269" t="str">
        <f t="shared" si="41"/>
        <v/>
      </c>
      <c r="R220" s="1147"/>
      <c r="S220" s="1143" t="str">
        <f t="shared" si="42"/>
        <v>Downsize</v>
      </c>
      <c r="T220" s="1144">
        <f t="shared" si="43"/>
        <v>2251.4526315789476</v>
      </c>
      <c r="U220" s="1144">
        <f t="shared" si="44"/>
        <v>898.35789473684213</v>
      </c>
      <c r="V220" s="1146">
        <f t="shared" si="45"/>
        <v>16407.125741626798</v>
      </c>
      <c r="W220" s="1146">
        <f t="shared" si="46"/>
        <v>12149.835294117649</v>
      </c>
      <c r="X220" s="1146">
        <f t="shared" si="47"/>
        <v>4257.2904475091491</v>
      </c>
      <c r="Y220" s="1146">
        <f t="shared" si="48"/>
        <v>12977.946524848709</v>
      </c>
      <c r="Z220" s="1146">
        <f t="shared" si="49"/>
        <v>12149.835294117649</v>
      </c>
      <c r="AA220" s="1146">
        <f t="shared" si="50"/>
        <v>828.11123073105955</v>
      </c>
      <c r="AB220" s="1146">
        <f t="shared" si="51"/>
        <v>16236.218181818183</v>
      </c>
      <c r="AC220" s="1146">
        <f t="shared" si="52"/>
        <v>12149.835294117649</v>
      </c>
      <c r="AD220" s="1146">
        <f t="shared" si="53"/>
        <v>4086.3828877005344</v>
      </c>
      <c r="AE220" s="1146">
        <f t="shared" si="54"/>
        <v>12842.759581881535</v>
      </c>
      <c r="AF220" s="1146">
        <f t="shared" si="55"/>
        <v>12149.835294117649</v>
      </c>
      <c r="AG220" s="1146">
        <f t="shared" si="56"/>
        <v>692.92428776388624</v>
      </c>
    </row>
    <row r="221" spans="2:33" ht="14.4">
      <c r="B221" s="1134">
        <v>1408756</v>
      </c>
      <c r="C221" s="1135"/>
      <c r="D221" s="1134">
        <v>140875</v>
      </c>
      <c r="E221" s="1136">
        <v>42066</v>
      </c>
      <c r="F221" s="1137">
        <v>24000</v>
      </c>
      <c r="G221" s="1134">
        <v>10</v>
      </c>
      <c r="H221" s="1137">
        <v>24000</v>
      </c>
      <c r="I221" s="1134">
        <v>15</v>
      </c>
      <c r="J221" s="1138">
        <v>5470</v>
      </c>
      <c r="K221" s="1139"/>
      <c r="L221" s="1140">
        <v>42114</v>
      </c>
      <c r="M221" s="269">
        <f t="shared" si="39"/>
        <v>2</v>
      </c>
      <c r="N221" s="1141">
        <v>125</v>
      </c>
      <c r="O221" s="1087">
        <f t="shared" si="40"/>
        <v>2198.40</v>
      </c>
      <c r="P221" s="269">
        <f t="shared" si="57"/>
        <v>1</v>
      </c>
      <c r="Q221" s="269" t="str">
        <f t="shared" si="41"/>
        <v/>
      </c>
      <c r="R221" s="1147"/>
      <c r="S221" s="1143" t="str">
        <f t="shared" si="42"/>
        <v>Same Size</v>
      </c>
      <c r="T221" s="1144">
        <f t="shared" si="43"/>
        <v>2228</v>
      </c>
      <c r="U221" s="1144">
        <f t="shared" si="44"/>
        <v>889</v>
      </c>
      <c r="V221" s="1146">
        <f t="shared" si="45"/>
        <v>8118.1090909090908</v>
      </c>
      <c r="W221" s="1146">
        <f t="shared" si="46"/>
        <v>6074.9176470588236</v>
      </c>
      <c r="X221" s="1146">
        <f t="shared" si="47"/>
        <v>2043.1914438502672</v>
      </c>
      <c r="Y221" s="1146">
        <f t="shared" si="48"/>
        <v>6421.3797909407658</v>
      </c>
      <c r="Z221" s="1146">
        <f t="shared" si="49"/>
        <v>6074.9176470588236</v>
      </c>
      <c r="AA221" s="1146">
        <f t="shared" si="50"/>
        <v>346.46214388194221</v>
      </c>
      <c r="AB221" s="1146">
        <f t="shared" si="51"/>
        <v>8118.1090909090908</v>
      </c>
      <c r="AC221" s="1146">
        <f t="shared" si="52"/>
        <v>6074.9176470588236</v>
      </c>
      <c r="AD221" s="1146">
        <f t="shared" si="53"/>
        <v>2043.1914438502672</v>
      </c>
      <c r="AE221" s="1146">
        <f t="shared" si="54"/>
        <v>6421.3797909407658</v>
      </c>
      <c r="AF221" s="1146">
        <f t="shared" si="55"/>
        <v>6074.9176470588236</v>
      </c>
      <c r="AG221" s="1146">
        <f t="shared" si="56"/>
        <v>346.46214388194221</v>
      </c>
    </row>
    <row r="222" spans="2:33" ht="14.4">
      <c r="B222" s="1134">
        <v>1868207</v>
      </c>
      <c r="C222" s="1135"/>
      <c r="D222" s="1134">
        <v>186820</v>
      </c>
      <c r="E222" s="1136">
        <v>42073</v>
      </c>
      <c r="F222" s="1137">
        <v>48000</v>
      </c>
      <c r="G222" s="1134">
        <v>10</v>
      </c>
      <c r="H222" s="1137">
        <v>48000</v>
      </c>
      <c r="I222" s="1134">
        <v>20.50</v>
      </c>
      <c r="J222" s="1138">
        <v>17770</v>
      </c>
      <c r="K222" s="1139"/>
      <c r="L222" s="1140">
        <v>42114</v>
      </c>
      <c r="M222" s="269">
        <f t="shared" si="39"/>
        <v>2</v>
      </c>
      <c r="N222" s="1141">
        <v>400</v>
      </c>
      <c r="O222" s="1087">
        <f t="shared" si="40"/>
        <v>6756.0585365853667</v>
      </c>
      <c r="P222" s="269">
        <f t="shared" si="57"/>
        <v>1</v>
      </c>
      <c r="Q222" s="269" t="str">
        <f t="shared" si="41"/>
        <v/>
      </c>
      <c r="R222" s="1147"/>
      <c r="S222" s="1143" t="str">
        <f t="shared" si="42"/>
        <v>Same Size</v>
      </c>
      <c r="T222" s="1144">
        <f t="shared" si="43"/>
        <v>2228</v>
      </c>
      <c r="U222" s="1144">
        <f t="shared" si="44"/>
        <v>889</v>
      </c>
      <c r="V222" s="1146">
        <f t="shared" si="45"/>
        <v>16236.218181818182</v>
      </c>
      <c r="W222" s="1146">
        <f t="shared" si="46"/>
        <v>10237.015781922526</v>
      </c>
      <c r="X222" s="1146">
        <f t="shared" si="47"/>
        <v>5999.2023998956556</v>
      </c>
      <c r="Y222" s="1146">
        <f t="shared" si="48"/>
        <v>12842.759581881532</v>
      </c>
      <c r="Z222" s="1146">
        <f t="shared" si="49"/>
        <v>10237.015781922526</v>
      </c>
      <c r="AA222" s="1146">
        <f t="shared" si="50"/>
        <v>2605.7437999590056</v>
      </c>
      <c r="AB222" s="1146">
        <f t="shared" si="51"/>
        <v>16236.218181818182</v>
      </c>
      <c r="AC222" s="1146">
        <f t="shared" si="52"/>
        <v>10237.015781922526</v>
      </c>
      <c r="AD222" s="1146">
        <f t="shared" si="53"/>
        <v>5999.2023998956556</v>
      </c>
      <c r="AE222" s="1146">
        <f t="shared" si="54"/>
        <v>12842.759581881532</v>
      </c>
      <c r="AF222" s="1146">
        <f t="shared" si="55"/>
        <v>10237.015781922526</v>
      </c>
      <c r="AG222" s="1146">
        <f t="shared" si="56"/>
        <v>2605.7437999590056</v>
      </c>
    </row>
    <row r="223" spans="2:33" ht="14.4">
      <c r="B223" s="1134">
        <v>976118</v>
      </c>
      <c r="C223" s="1135"/>
      <c r="D223" s="1134">
        <v>97811</v>
      </c>
      <c r="E223" s="1136">
        <v>42024</v>
      </c>
      <c r="F223" s="1137">
        <v>48000</v>
      </c>
      <c r="G223" s="1134">
        <v>10</v>
      </c>
      <c r="H223" s="1137">
        <v>48000</v>
      </c>
      <c r="I223" s="1134">
        <v>16</v>
      </c>
      <c r="J223" s="1138">
        <v>8395</v>
      </c>
      <c r="K223" s="1139"/>
      <c r="L223" s="1140">
        <v>42114</v>
      </c>
      <c r="M223" s="269">
        <f t="shared" si="39"/>
        <v>2</v>
      </c>
      <c r="N223" s="1141">
        <v>300</v>
      </c>
      <c r="O223" s="1087">
        <f t="shared" si="40"/>
        <v>4946.4000000000005</v>
      </c>
      <c r="P223" s="269">
        <f t="shared" si="57"/>
        <v>1</v>
      </c>
      <c r="Q223" s="269" t="str">
        <f t="shared" si="41"/>
        <v/>
      </c>
      <c r="R223" s="1147"/>
      <c r="S223" s="1143" t="str">
        <f t="shared" si="42"/>
        <v>Same Size</v>
      </c>
      <c r="T223" s="1144">
        <f t="shared" si="43"/>
        <v>2228</v>
      </c>
      <c r="U223" s="1144">
        <f t="shared" si="44"/>
        <v>889</v>
      </c>
      <c r="V223" s="1146">
        <f t="shared" si="45"/>
        <v>16236.218181818182</v>
      </c>
      <c r="W223" s="1146">
        <f t="shared" si="46"/>
        <v>11704.235294117647</v>
      </c>
      <c r="X223" s="1146">
        <f t="shared" si="47"/>
        <v>4531.9828877005348</v>
      </c>
      <c r="Y223" s="1146">
        <f t="shared" si="48"/>
        <v>12842.759581881532</v>
      </c>
      <c r="Z223" s="1146">
        <f t="shared" si="49"/>
        <v>11704.235294117647</v>
      </c>
      <c r="AA223" s="1146">
        <f t="shared" si="50"/>
        <v>1138.5242877638848</v>
      </c>
      <c r="AB223" s="1146">
        <f t="shared" si="51"/>
        <v>16236.218181818182</v>
      </c>
      <c r="AC223" s="1146">
        <f t="shared" si="52"/>
        <v>11704.235294117647</v>
      </c>
      <c r="AD223" s="1146">
        <f t="shared" si="53"/>
        <v>4531.9828877005348</v>
      </c>
      <c r="AE223" s="1146">
        <f t="shared" si="54"/>
        <v>12842.759581881532</v>
      </c>
      <c r="AF223" s="1146">
        <f t="shared" si="55"/>
        <v>11704.235294117647</v>
      </c>
      <c r="AG223" s="1146">
        <f t="shared" si="56"/>
        <v>1138.5242877638848</v>
      </c>
    </row>
    <row r="224" spans="2:33" ht="14.4">
      <c r="B224" s="1134">
        <v>4560561</v>
      </c>
      <c r="C224" s="1135"/>
      <c r="D224" s="1134">
        <v>456056</v>
      </c>
      <c r="E224" s="1136">
        <v>42086</v>
      </c>
      <c r="F224" s="1137">
        <v>36000</v>
      </c>
      <c r="G224" s="1134">
        <v>10</v>
      </c>
      <c r="H224" s="1137">
        <v>41500</v>
      </c>
      <c r="I224" s="1134">
        <v>15</v>
      </c>
      <c r="J224" s="1138">
        <v>6432</v>
      </c>
      <c r="K224" s="1139"/>
      <c r="L224" s="1140">
        <v>42115</v>
      </c>
      <c r="M224" s="269">
        <f t="shared" si="39"/>
        <v>2</v>
      </c>
      <c r="N224" s="1141">
        <v>225</v>
      </c>
      <c r="O224" s="1087">
        <f t="shared" si="40"/>
        <v>2290.0000000000005</v>
      </c>
      <c r="P224" s="269">
        <f t="shared" si="57"/>
        <v>1</v>
      </c>
      <c r="Q224" s="269" t="str">
        <f t="shared" si="41"/>
        <v/>
      </c>
      <c r="R224" s="1147"/>
      <c r="S224" s="1143" t="str">
        <f t="shared" si="42"/>
        <v>Upsize</v>
      </c>
      <c r="T224" s="1144">
        <f t="shared" si="43"/>
        <v>1932.7228915662652</v>
      </c>
      <c r="U224" s="1144">
        <f t="shared" si="44"/>
        <v>771.18072289156623</v>
      </c>
      <c r="V224" s="1146">
        <f t="shared" si="45"/>
        <v>10563.322672508213</v>
      </c>
      <c r="W224" s="1146">
        <f t="shared" si="46"/>
        <v>9112.376470588235</v>
      </c>
      <c r="X224" s="1146">
        <f t="shared" si="47"/>
        <v>1450.9462019199782</v>
      </c>
      <c r="Y224" s="1146">
        <f t="shared" si="48"/>
        <v>8355.5303303807577</v>
      </c>
      <c r="Z224" s="1146">
        <f t="shared" si="49"/>
        <v>9112.376470588235</v>
      </c>
      <c r="AA224" s="1146">
        <f t="shared" si="50"/>
        <v>-756.84614020747722</v>
      </c>
      <c r="AB224" s="1146">
        <f t="shared" si="51"/>
        <v>12177.163636363635</v>
      </c>
      <c r="AC224" s="1146">
        <f t="shared" si="52"/>
        <v>9112.376470588235</v>
      </c>
      <c r="AD224" s="1146">
        <f t="shared" si="53"/>
        <v>3064.7871657754004</v>
      </c>
      <c r="AE224" s="1146">
        <f t="shared" si="54"/>
        <v>9632.0696864111524</v>
      </c>
      <c r="AF224" s="1146">
        <f t="shared" si="55"/>
        <v>9112.376470588235</v>
      </c>
      <c r="AG224" s="1146">
        <f t="shared" si="56"/>
        <v>519.69321582291741</v>
      </c>
    </row>
    <row r="225" spans="2:33" ht="14.4">
      <c r="B225" s="1134">
        <v>4560561</v>
      </c>
      <c r="C225" s="1135"/>
      <c r="D225" s="1134">
        <v>456056</v>
      </c>
      <c r="E225" s="1136">
        <v>42086</v>
      </c>
      <c r="F225" s="1137">
        <v>24000</v>
      </c>
      <c r="G225" s="1134">
        <v>10</v>
      </c>
      <c r="H225" s="1137">
        <v>24000</v>
      </c>
      <c r="I225" s="1134">
        <v>15</v>
      </c>
      <c r="J225" s="1138">
        <v>2757</v>
      </c>
      <c r="K225" s="1139"/>
      <c r="L225" s="1140">
        <v>42115</v>
      </c>
      <c r="M225" s="269">
        <f t="shared" si="39"/>
        <v>2</v>
      </c>
      <c r="N225" s="1141">
        <v>125</v>
      </c>
      <c r="O225" s="1087">
        <f t="shared" si="40"/>
        <v>2198.40</v>
      </c>
      <c r="P225" s="269">
        <f t="shared" si="57"/>
        <v>1</v>
      </c>
      <c r="Q225" s="269" t="str">
        <f t="shared" si="41"/>
        <v/>
      </c>
      <c r="R225" s="1147"/>
      <c r="S225" s="1143" t="str">
        <f t="shared" si="42"/>
        <v>Same Size</v>
      </c>
      <c r="T225" s="1144">
        <f t="shared" si="43"/>
        <v>2228</v>
      </c>
      <c r="U225" s="1144">
        <f t="shared" si="44"/>
        <v>889</v>
      </c>
      <c r="V225" s="1146">
        <f t="shared" si="45"/>
        <v>8118.1090909090908</v>
      </c>
      <c r="W225" s="1146">
        <f t="shared" si="46"/>
        <v>6074.9176470588236</v>
      </c>
      <c r="X225" s="1146">
        <f t="shared" si="47"/>
        <v>2043.1914438502672</v>
      </c>
      <c r="Y225" s="1146">
        <f t="shared" si="48"/>
        <v>6421.3797909407658</v>
      </c>
      <c r="Z225" s="1146">
        <f t="shared" si="49"/>
        <v>6074.9176470588236</v>
      </c>
      <c r="AA225" s="1146">
        <f t="shared" si="50"/>
        <v>346.46214388194221</v>
      </c>
      <c r="AB225" s="1146">
        <f t="shared" si="51"/>
        <v>8118.1090909090908</v>
      </c>
      <c r="AC225" s="1146">
        <f t="shared" si="52"/>
        <v>6074.9176470588236</v>
      </c>
      <c r="AD225" s="1146">
        <f t="shared" si="53"/>
        <v>2043.1914438502672</v>
      </c>
      <c r="AE225" s="1146">
        <f t="shared" si="54"/>
        <v>6421.3797909407658</v>
      </c>
      <c r="AF225" s="1146">
        <f t="shared" si="55"/>
        <v>6074.9176470588236</v>
      </c>
      <c r="AG225" s="1146">
        <f t="shared" si="56"/>
        <v>346.46214388194221</v>
      </c>
    </row>
    <row r="226" spans="2:33" ht="14.4">
      <c r="B226" s="1134">
        <v>1815232</v>
      </c>
      <c r="C226" s="1135"/>
      <c r="D226" s="1134">
        <v>181523</v>
      </c>
      <c r="E226" s="1136">
        <v>42083</v>
      </c>
      <c r="F226" s="1137">
        <v>30000</v>
      </c>
      <c r="G226" s="1134">
        <v>9</v>
      </c>
      <c r="H226" s="1137">
        <v>30000</v>
      </c>
      <c r="I226" s="1134">
        <v>15</v>
      </c>
      <c r="J226" s="1138">
        <v>4800</v>
      </c>
      <c r="K226" s="1139"/>
      <c r="L226" s="1140">
        <v>42115</v>
      </c>
      <c r="M226" s="269">
        <f t="shared" si="39"/>
        <v>2</v>
      </c>
      <c r="N226" s="1141">
        <v>150</v>
      </c>
      <c r="O226" s="1087">
        <f t="shared" si="40"/>
        <v>3664.0000000000009</v>
      </c>
      <c r="P226" s="269">
        <f t="shared" si="57"/>
        <v>1</v>
      </c>
      <c r="Q226" s="269" t="str">
        <f t="shared" si="41"/>
        <v/>
      </c>
      <c r="R226" s="1147"/>
      <c r="S226" s="1143" t="str">
        <f t="shared" si="42"/>
        <v>Same Size</v>
      </c>
      <c r="T226" s="1144">
        <f t="shared" si="43"/>
        <v>2228</v>
      </c>
      <c r="U226" s="1144">
        <f t="shared" si="44"/>
        <v>889</v>
      </c>
      <c r="V226" s="1146">
        <f t="shared" si="45"/>
        <v>10890.30303030303</v>
      </c>
      <c r="W226" s="1146">
        <f t="shared" si="46"/>
        <v>7593.6470588235297</v>
      </c>
      <c r="X226" s="1146">
        <f t="shared" si="47"/>
        <v>3296.6559714795003</v>
      </c>
      <c r="Y226" s="1146">
        <f t="shared" si="48"/>
        <v>8026.7247386759582</v>
      </c>
      <c r="Z226" s="1146">
        <f t="shared" si="49"/>
        <v>7593.6470588235297</v>
      </c>
      <c r="AA226" s="1146">
        <f t="shared" si="50"/>
        <v>433.07767985242845</v>
      </c>
      <c r="AB226" s="1146">
        <f t="shared" si="51"/>
        <v>10890.30303030303</v>
      </c>
      <c r="AC226" s="1146">
        <f t="shared" si="52"/>
        <v>7593.6470588235297</v>
      </c>
      <c r="AD226" s="1146">
        <f t="shared" si="53"/>
        <v>3296.6559714795003</v>
      </c>
      <c r="AE226" s="1146">
        <f t="shared" si="54"/>
        <v>8026.7247386759582</v>
      </c>
      <c r="AF226" s="1146">
        <f t="shared" si="55"/>
        <v>7593.6470588235297</v>
      </c>
      <c r="AG226" s="1146">
        <f t="shared" si="56"/>
        <v>433.07767985242845</v>
      </c>
    </row>
    <row r="227" spans="2:33" ht="14.4">
      <c r="B227" s="1134">
        <v>5002936</v>
      </c>
      <c r="C227" s="1135"/>
      <c r="D227" s="1134">
        <v>144406</v>
      </c>
      <c r="E227" s="1136">
        <v>42084</v>
      </c>
      <c r="F227" s="1137">
        <v>48000</v>
      </c>
      <c r="G227" s="1134">
        <v>9</v>
      </c>
      <c r="H227" s="1137">
        <v>47500</v>
      </c>
      <c r="I227" s="1134">
        <v>15</v>
      </c>
      <c r="J227" s="1138">
        <v>6373</v>
      </c>
      <c r="K227" s="1139"/>
      <c r="L227" s="1140">
        <v>42115</v>
      </c>
      <c r="M227" s="269">
        <f t="shared" si="39"/>
        <v>2</v>
      </c>
      <c r="N227" s="1141">
        <v>250</v>
      </c>
      <c r="O227" s="1087">
        <f t="shared" si="40"/>
        <v>5954</v>
      </c>
      <c r="P227" s="269">
        <f t="shared" si="57"/>
        <v>1</v>
      </c>
      <c r="Q227" s="269" t="str">
        <f t="shared" si="41"/>
        <v/>
      </c>
      <c r="R227" s="1147"/>
      <c r="S227" s="1143" t="str">
        <f t="shared" si="42"/>
        <v>Downsize</v>
      </c>
      <c r="T227" s="1144">
        <f t="shared" si="43"/>
        <v>2251.4526315789476</v>
      </c>
      <c r="U227" s="1144">
        <f t="shared" si="44"/>
        <v>898.35789473684213</v>
      </c>
      <c r="V227" s="1146">
        <f t="shared" si="45"/>
        <v>17607.900478468902</v>
      </c>
      <c r="W227" s="1146">
        <f t="shared" si="46"/>
        <v>12149.835294117649</v>
      </c>
      <c r="X227" s="1146">
        <f t="shared" si="47"/>
        <v>5458.0651843512533</v>
      </c>
      <c r="Y227" s="1146">
        <f t="shared" si="48"/>
        <v>12977.946524848709</v>
      </c>
      <c r="Z227" s="1146">
        <f t="shared" si="49"/>
        <v>12149.835294117649</v>
      </c>
      <c r="AA227" s="1146">
        <f t="shared" si="50"/>
        <v>828.11123073105955</v>
      </c>
      <c r="AB227" s="1146">
        <f t="shared" si="51"/>
        <v>17424.484848484852</v>
      </c>
      <c r="AC227" s="1146">
        <f t="shared" si="52"/>
        <v>12149.835294117649</v>
      </c>
      <c r="AD227" s="1146">
        <f t="shared" si="53"/>
        <v>5274.6495543672027</v>
      </c>
      <c r="AE227" s="1146">
        <f t="shared" si="54"/>
        <v>12842.759581881535</v>
      </c>
      <c r="AF227" s="1146">
        <f t="shared" si="55"/>
        <v>12149.835294117649</v>
      </c>
      <c r="AG227" s="1146">
        <f t="shared" si="56"/>
        <v>692.92428776388624</v>
      </c>
    </row>
    <row r="228" spans="2:33" ht="14.4">
      <c r="B228" s="1134">
        <v>861799</v>
      </c>
      <c r="C228" s="1135"/>
      <c r="D228" s="1134">
        <v>86179</v>
      </c>
      <c r="E228" s="1136">
        <v>42088</v>
      </c>
      <c r="F228" s="1137">
        <v>42000</v>
      </c>
      <c r="G228" s="1134">
        <v>12</v>
      </c>
      <c r="H228" s="1137">
        <v>47500</v>
      </c>
      <c r="I228" s="1134">
        <v>18</v>
      </c>
      <c r="J228" s="1138">
        <v>7670</v>
      </c>
      <c r="K228" s="1139"/>
      <c r="L228" s="1140">
        <v>42115</v>
      </c>
      <c r="M228" s="269">
        <f t="shared" si="39"/>
        <v>2</v>
      </c>
      <c r="N228" s="1141">
        <v>350</v>
      </c>
      <c r="O228" s="1087">
        <f t="shared" si="40"/>
        <v>2366.3333333333339</v>
      </c>
      <c r="P228" s="269">
        <f t="shared" si="57"/>
        <v>1</v>
      </c>
      <c r="Q228" s="269" t="str">
        <f t="shared" si="41"/>
        <v/>
      </c>
      <c r="R228" s="1147"/>
      <c r="S228" s="1143" t="str">
        <f t="shared" si="42"/>
        <v>Upsize</v>
      </c>
      <c r="T228" s="1144">
        <f t="shared" si="43"/>
        <v>1970.0210526315789</v>
      </c>
      <c r="U228" s="1144">
        <f t="shared" si="44"/>
        <v>786.06315789473683</v>
      </c>
      <c r="V228" s="1146">
        <f t="shared" si="45"/>
        <v>11182.690909090909</v>
      </c>
      <c r="W228" s="1146">
        <f t="shared" si="46"/>
        <v>9591.3725490196084</v>
      </c>
      <c r="X228" s="1146">
        <f t="shared" si="47"/>
        <v>1591.3183600713001</v>
      </c>
      <c r="Y228" s="1146">
        <f t="shared" si="48"/>
        <v>9936.24030808729</v>
      </c>
      <c r="Z228" s="1146">
        <f t="shared" si="49"/>
        <v>9591.3725490196084</v>
      </c>
      <c r="AA228" s="1146">
        <f t="shared" si="50"/>
        <v>344.86775906768162</v>
      </c>
      <c r="AB228" s="1146">
        <f t="shared" si="51"/>
        <v>12647.090909090908</v>
      </c>
      <c r="AC228" s="1146">
        <f t="shared" si="52"/>
        <v>9591.3725490196084</v>
      </c>
      <c r="AD228" s="1146">
        <f t="shared" si="53"/>
        <v>3055.7183600712997</v>
      </c>
      <c r="AE228" s="1146">
        <f t="shared" si="54"/>
        <v>11237.41463414634</v>
      </c>
      <c r="AF228" s="1146">
        <f t="shared" si="55"/>
        <v>9591.3725490196084</v>
      </c>
      <c r="AG228" s="1146">
        <f t="shared" si="56"/>
        <v>1646.0420851267318</v>
      </c>
    </row>
    <row r="229" spans="2:33" ht="14.4">
      <c r="B229" s="1134">
        <v>2818532</v>
      </c>
      <c r="C229" s="1135"/>
      <c r="D229" s="1134">
        <v>155938</v>
      </c>
      <c r="E229" s="1136">
        <v>42096</v>
      </c>
      <c r="F229" s="1137">
        <v>24000</v>
      </c>
      <c r="G229" s="1134">
        <v>10</v>
      </c>
      <c r="H229" s="1137">
        <v>24000</v>
      </c>
      <c r="I229" s="1134">
        <v>15.20</v>
      </c>
      <c r="J229" s="1138">
        <v>4545</v>
      </c>
      <c r="K229" s="1139"/>
      <c r="L229" s="1140">
        <v>42115</v>
      </c>
      <c r="M229" s="269">
        <f t="shared" si="39"/>
        <v>2</v>
      </c>
      <c r="N229" s="1141">
        <v>125</v>
      </c>
      <c r="O229" s="1087">
        <f t="shared" si="40"/>
        <v>2256.2526315789473</v>
      </c>
      <c r="P229" s="269">
        <f t="shared" si="57"/>
        <v>1</v>
      </c>
      <c r="Q229" s="269" t="str">
        <f t="shared" si="41"/>
        <v/>
      </c>
      <c r="R229" s="1147"/>
      <c r="S229" s="1143" t="str">
        <f t="shared" si="42"/>
        <v>Same Size</v>
      </c>
      <c r="T229" s="1144">
        <f t="shared" si="43"/>
        <v>2228</v>
      </c>
      <c r="U229" s="1144">
        <f t="shared" si="44"/>
        <v>889</v>
      </c>
      <c r="V229" s="1146">
        <f t="shared" si="45"/>
        <v>8118.1090909090908</v>
      </c>
      <c r="W229" s="1146">
        <f t="shared" si="46"/>
        <v>6028.0123839009293</v>
      </c>
      <c r="X229" s="1146">
        <f t="shared" si="47"/>
        <v>2090.0967070081615</v>
      </c>
      <c r="Y229" s="1146">
        <f t="shared" si="48"/>
        <v>6421.3797909407658</v>
      </c>
      <c r="Z229" s="1146">
        <f t="shared" si="49"/>
        <v>6028.0123839009293</v>
      </c>
      <c r="AA229" s="1146">
        <f t="shared" si="50"/>
        <v>393.36740703983651</v>
      </c>
      <c r="AB229" s="1146">
        <f t="shared" si="51"/>
        <v>8118.1090909090908</v>
      </c>
      <c r="AC229" s="1146">
        <f t="shared" si="52"/>
        <v>6028.0123839009293</v>
      </c>
      <c r="AD229" s="1146">
        <f t="shared" si="53"/>
        <v>2090.0967070081615</v>
      </c>
      <c r="AE229" s="1146">
        <f t="shared" si="54"/>
        <v>6421.3797909407658</v>
      </c>
      <c r="AF229" s="1146">
        <f t="shared" si="55"/>
        <v>6028.0123839009293</v>
      </c>
      <c r="AG229" s="1146">
        <f t="shared" si="56"/>
        <v>393.36740703983651</v>
      </c>
    </row>
    <row r="230" spans="2:33" ht="14.4">
      <c r="B230" s="1134">
        <v>1677590</v>
      </c>
      <c r="C230" s="1135"/>
      <c r="D230" s="1134">
        <v>167759</v>
      </c>
      <c r="E230" s="1136">
        <v>42094</v>
      </c>
      <c r="F230" s="1137">
        <v>36000</v>
      </c>
      <c r="G230" s="1134">
        <v>12</v>
      </c>
      <c r="H230" s="1137">
        <v>34200</v>
      </c>
      <c r="I230" s="1134">
        <v>16</v>
      </c>
      <c r="J230" s="1138">
        <v>6080</v>
      </c>
      <c r="K230" s="1139"/>
      <c r="L230" s="1140">
        <v>42115</v>
      </c>
      <c r="M230" s="269">
        <f t="shared" si="39"/>
        <v>2</v>
      </c>
      <c r="N230" s="1141">
        <v>225</v>
      </c>
      <c r="O230" s="1087">
        <f t="shared" si="40"/>
        <v>2370.15</v>
      </c>
      <c r="P230" s="269">
        <f t="shared" si="57"/>
        <v>1</v>
      </c>
      <c r="Q230" s="269" t="str">
        <f t="shared" si="41"/>
        <v/>
      </c>
      <c r="R230" s="1147"/>
      <c r="S230" s="1143" t="str">
        <f t="shared" si="42"/>
        <v>Downsize</v>
      </c>
      <c r="T230" s="1144">
        <f t="shared" si="43"/>
        <v>2345.2631578947367</v>
      </c>
      <c r="U230" s="1144">
        <f t="shared" si="44"/>
        <v>935.78947368421052</v>
      </c>
      <c r="V230" s="1146">
        <f t="shared" si="45"/>
        <v>11410.90909090909</v>
      </c>
      <c r="W230" s="1146">
        <f t="shared" si="46"/>
        <v>8778.176470588236</v>
      </c>
      <c r="X230" s="1146">
        <f t="shared" si="47"/>
        <v>2632.732620320854</v>
      </c>
      <c r="Y230" s="1146">
        <f t="shared" si="48"/>
        <v>10139.020722538051</v>
      </c>
      <c r="Z230" s="1146">
        <f t="shared" si="49"/>
        <v>8778.176470588236</v>
      </c>
      <c r="AA230" s="1146">
        <f t="shared" si="50"/>
        <v>1360.8442519498149</v>
      </c>
      <c r="AB230" s="1146">
        <f t="shared" si="51"/>
        <v>10840.363636363636</v>
      </c>
      <c r="AC230" s="1146">
        <f t="shared" si="52"/>
        <v>8778.176470588236</v>
      </c>
      <c r="AD230" s="1146">
        <f t="shared" si="53"/>
        <v>2062.1871657754</v>
      </c>
      <c r="AE230" s="1146">
        <f t="shared" si="54"/>
        <v>9632.0696864111487</v>
      </c>
      <c r="AF230" s="1146">
        <f t="shared" si="55"/>
        <v>8778.176470588236</v>
      </c>
      <c r="AG230" s="1146">
        <f t="shared" si="56"/>
        <v>853.89321582291268</v>
      </c>
    </row>
    <row r="231" spans="2:33" ht="14.4">
      <c r="B231" s="1134">
        <v>8827306</v>
      </c>
      <c r="C231" s="1135"/>
      <c r="D231" s="1134">
        <v>584116</v>
      </c>
      <c r="E231" s="1136">
        <v>42072</v>
      </c>
      <c r="F231" s="1137">
        <v>36000</v>
      </c>
      <c r="G231" s="1134">
        <v>12</v>
      </c>
      <c r="H231" s="1137">
        <v>34800</v>
      </c>
      <c r="I231" s="1134">
        <v>15</v>
      </c>
      <c r="J231" s="1138">
        <v>4850</v>
      </c>
      <c r="K231" s="1139"/>
      <c r="L231" s="1140">
        <v>42115</v>
      </c>
      <c r="M231" s="269">
        <f t="shared" si="39"/>
        <v>2</v>
      </c>
      <c r="N231" s="1141">
        <v>175</v>
      </c>
      <c r="O231" s="1087">
        <f t="shared" si="40"/>
        <v>1868.64</v>
      </c>
      <c r="P231" s="269">
        <f t="shared" si="57"/>
        <v>1</v>
      </c>
      <c r="Q231" s="269" t="str">
        <f t="shared" si="41"/>
        <v/>
      </c>
      <c r="R231" s="1147"/>
      <c r="S231" s="1143" t="str">
        <f t="shared" si="42"/>
        <v>Downsize</v>
      </c>
      <c r="T231" s="1144">
        <f t="shared" si="43"/>
        <v>2304.8275862068967</v>
      </c>
      <c r="U231" s="1144">
        <f t="shared" si="44"/>
        <v>919.65517241379314</v>
      </c>
      <c r="V231" s="1146">
        <f t="shared" si="45"/>
        <v>11214.169278996866</v>
      </c>
      <c r="W231" s="1146">
        <f t="shared" si="46"/>
        <v>9112.376470588235</v>
      </c>
      <c r="X231" s="1146">
        <f t="shared" si="47"/>
        <v>2101.7928084086307</v>
      </c>
      <c r="Y231" s="1146">
        <f t="shared" si="48"/>
        <v>9964.2100204253293</v>
      </c>
      <c r="Z231" s="1146">
        <f t="shared" si="49"/>
        <v>9112.376470588235</v>
      </c>
      <c r="AA231" s="1146">
        <f t="shared" si="50"/>
        <v>851.83354983709432</v>
      </c>
      <c r="AB231" s="1146">
        <f t="shared" si="51"/>
        <v>10840.363636363636</v>
      </c>
      <c r="AC231" s="1146">
        <f t="shared" si="52"/>
        <v>9112.376470588235</v>
      </c>
      <c r="AD231" s="1146">
        <f t="shared" si="53"/>
        <v>1727.9871657754011</v>
      </c>
      <c r="AE231" s="1146">
        <f t="shared" si="54"/>
        <v>9632.0696864111505</v>
      </c>
      <c r="AF231" s="1146">
        <f t="shared" si="55"/>
        <v>9112.376470588235</v>
      </c>
      <c r="AG231" s="1146">
        <f t="shared" si="56"/>
        <v>519.69321582291559</v>
      </c>
    </row>
    <row r="232" spans="2:33" ht="14.4">
      <c r="B232" s="1134">
        <v>6339527</v>
      </c>
      <c r="C232" s="1135"/>
      <c r="D232" s="1134">
        <v>409659</v>
      </c>
      <c r="E232" s="1136">
        <v>42024</v>
      </c>
      <c r="F232" s="1137">
        <v>36000</v>
      </c>
      <c r="G232" s="1134">
        <v>10</v>
      </c>
      <c r="H232" s="1137">
        <v>46500</v>
      </c>
      <c r="I232" s="1134">
        <v>15</v>
      </c>
      <c r="J232" s="1138">
        <v>3500</v>
      </c>
      <c r="K232" s="1139"/>
      <c r="L232" s="1140">
        <v>42115</v>
      </c>
      <c r="M232" s="269">
        <f t="shared" si="39"/>
        <v>2</v>
      </c>
      <c r="N232" s="1141">
        <v>250</v>
      </c>
      <c r="O232" s="1087">
        <f t="shared" si="40"/>
        <v>1374</v>
      </c>
      <c r="P232" s="269">
        <f t="shared" si="57"/>
        <v>1</v>
      </c>
      <c r="Q232" s="269" t="str">
        <f t="shared" si="41"/>
        <v/>
      </c>
      <c r="R232" s="1147"/>
      <c r="S232" s="1143" t="str">
        <f t="shared" si="42"/>
        <v>Upsize</v>
      </c>
      <c r="T232" s="1144">
        <f t="shared" si="43"/>
        <v>1724.9032258064515</v>
      </c>
      <c r="U232" s="1144">
        <f t="shared" si="44"/>
        <v>688.25806451612902</v>
      </c>
      <c r="V232" s="1146">
        <f t="shared" si="45"/>
        <v>9427.4815249266867</v>
      </c>
      <c r="W232" s="1146">
        <f t="shared" si="46"/>
        <v>9112.376470588235</v>
      </c>
      <c r="X232" s="1146">
        <f t="shared" si="47"/>
        <v>315.10505433845174</v>
      </c>
      <c r="Y232" s="1146">
        <f t="shared" si="48"/>
        <v>7457.0862088344384</v>
      </c>
      <c r="Z232" s="1146">
        <f t="shared" si="49"/>
        <v>9112.376470588235</v>
      </c>
      <c r="AA232" s="1146">
        <f t="shared" si="50"/>
        <v>-1655.2902617537966</v>
      </c>
      <c r="AB232" s="1146">
        <f t="shared" si="51"/>
        <v>12177.163636363637</v>
      </c>
      <c r="AC232" s="1146">
        <f t="shared" si="52"/>
        <v>9112.376470588235</v>
      </c>
      <c r="AD232" s="1146">
        <f t="shared" si="53"/>
        <v>3064.7871657754022</v>
      </c>
      <c r="AE232" s="1146">
        <f t="shared" si="54"/>
        <v>9632.0696864111505</v>
      </c>
      <c r="AF232" s="1146">
        <f t="shared" si="55"/>
        <v>9112.376470588235</v>
      </c>
      <c r="AG232" s="1146">
        <f t="shared" si="56"/>
        <v>519.69321582291559</v>
      </c>
    </row>
    <row r="233" spans="2:33" ht="14.4">
      <c r="B233" s="1134">
        <v>5365515</v>
      </c>
      <c r="C233" s="1135"/>
      <c r="D233" s="1134">
        <v>530390</v>
      </c>
      <c r="E233" s="1136">
        <v>42104</v>
      </c>
      <c r="F233" s="1137">
        <v>36000</v>
      </c>
      <c r="G233" s="1134">
        <v>10</v>
      </c>
      <c r="H233" s="1137">
        <v>34200</v>
      </c>
      <c r="I233" s="1134">
        <v>15</v>
      </c>
      <c r="J233" s="1138">
        <v>3600</v>
      </c>
      <c r="K233" s="1139"/>
      <c r="L233" s="1140">
        <v>42115</v>
      </c>
      <c r="M233" s="269">
        <f t="shared" si="39"/>
        <v>2</v>
      </c>
      <c r="N233" s="1141">
        <v>175</v>
      </c>
      <c r="O233" s="1087">
        <f t="shared" si="40"/>
        <v>3627.36</v>
      </c>
      <c r="P233" s="269">
        <f t="shared" si="57"/>
        <v>1</v>
      </c>
      <c r="Q233" s="269" t="str">
        <f t="shared" si="41"/>
        <v/>
      </c>
      <c r="R233" s="1147"/>
      <c r="S233" s="1143" t="str">
        <f t="shared" si="42"/>
        <v>Downsize</v>
      </c>
      <c r="T233" s="1144">
        <f t="shared" si="43"/>
        <v>2345.2631578947367</v>
      </c>
      <c r="U233" s="1144">
        <f t="shared" si="44"/>
        <v>935.78947368421052</v>
      </c>
      <c r="V233" s="1146">
        <f t="shared" si="45"/>
        <v>12818.066985645934</v>
      </c>
      <c r="W233" s="1146">
        <f t="shared" si="46"/>
        <v>9112.3764705882368</v>
      </c>
      <c r="X233" s="1146">
        <f t="shared" si="47"/>
        <v>3705.6905150576968</v>
      </c>
      <c r="Y233" s="1146">
        <f t="shared" si="48"/>
        <v>10139.020722538051</v>
      </c>
      <c r="Z233" s="1146">
        <f t="shared" si="49"/>
        <v>9112.3764705882368</v>
      </c>
      <c r="AA233" s="1146">
        <f t="shared" si="50"/>
        <v>1026.6442519498141</v>
      </c>
      <c r="AB233" s="1146">
        <f t="shared" si="51"/>
        <v>12177.163636363637</v>
      </c>
      <c r="AC233" s="1146">
        <f t="shared" si="52"/>
        <v>9112.3764705882368</v>
      </c>
      <c r="AD233" s="1146">
        <f t="shared" si="53"/>
        <v>3064.7871657754004</v>
      </c>
      <c r="AE233" s="1146">
        <f t="shared" si="54"/>
        <v>9632.0696864111487</v>
      </c>
      <c r="AF233" s="1146">
        <f t="shared" si="55"/>
        <v>9112.3764705882368</v>
      </c>
      <c r="AG233" s="1146">
        <f t="shared" si="56"/>
        <v>519.69321582291195</v>
      </c>
    </row>
    <row r="234" spans="2:33" ht="14.4">
      <c r="B234" s="1134">
        <v>7699333</v>
      </c>
      <c r="C234" s="1135"/>
      <c r="D234" s="1134">
        <v>252533</v>
      </c>
      <c r="E234" s="1136">
        <v>42090</v>
      </c>
      <c r="F234" s="1137">
        <v>36000</v>
      </c>
      <c r="G234" s="1134">
        <v>10</v>
      </c>
      <c r="H234" s="1137">
        <v>34800</v>
      </c>
      <c r="I234" s="1134">
        <v>15</v>
      </c>
      <c r="J234" s="1138">
        <v>4477</v>
      </c>
      <c r="K234" s="1139"/>
      <c r="L234" s="1140">
        <v>42115</v>
      </c>
      <c r="M234" s="269">
        <f t="shared" si="39"/>
        <v>2</v>
      </c>
      <c r="N234" s="1141">
        <v>175</v>
      </c>
      <c r="O234" s="1087">
        <f t="shared" si="40"/>
        <v>3517.4400000000005</v>
      </c>
      <c r="P234" s="269">
        <f t="shared" si="57"/>
        <v>1</v>
      </c>
      <c r="Q234" s="269" t="str">
        <f t="shared" si="41"/>
        <v/>
      </c>
      <c r="R234" s="1147"/>
      <c r="S234" s="1143" t="str">
        <f t="shared" si="42"/>
        <v>Downsize</v>
      </c>
      <c r="T234" s="1144">
        <f t="shared" si="43"/>
        <v>2304.8275862068967</v>
      </c>
      <c r="U234" s="1144">
        <f t="shared" si="44"/>
        <v>919.65517241379314</v>
      </c>
      <c r="V234" s="1146">
        <f t="shared" si="45"/>
        <v>12597.065830721003</v>
      </c>
      <c r="W234" s="1146">
        <f t="shared" si="46"/>
        <v>9112.376470588235</v>
      </c>
      <c r="X234" s="1146">
        <f t="shared" si="47"/>
        <v>3484.6893601327683</v>
      </c>
      <c r="Y234" s="1146">
        <f t="shared" si="48"/>
        <v>9964.2100204253293</v>
      </c>
      <c r="Z234" s="1146">
        <f t="shared" si="49"/>
        <v>9112.376470588235</v>
      </c>
      <c r="AA234" s="1146">
        <f t="shared" si="50"/>
        <v>851.83354983709432</v>
      </c>
      <c r="AB234" s="1146">
        <f t="shared" si="51"/>
        <v>12177.163636363635</v>
      </c>
      <c r="AC234" s="1146">
        <f t="shared" si="52"/>
        <v>9112.376470588235</v>
      </c>
      <c r="AD234" s="1146">
        <f t="shared" si="53"/>
        <v>3064.7871657754004</v>
      </c>
      <c r="AE234" s="1146">
        <f t="shared" si="54"/>
        <v>9632.0696864111505</v>
      </c>
      <c r="AF234" s="1146">
        <f t="shared" si="55"/>
        <v>9112.376470588235</v>
      </c>
      <c r="AG234" s="1146">
        <f t="shared" si="56"/>
        <v>519.69321582291559</v>
      </c>
    </row>
    <row r="235" spans="2:33" ht="14.4">
      <c r="B235" s="1134">
        <v>1458876</v>
      </c>
      <c r="C235" s="1135"/>
      <c r="D235" s="1134">
        <v>145887</v>
      </c>
      <c r="E235" s="1136">
        <v>42096</v>
      </c>
      <c r="F235" s="1137">
        <v>36000</v>
      </c>
      <c r="G235" s="1134">
        <v>10</v>
      </c>
      <c r="H235" s="1137">
        <v>37400</v>
      </c>
      <c r="I235" s="1134">
        <v>15</v>
      </c>
      <c r="J235" s="1138">
        <v>6950</v>
      </c>
      <c r="K235" s="1139"/>
      <c r="L235" s="1140">
        <v>42115</v>
      </c>
      <c r="M235" s="269">
        <f t="shared" si="39"/>
        <v>2</v>
      </c>
      <c r="N235" s="1141">
        <v>175</v>
      </c>
      <c r="O235" s="1087">
        <f t="shared" si="40"/>
        <v>3041.12</v>
      </c>
      <c r="P235" s="269">
        <f t="shared" si="57"/>
        <v>1</v>
      </c>
      <c r="Q235" s="269" t="str">
        <f t="shared" si="41"/>
        <v/>
      </c>
      <c r="R235" s="1147"/>
      <c r="S235" s="1143" t="str">
        <f t="shared" si="42"/>
        <v>Upsize</v>
      </c>
      <c r="T235" s="1144">
        <f t="shared" si="43"/>
        <v>2144.5989304812833</v>
      </c>
      <c r="U235" s="1144">
        <f t="shared" si="44"/>
        <v>855.72192513368975</v>
      </c>
      <c r="V235" s="1146">
        <f t="shared" si="45"/>
        <v>11721.333981526492</v>
      </c>
      <c r="W235" s="1146">
        <f t="shared" si="46"/>
        <v>9112.376470588235</v>
      </c>
      <c r="X235" s="1146">
        <f t="shared" si="47"/>
        <v>2608.9575109382567</v>
      </c>
      <c r="Y235" s="1146">
        <f t="shared" si="48"/>
        <v>9271.5109280962934</v>
      </c>
      <c r="Z235" s="1146">
        <f t="shared" si="49"/>
        <v>9112.376470588235</v>
      </c>
      <c r="AA235" s="1146">
        <f t="shared" si="50"/>
        <v>159.1344575080584</v>
      </c>
      <c r="AB235" s="1146">
        <f t="shared" si="51"/>
        <v>12177.163636363634</v>
      </c>
      <c r="AC235" s="1146">
        <f t="shared" si="52"/>
        <v>9112.376470588235</v>
      </c>
      <c r="AD235" s="1146">
        <f t="shared" si="53"/>
        <v>3064.7871657753985</v>
      </c>
      <c r="AE235" s="1146">
        <f t="shared" si="54"/>
        <v>9632.0696864111487</v>
      </c>
      <c r="AF235" s="1146">
        <f t="shared" si="55"/>
        <v>9112.376470588235</v>
      </c>
      <c r="AG235" s="1146">
        <f t="shared" si="56"/>
        <v>519.69321582291377</v>
      </c>
    </row>
    <row r="236" spans="2:33" ht="14.4">
      <c r="B236" s="1134">
        <v>8878663</v>
      </c>
      <c r="C236" s="1135"/>
      <c r="D236" s="1134">
        <v>580167</v>
      </c>
      <c r="E236" s="1136">
        <v>42102</v>
      </c>
      <c r="F236" s="1137">
        <v>30000</v>
      </c>
      <c r="G236" s="1134">
        <v>10</v>
      </c>
      <c r="H236" s="1137">
        <v>35800</v>
      </c>
      <c r="I236" s="1134">
        <v>15</v>
      </c>
      <c r="J236" s="1138">
        <v>4488</v>
      </c>
      <c r="K236" s="1139"/>
      <c r="L236" s="1140">
        <v>42115</v>
      </c>
      <c r="M236" s="269">
        <f t="shared" si="39"/>
        <v>2</v>
      </c>
      <c r="N236" s="1141">
        <v>175</v>
      </c>
      <c r="O236" s="1087">
        <f t="shared" si="40"/>
        <v>1685.4400000000005</v>
      </c>
      <c r="P236" s="269">
        <f t="shared" si="57"/>
        <v>1</v>
      </c>
      <c r="Q236" s="269" t="str">
        <f t="shared" si="41"/>
        <v/>
      </c>
      <c r="R236" s="1147"/>
      <c r="S236" s="1143" t="str">
        <f t="shared" si="42"/>
        <v>Upsize</v>
      </c>
      <c r="T236" s="1144">
        <f t="shared" si="43"/>
        <v>1867.0391061452515</v>
      </c>
      <c r="U236" s="1144">
        <f t="shared" si="44"/>
        <v>744.97206703910615</v>
      </c>
      <c r="V236" s="1146">
        <f t="shared" si="45"/>
        <v>8503.6058913153884</v>
      </c>
      <c r="W236" s="1146">
        <f t="shared" si="46"/>
        <v>7593.6470588235297</v>
      </c>
      <c r="X236" s="1146">
        <f t="shared" si="47"/>
        <v>909.95883249185863</v>
      </c>
      <c r="Y236" s="1146">
        <f t="shared" si="48"/>
        <v>6726.3056469351604</v>
      </c>
      <c r="Z236" s="1146">
        <f t="shared" si="49"/>
        <v>7593.6470588235297</v>
      </c>
      <c r="AA236" s="1146">
        <f t="shared" si="50"/>
        <v>-867.34141188836929</v>
      </c>
      <c r="AB236" s="1146">
        <f t="shared" si="51"/>
        <v>10147.636363636362</v>
      </c>
      <c r="AC236" s="1146">
        <f t="shared" si="52"/>
        <v>7593.6470588235297</v>
      </c>
      <c r="AD236" s="1146">
        <f t="shared" si="53"/>
        <v>2553.9893048128324</v>
      </c>
      <c r="AE236" s="1146">
        <f t="shared" si="54"/>
        <v>8026.7247386759582</v>
      </c>
      <c r="AF236" s="1146">
        <f t="shared" si="55"/>
        <v>7593.6470588235297</v>
      </c>
      <c r="AG236" s="1146">
        <f t="shared" si="56"/>
        <v>433.07767985242845</v>
      </c>
    </row>
    <row r="237" spans="2:33" ht="14.4">
      <c r="B237" s="1134">
        <v>1557719</v>
      </c>
      <c r="C237" s="1135"/>
      <c r="D237" s="1134">
        <v>155771</v>
      </c>
      <c r="E237" s="1136">
        <v>42081</v>
      </c>
      <c r="F237" s="1137">
        <v>36000</v>
      </c>
      <c r="G237" s="1134">
        <v>10</v>
      </c>
      <c r="H237" s="1137">
        <v>34800</v>
      </c>
      <c r="I237" s="1134">
        <v>15</v>
      </c>
      <c r="J237" s="1138">
        <v>4717</v>
      </c>
      <c r="K237" s="1139"/>
      <c r="L237" s="1140">
        <v>42115</v>
      </c>
      <c r="M237" s="269">
        <f t="shared" si="39"/>
        <v>2</v>
      </c>
      <c r="N237" s="1141">
        <v>175</v>
      </c>
      <c r="O237" s="1087">
        <f t="shared" si="40"/>
        <v>3517.4400000000005</v>
      </c>
      <c r="P237" s="269">
        <f t="shared" si="57"/>
        <v>1</v>
      </c>
      <c r="Q237" s="269" t="str">
        <f t="shared" si="41"/>
        <v/>
      </c>
      <c r="R237" s="1147"/>
      <c r="S237" s="1143" t="str">
        <f t="shared" si="42"/>
        <v>Downsize</v>
      </c>
      <c r="T237" s="1144">
        <f t="shared" si="43"/>
        <v>2304.8275862068967</v>
      </c>
      <c r="U237" s="1144">
        <f t="shared" si="44"/>
        <v>919.65517241379314</v>
      </c>
      <c r="V237" s="1146">
        <f t="shared" si="45"/>
        <v>12597.065830721003</v>
      </c>
      <c r="W237" s="1146">
        <f t="shared" si="46"/>
        <v>9112.376470588235</v>
      </c>
      <c r="X237" s="1146">
        <f t="shared" si="47"/>
        <v>3484.6893601327683</v>
      </c>
      <c r="Y237" s="1146">
        <f t="shared" si="48"/>
        <v>9964.2100204253293</v>
      </c>
      <c r="Z237" s="1146">
        <f t="shared" si="49"/>
        <v>9112.376470588235</v>
      </c>
      <c r="AA237" s="1146">
        <f t="shared" si="50"/>
        <v>851.83354983709432</v>
      </c>
      <c r="AB237" s="1146">
        <f t="shared" si="51"/>
        <v>12177.163636363635</v>
      </c>
      <c r="AC237" s="1146">
        <f t="shared" si="52"/>
        <v>9112.376470588235</v>
      </c>
      <c r="AD237" s="1146">
        <f t="shared" si="53"/>
        <v>3064.7871657754004</v>
      </c>
      <c r="AE237" s="1146">
        <f t="shared" si="54"/>
        <v>9632.0696864111505</v>
      </c>
      <c r="AF237" s="1146">
        <f t="shared" si="55"/>
        <v>9112.376470588235</v>
      </c>
      <c r="AG237" s="1146">
        <f t="shared" si="56"/>
        <v>519.69321582291559</v>
      </c>
    </row>
    <row r="238" spans="2:33" ht="14.4">
      <c r="B238" s="1134">
        <v>6059992</v>
      </c>
      <c r="C238" s="1135"/>
      <c r="D238" s="1134">
        <v>597897</v>
      </c>
      <c r="E238" s="1136">
        <v>42095</v>
      </c>
      <c r="F238" s="1137">
        <v>30000</v>
      </c>
      <c r="G238" s="1134">
        <v>10</v>
      </c>
      <c r="H238" s="1137">
        <v>36400</v>
      </c>
      <c r="I238" s="1134">
        <v>16.50</v>
      </c>
      <c r="J238" s="1138">
        <v>8431</v>
      </c>
      <c r="K238" s="1139"/>
      <c r="L238" s="1140">
        <v>42115</v>
      </c>
      <c r="M238" s="269">
        <f t="shared" si="39"/>
        <v>2</v>
      </c>
      <c r="N238" s="1141">
        <v>225</v>
      </c>
      <c r="O238" s="1087">
        <f t="shared" si="40"/>
        <v>2181.7454545454548</v>
      </c>
      <c r="P238" s="269">
        <f t="shared" si="57"/>
        <v>1</v>
      </c>
      <c r="Q238" s="269" t="str">
        <f t="shared" si="41"/>
        <v/>
      </c>
      <c r="R238" s="1147"/>
      <c r="S238" s="1143" t="str">
        <f t="shared" si="42"/>
        <v>Upsize</v>
      </c>
      <c r="T238" s="1144">
        <f t="shared" si="43"/>
        <v>1836.2637362637361</v>
      </c>
      <c r="U238" s="1144">
        <f t="shared" si="44"/>
        <v>732.69230769230762</v>
      </c>
      <c r="V238" s="1146">
        <f t="shared" si="45"/>
        <v>8363.4365634365622</v>
      </c>
      <c r="W238" s="1146">
        <f t="shared" si="46"/>
        <v>7188.5561497326189</v>
      </c>
      <c r="X238" s="1146">
        <f t="shared" si="47"/>
        <v>1174.8804137039433</v>
      </c>
      <c r="Y238" s="1146">
        <f t="shared" si="48"/>
        <v>6615.432476930735</v>
      </c>
      <c r="Z238" s="1146">
        <f t="shared" si="49"/>
        <v>7188.5561497326189</v>
      </c>
      <c r="AA238" s="1146">
        <f t="shared" si="50"/>
        <v>-573.12367280188391</v>
      </c>
      <c r="AB238" s="1146">
        <f t="shared" si="51"/>
        <v>10147.636363636362</v>
      </c>
      <c r="AC238" s="1146">
        <f t="shared" si="52"/>
        <v>7188.5561497326189</v>
      </c>
      <c r="AD238" s="1146">
        <f t="shared" si="53"/>
        <v>2959.0802139037432</v>
      </c>
      <c r="AE238" s="1146">
        <f t="shared" si="54"/>
        <v>8026.7247386759573</v>
      </c>
      <c r="AF238" s="1146">
        <f t="shared" si="55"/>
        <v>7188.5561497326189</v>
      </c>
      <c r="AG238" s="1146">
        <f t="shared" si="56"/>
        <v>838.16858894333836</v>
      </c>
    </row>
    <row r="239" spans="2:33" ht="14.4">
      <c r="B239" s="1134">
        <v>4252987</v>
      </c>
      <c r="C239" s="1135"/>
      <c r="D239" s="1134">
        <v>83669</v>
      </c>
      <c r="E239" s="1136">
        <v>42091</v>
      </c>
      <c r="F239" s="1137">
        <v>46500</v>
      </c>
      <c r="G239" s="1134">
        <v>10</v>
      </c>
      <c r="H239" s="1137">
        <v>46500</v>
      </c>
      <c r="I239" s="1134">
        <v>18</v>
      </c>
      <c r="J239" s="1138">
        <v>12279</v>
      </c>
      <c r="K239" s="1139"/>
      <c r="L239" s="1140">
        <v>42115</v>
      </c>
      <c r="M239" s="269">
        <f t="shared" si="39"/>
        <v>2</v>
      </c>
      <c r="N239" s="1141">
        <v>350</v>
      </c>
      <c r="O239" s="1087">
        <f t="shared" si="40"/>
        <v>5679.20</v>
      </c>
      <c r="P239" s="269">
        <f t="shared" si="57"/>
        <v>1</v>
      </c>
      <c r="Q239" s="269" t="str">
        <f t="shared" si="41"/>
        <v/>
      </c>
      <c r="R239" s="1147"/>
      <c r="S239" s="1143" t="str">
        <f t="shared" si="42"/>
        <v>Same Size</v>
      </c>
      <c r="T239" s="1144">
        <f t="shared" si="43"/>
        <v>2228</v>
      </c>
      <c r="U239" s="1144">
        <f t="shared" si="44"/>
        <v>889</v>
      </c>
      <c r="V239" s="1146">
        <f t="shared" si="45"/>
        <v>15728.836363636363</v>
      </c>
      <c r="W239" s="1146">
        <f t="shared" si="46"/>
        <v>10619.019607843136</v>
      </c>
      <c r="X239" s="1146">
        <f t="shared" si="47"/>
        <v>5109.8167557932265</v>
      </c>
      <c r="Y239" s="1146">
        <f t="shared" si="48"/>
        <v>12441.423344947734</v>
      </c>
      <c r="Z239" s="1146">
        <f t="shared" si="49"/>
        <v>10619.019607843136</v>
      </c>
      <c r="AA239" s="1146">
        <f t="shared" si="50"/>
        <v>1822.4037371045979</v>
      </c>
      <c r="AB239" s="1146">
        <f t="shared" si="51"/>
        <v>15728.836363636363</v>
      </c>
      <c r="AC239" s="1146">
        <f t="shared" si="52"/>
        <v>10619.019607843136</v>
      </c>
      <c r="AD239" s="1146">
        <f t="shared" si="53"/>
        <v>5109.8167557932265</v>
      </c>
      <c r="AE239" s="1146">
        <f t="shared" si="54"/>
        <v>12441.423344947734</v>
      </c>
      <c r="AF239" s="1146">
        <f t="shared" si="55"/>
        <v>10619.019607843136</v>
      </c>
      <c r="AG239" s="1146">
        <f t="shared" si="56"/>
        <v>1822.4037371045979</v>
      </c>
    </row>
    <row r="240" spans="2:33" ht="14.4">
      <c r="B240" s="1134">
        <v>6647705</v>
      </c>
      <c r="C240" s="1135"/>
      <c r="D240" s="1134">
        <v>483679</v>
      </c>
      <c r="E240" s="1136">
        <v>42096</v>
      </c>
      <c r="F240" s="1137">
        <v>36000</v>
      </c>
      <c r="G240" s="1134">
        <v>10</v>
      </c>
      <c r="H240" s="1137">
        <v>35800</v>
      </c>
      <c r="I240" s="1134">
        <v>15</v>
      </c>
      <c r="J240" s="1138">
        <v>4303</v>
      </c>
      <c r="K240" s="1139"/>
      <c r="L240" s="1140">
        <v>42115</v>
      </c>
      <c r="M240" s="269">
        <f t="shared" si="39"/>
        <v>2</v>
      </c>
      <c r="N240" s="1141">
        <v>175</v>
      </c>
      <c r="O240" s="1087">
        <f t="shared" si="40"/>
        <v>3334.2400000000007</v>
      </c>
      <c r="P240" s="269">
        <f t="shared" si="57"/>
        <v>1</v>
      </c>
      <c r="Q240" s="269" t="str">
        <f t="shared" si="41"/>
        <v/>
      </c>
      <c r="R240" s="1147"/>
      <c r="S240" s="1143" t="str">
        <f t="shared" si="42"/>
        <v>Downsize</v>
      </c>
      <c r="T240" s="1144">
        <f t="shared" si="43"/>
        <v>2240.4469273743016</v>
      </c>
      <c r="U240" s="1144">
        <f t="shared" si="44"/>
        <v>893.96648044692745</v>
      </c>
      <c r="V240" s="1146">
        <f t="shared" si="45"/>
        <v>12245.192483494158</v>
      </c>
      <c r="W240" s="1146">
        <f t="shared" si="46"/>
        <v>9112.3764705882331</v>
      </c>
      <c r="X240" s="1146">
        <f t="shared" si="47"/>
        <v>3132.8160129059252</v>
      </c>
      <c r="Y240" s="1146">
        <f t="shared" si="48"/>
        <v>9685.8801315866313</v>
      </c>
      <c r="Z240" s="1146">
        <f t="shared" si="49"/>
        <v>9112.3764705882331</v>
      </c>
      <c r="AA240" s="1146">
        <f t="shared" si="50"/>
        <v>573.50366099839812</v>
      </c>
      <c r="AB240" s="1146">
        <f t="shared" si="51"/>
        <v>12177.163636363635</v>
      </c>
      <c r="AC240" s="1146">
        <f t="shared" si="52"/>
        <v>9112.3764705882331</v>
      </c>
      <c r="AD240" s="1146">
        <f t="shared" si="53"/>
        <v>3064.7871657754022</v>
      </c>
      <c r="AE240" s="1146">
        <f t="shared" si="54"/>
        <v>9632.0696864111505</v>
      </c>
      <c r="AF240" s="1146">
        <f t="shared" si="55"/>
        <v>9112.3764705882331</v>
      </c>
      <c r="AG240" s="1146">
        <f t="shared" si="56"/>
        <v>519.69321582291741</v>
      </c>
    </row>
    <row r="241" spans="2:33" ht="14.4">
      <c r="B241" s="1134">
        <v>1372580</v>
      </c>
      <c r="C241" s="1135"/>
      <c r="D241" s="1134">
        <v>137258</v>
      </c>
      <c r="E241" s="1136">
        <v>42075</v>
      </c>
      <c r="F241" s="1137">
        <v>48000</v>
      </c>
      <c r="G241" s="1134">
        <v>10</v>
      </c>
      <c r="H241" s="1137">
        <v>48800</v>
      </c>
      <c r="I241" s="1134">
        <v>18.63</v>
      </c>
      <c r="J241" s="1138">
        <v>5968</v>
      </c>
      <c r="K241" s="1139"/>
      <c r="L241" s="1140">
        <v>42115</v>
      </c>
      <c r="M241" s="269">
        <f t="shared" si="39"/>
        <v>2</v>
      </c>
      <c r="N241" s="1141">
        <v>350</v>
      </c>
      <c r="O241" s="1087">
        <f t="shared" si="40"/>
        <v>5992.2035426731081</v>
      </c>
      <c r="P241" s="269">
        <f t="shared" si="57"/>
        <v>1</v>
      </c>
      <c r="Q241" s="269" t="str">
        <f t="shared" si="41"/>
        <v/>
      </c>
      <c r="R241" s="1147"/>
      <c r="S241" s="1143" t="str">
        <f t="shared" si="42"/>
        <v>Upsize</v>
      </c>
      <c r="T241" s="1144">
        <f t="shared" si="43"/>
        <v>2191.4754098360654</v>
      </c>
      <c r="U241" s="1144">
        <f t="shared" si="44"/>
        <v>874.42622950819668</v>
      </c>
      <c r="V241" s="1146">
        <f t="shared" si="45"/>
        <v>15970.050670640832</v>
      </c>
      <c r="W241" s="1146">
        <f t="shared" si="46"/>
        <v>10760.65397366676</v>
      </c>
      <c r="X241" s="1146">
        <f t="shared" si="47"/>
        <v>5209.3966969740723</v>
      </c>
      <c r="Y241" s="1146">
        <f t="shared" si="48"/>
        <v>12632.222539555605</v>
      </c>
      <c r="Z241" s="1146">
        <f t="shared" si="49"/>
        <v>10760.65397366676</v>
      </c>
      <c r="AA241" s="1146">
        <f t="shared" si="50"/>
        <v>1871.5685658888451</v>
      </c>
      <c r="AB241" s="1146">
        <f t="shared" si="51"/>
        <v>16236.218181818178</v>
      </c>
      <c r="AC241" s="1146">
        <f t="shared" si="52"/>
        <v>10760.65397366676</v>
      </c>
      <c r="AD241" s="1146">
        <f t="shared" si="53"/>
        <v>5475.5642081514179</v>
      </c>
      <c r="AE241" s="1146">
        <f t="shared" si="54"/>
        <v>12842.759581881532</v>
      </c>
      <c r="AF241" s="1146">
        <f t="shared" si="55"/>
        <v>10760.65397366676</v>
      </c>
      <c r="AG241" s="1146">
        <f t="shared" si="56"/>
        <v>2082.1056082147716</v>
      </c>
    </row>
    <row r="242" spans="2:33" ht="14.4">
      <c r="B242" s="1134">
        <v>3138518</v>
      </c>
      <c r="C242" s="1135"/>
      <c r="D242" s="1134">
        <v>151219</v>
      </c>
      <c r="E242" s="1136">
        <v>42087</v>
      </c>
      <c r="F242" s="1137">
        <v>48000</v>
      </c>
      <c r="G242" s="1134">
        <v>10</v>
      </c>
      <c r="H242" s="1137">
        <v>48000</v>
      </c>
      <c r="I242" s="1134">
        <v>16</v>
      </c>
      <c r="J242" s="1138">
        <v>6000</v>
      </c>
      <c r="K242" s="1139"/>
      <c r="L242" s="1140">
        <v>42117</v>
      </c>
      <c r="M242" s="269">
        <f t="shared" si="39"/>
        <v>2</v>
      </c>
      <c r="N242" s="1141">
        <v>300</v>
      </c>
      <c r="O242" s="1087">
        <f t="shared" si="40"/>
        <v>4946.4000000000005</v>
      </c>
      <c r="P242" s="269">
        <f t="shared" si="57"/>
        <v>1</v>
      </c>
      <c r="Q242" s="269" t="str">
        <f t="shared" si="41"/>
        <v/>
      </c>
      <c r="R242" s="1147"/>
      <c r="S242" s="1143" t="str">
        <f t="shared" si="42"/>
        <v>Same Size</v>
      </c>
      <c r="T242" s="1144">
        <f t="shared" si="43"/>
        <v>2228</v>
      </c>
      <c r="U242" s="1144">
        <f t="shared" si="44"/>
        <v>889</v>
      </c>
      <c r="V242" s="1146">
        <f t="shared" si="45"/>
        <v>16236.218181818182</v>
      </c>
      <c r="W242" s="1146">
        <f t="shared" si="46"/>
        <v>11704.235294117647</v>
      </c>
      <c r="X242" s="1146">
        <f t="shared" si="47"/>
        <v>4531.9828877005348</v>
      </c>
      <c r="Y242" s="1146">
        <f t="shared" si="48"/>
        <v>12842.759581881532</v>
      </c>
      <c r="Z242" s="1146">
        <f t="shared" si="49"/>
        <v>11704.235294117647</v>
      </c>
      <c r="AA242" s="1146">
        <f t="shared" si="50"/>
        <v>1138.5242877638848</v>
      </c>
      <c r="AB242" s="1146">
        <f t="shared" si="51"/>
        <v>16236.218181818182</v>
      </c>
      <c r="AC242" s="1146">
        <f t="shared" si="52"/>
        <v>11704.235294117647</v>
      </c>
      <c r="AD242" s="1146">
        <f t="shared" si="53"/>
        <v>4531.9828877005348</v>
      </c>
      <c r="AE242" s="1146">
        <f t="shared" si="54"/>
        <v>12842.759581881532</v>
      </c>
      <c r="AF242" s="1146">
        <f t="shared" si="55"/>
        <v>11704.235294117647</v>
      </c>
      <c r="AG242" s="1146">
        <f t="shared" si="56"/>
        <v>1138.5242877638848</v>
      </c>
    </row>
    <row r="243" spans="2:33" ht="14.4">
      <c r="B243" s="1134">
        <v>8854718</v>
      </c>
      <c r="C243" s="1135"/>
      <c r="D243" s="1134">
        <v>496868</v>
      </c>
      <c r="E243" s="1136">
        <v>42052</v>
      </c>
      <c r="F243" s="1137">
        <v>60000</v>
      </c>
      <c r="G243" s="1134">
        <v>10</v>
      </c>
      <c r="H243" s="1137">
        <v>57500</v>
      </c>
      <c r="I243" s="1134">
        <v>19</v>
      </c>
      <c r="J243" s="1138">
        <v>20298</v>
      </c>
      <c r="K243" s="1139"/>
      <c r="L243" s="1140">
        <v>42118</v>
      </c>
      <c r="M243" s="269">
        <f t="shared" si="39"/>
        <v>2</v>
      </c>
      <c r="N243" s="1141">
        <v>500</v>
      </c>
      <c r="O243" s="1087">
        <f t="shared" si="40"/>
        <v>8171.6842105263167</v>
      </c>
      <c r="P243" s="269">
        <f t="shared" si="57"/>
        <v>1</v>
      </c>
      <c r="Q243" s="269" t="str">
        <f t="shared" si="41"/>
        <v/>
      </c>
      <c r="R243" s="1147"/>
      <c r="S243" s="1143" t="str">
        <f t="shared" si="42"/>
        <v>Downsize</v>
      </c>
      <c r="T243" s="1144">
        <f t="shared" si="43"/>
        <v>2324.869565217391</v>
      </c>
      <c r="U243" s="1144">
        <f t="shared" si="44"/>
        <v>927.6521739130435</v>
      </c>
      <c r="V243" s="1146">
        <f t="shared" si="45"/>
        <v>21177.67588932806</v>
      </c>
      <c r="W243" s="1146">
        <f t="shared" si="46"/>
        <v>13311.083591331268</v>
      </c>
      <c r="X243" s="1146">
        <f t="shared" si="47"/>
        <v>7866.5922979967927</v>
      </c>
      <c r="Y243" s="1146">
        <f t="shared" si="48"/>
        <v>16751.425541584609</v>
      </c>
      <c r="Z243" s="1146">
        <f t="shared" si="49"/>
        <v>13311.083591331268</v>
      </c>
      <c r="AA243" s="1146">
        <f t="shared" si="50"/>
        <v>3440.3419502533416</v>
      </c>
      <c r="AB243" s="1146">
        <f t="shared" si="51"/>
        <v>20295.272727272724</v>
      </c>
      <c r="AC243" s="1146">
        <f t="shared" si="52"/>
        <v>13311.083591331268</v>
      </c>
      <c r="AD243" s="1146">
        <f t="shared" si="53"/>
        <v>6984.1891359414567</v>
      </c>
      <c r="AE243" s="1146">
        <f t="shared" si="54"/>
        <v>16053.449477351916</v>
      </c>
      <c r="AF243" s="1146">
        <f t="shared" si="55"/>
        <v>13311.083591331268</v>
      </c>
      <c r="AG243" s="1146">
        <f t="shared" si="56"/>
        <v>2742.3658860206488</v>
      </c>
    </row>
    <row r="244" spans="2:33" ht="14.4">
      <c r="B244" s="1134">
        <v>6482905</v>
      </c>
      <c r="C244" s="1135"/>
      <c r="D244" s="1134">
        <v>230548</v>
      </c>
      <c r="E244" s="1136">
        <v>41793</v>
      </c>
      <c r="F244" s="1137">
        <v>36000</v>
      </c>
      <c r="G244" s="1134">
        <v>13</v>
      </c>
      <c r="H244" s="1137">
        <v>37400</v>
      </c>
      <c r="I244" s="1134">
        <v>18</v>
      </c>
      <c r="J244" s="1138">
        <v>6839</v>
      </c>
      <c r="K244" s="1139"/>
      <c r="L244" s="1140">
        <v>42118</v>
      </c>
      <c r="M244" s="269">
        <f t="shared" si="39"/>
        <v>2</v>
      </c>
      <c r="N244" s="1141">
        <v>300</v>
      </c>
      <c r="O244" s="1087">
        <f t="shared" si="40"/>
        <v>1900.11282051282</v>
      </c>
      <c r="P244" s="269">
        <f t="shared" si="57"/>
        <v>1</v>
      </c>
      <c r="Q244" s="269" t="str">
        <f t="shared" si="41"/>
        <v/>
      </c>
      <c r="R244" s="1147"/>
      <c r="S244" s="1143" t="str">
        <f t="shared" si="42"/>
        <v>Upsize</v>
      </c>
      <c r="T244" s="1144">
        <f t="shared" si="43"/>
        <v>2144.5989304812833</v>
      </c>
      <c r="U244" s="1144">
        <f t="shared" si="44"/>
        <v>855.72192513368975</v>
      </c>
      <c r="V244" s="1146">
        <f t="shared" si="45"/>
        <v>9939.6671777420434</v>
      </c>
      <c r="W244" s="1146">
        <f t="shared" si="46"/>
        <v>8221.1764705882342</v>
      </c>
      <c r="X244" s="1146">
        <f t="shared" si="47"/>
        <v>1718.4907071538091</v>
      </c>
      <c r="Y244" s="1146">
        <f t="shared" si="48"/>
        <v>9271.5109280962934</v>
      </c>
      <c r="Z244" s="1146">
        <f t="shared" si="49"/>
        <v>8221.1764705882342</v>
      </c>
      <c r="AA244" s="1146">
        <f t="shared" si="50"/>
        <v>1050.3344575080591</v>
      </c>
      <c r="AB244" s="1146">
        <f t="shared" si="51"/>
        <v>10326.209790209789</v>
      </c>
      <c r="AC244" s="1146">
        <f t="shared" si="52"/>
        <v>8221.1764705882342</v>
      </c>
      <c r="AD244" s="1146">
        <f t="shared" si="53"/>
        <v>2105.0333196215543</v>
      </c>
      <c r="AE244" s="1146">
        <f t="shared" si="54"/>
        <v>9632.0696864111487</v>
      </c>
      <c r="AF244" s="1146">
        <f t="shared" si="55"/>
        <v>8221.1764705882342</v>
      </c>
      <c r="AG244" s="1146">
        <f t="shared" si="56"/>
        <v>1410.8932158229145</v>
      </c>
    </row>
    <row r="245" spans="2:33" ht="14.4">
      <c r="B245" s="1134">
        <v>2532349</v>
      </c>
      <c r="C245" s="1135"/>
      <c r="D245" s="1134">
        <v>192251</v>
      </c>
      <c r="E245" s="1136">
        <v>42047</v>
      </c>
      <c r="F245" s="1137">
        <v>17000</v>
      </c>
      <c r="G245" s="1134">
        <v>8</v>
      </c>
      <c r="H245" s="1137">
        <v>22000</v>
      </c>
      <c r="I245" s="1134">
        <v>17.50</v>
      </c>
      <c r="J245" s="1138">
        <v>1800</v>
      </c>
      <c r="K245" s="1139"/>
      <c r="L245" s="1140">
        <v>42121</v>
      </c>
      <c r="M245" s="269">
        <f t="shared" si="39"/>
        <v>2</v>
      </c>
      <c r="N245" s="1141">
        <v>175</v>
      </c>
      <c r="O245" s="1087">
        <f t="shared" si="40"/>
        <v>2384.8714285714291</v>
      </c>
      <c r="P245" s="269">
        <f t="shared" si="57"/>
        <v>1</v>
      </c>
      <c r="Q245" s="269" t="str">
        <f t="shared" si="41"/>
        <v/>
      </c>
      <c r="R245" s="1147"/>
      <c r="S245" s="1143" t="str">
        <f t="shared" si="42"/>
        <v>Upsize</v>
      </c>
      <c r="T245" s="1144">
        <f t="shared" si="43"/>
        <v>1721.6363636363635</v>
      </c>
      <c r="U245" s="1144">
        <f t="shared" si="44"/>
        <v>686.95454545454538</v>
      </c>
      <c r="V245" s="1146">
        <f t="shared" si="45"/>
        <v>5175.1301652892553</v>
      </c>
      <c r="W245" s="1146">
        <f t="shared" si="46"/>
        <v>3942.3428571428567</v>
      </c>
      <c r="X245" s="1146">
        <f t="shared" si="47"/>
        <v>1232.7873081463986</v>
      </c>
      <c r="Y245" s="1146">
        <f t="shared" si="48"/>
        <v>3514.7324992081085</v>
      </c>
      <c r="Z245" s="1146">
        <f t="shared" si="49"/>
        <v>3942.3428571428567</v>
      </c>
      <c r="AA245" s="1146">
        <f t="shared" si="50"/>
        <v>-427.61035793474821</v>
      </c>
      <c r="AB245" s="1146">
        <f t="shared" si="51"/>
        <v>6697.2272727272712</v>
      </c>
      <c r="AC245" s="1146">
        <f t="shared" si="52"/>
        <v>3942.3428571428567</v>
      </c>
      <c r="AD245" s="1146">
        <f t="shared" si="53"/>
        <v>2754.8844155844145</v>
      </c>
      <c r="AE245" s="1146">
        <f t="shared" si="54"/>
        <v>4548.4773519163755</v>
      </c>
      <c r="AF245" s="1146">
        <f t="shared" si="55"/>
        <v>3942.3428571428567</v>
      </c>
      <c r="AG245" s="1146">
        <f t="shared" si="56"/>
        <v>606.13449477351878</v>
      </c>
    </row>
    <row r="246" spans="2:33" ht="14.4">
      <c r="B246" s="1134">
        <v>4281705</v>
      </c>
      <c r="C246" s="1135"/>
      <c r="D246" s="1134">
        <v>4281705</v>
      </c>
      <c r="E246" s="1136">
        <v>42076</v>
      </c>
      <c r="F246" s="1137">
        <v>60000</v>
      </c>
      <c r="G246" s="1134">
        <v>10</v>
      </c>
      <c r="H246" s="1137">
        <v>57000</v>
      </c>
      <c r="I246" s="1134">
        <v>16</v>
      </c>
      <c r="J246" s="1138">
        <v>8535</v>
      </c>
      <c r="K246" s="1139"/>
      <c r="L246" s="1140">
        <v>42123</v>
      </c>
      <c r="M246" s="269">
        <f t="shared" si="39"/>
        <v>2</v>
      </c>
      <c r="N246" s="1141">
        <v>375</v>
      </c>
      <c r="O246" s="1087">
        <f t="shared" si="40"/>
        <v>6698.2500000000009</v>
      </c>
      <c r="P246" s="269">
        <f t="shared" si="57"/>
        <v>1</v>
      </c>
      <c r="Q246" s="269" t="str">
        <f t="shared" si="41"/>
        <v/>
      </c>
      <c r="R246" s="1147"/>
      <c r="S246" s="1143" t="str">
        <f t="shared" si="42"/>
        <v>Downsize</v>
      </c>
      <c r="T246" s="1144">
        <f t="shared" si="43"/>
        <v>2345.2631578947367</v>
      </c>
      <c r="U246" s="1144">
        <f t="shared" si="44"/>
        <v>935.78947368421052</v>
      </c>
      <c r="V246" s="1146">
        <f t="shared" si="45"/>
        <v>21363.444976076556</v>
      </c>
      <c r="W246" s="1146">
        <f t="shared" si="46"/>
        <v>14630.294117647058</v>
      </c>
      <c r="X246" s="1146">
        <f t="shared" si="47"/>
        <v>6733.1508584294988</v>
      </c>
      <c r="Y246" s="1146">
        <f t="shared" si="48"/>
        <v>16898.367870896753</v>
      </c>
      <c r="Z246" s="1146">
        <f t="shared" si="49"/>
        <v>14630.294117647058</v>
      </c>
      <c r="AA246" s="1146">
        <f t="shared" si="50"/>
        <v>2268.0737532496951</v>
      </c>
      <c r="AB246" s="1146">
        <f t="shared" si="51"/>
        <v>20295.272727272728</v>
      </c>
      <c r="AC246" s="1146">
        <f t="shared" si="52"/>
        <v>14630.294117647058</v>
      </c>
      <c r="AD246" s="1146">
        <f t="shared" si="53"/>
        <v>5664.9786096256703</v>
      </c>
      <c r="AE246" s="1146">
        <f t="shared" si="54"/>
        <v>16053.449477351915</v>
      </c>
      <c r="AF246" s="1146">
        <f t="shared" si="55"/>
        <v>14630.294117647058</v>
      </c>
      <c r="AG246" s="1146">
        <f t="shared" si="56"/>
        <v>1423.1553597048569</v>
      </c>
    </row>
    <row r="247" spans="2:33" ht="14.4">
      <c r="B247" s="1134">
        <v>7466634</v>
      </c>
      <c r="C247" s="1135"/>
      <c r="D247" s="1134">
        <v>573707</v>
      </c>
      <c r="E247" s="1136">
        <v>42068</v>
      </c>
      <c r="F247" s="1137">
        <v>48000</v>
      </c>
      <c r="G247" s="1134">
        <v>12</v>
      </c>
      <c r="H247" s="1137">
        <v>47000</v>
      </c>
      <c r="I247" s="1134">
        <v>16</v>
      </c>
      <c r="J247" s="1138">
        <v>6632</v>
      </c>
      <c r="K247" s="1139"/>
      <c r="L247" s="1140">
        <v>42123</v>
      </c>
      <c r="M247" s="269">
        <f t="shared" si="39"/>
        <v>2</v>
      </c>
      <c r="N247" s="1141">
        <v>300</v>
      </c>
      <c r="O247" s="1087">
        <f t="shared" si="40"/>
        <v>2919.7500000000005</v>
      </c>
      <c r="P247" s="269">
        <f t="shared" si="57"/>
        <v>1</v>
      </c>
      <c r="Q247" s="269" t="str">
        <f t="shared" si="41"/>
        <v/>
      </c>
      <c r="R247" s="1147"/>
      <c r="S247" s="1143" t="str">
        <f t="shared" si="42"/>
        <v>Downsize</v>
      </c>
      <c r="T247" s="1144">
        <f t="shared" si="43"/>
        <v>2275.4042553191489</v>
      </c>
      <c r="U247" s="1144">
        <f t="shared" si="44"/>
        <v>907.91489361702122</v>
      </c>
      <c r="V247" s="1146">
        <f t="shared" si="45"/>
        <v>14761.346228239843</v>
      </c>
      <c r="W247" s="1146">
        <f t="shared" si="46"/>
        <v>11704.235294117647</v>
      </c>
      <c r="X247" s="1146">
        <f t="shared" si="47"/>
        <v>3057.1109341221963</v>
      </c>
      <c r="Y247" s="1146">
        <f t="shared" si="48"/>
        <v>13116.009785751354</v>
      </c>
      <c r="Z247" s="1146">
        <f t="shared" si="49"/>
        <v>11704.235294117647</v>
      </c>
      <c r="AA247" s="1146">
        <f t="shared" si="50"/>
        <v>1411.7744916337069</v>
      </c>
      <c r="AB247" s="1146">
        <f t="shared" si="51"/>
        <v>14453.81818181818</v>
      </c>
      <c r="AC247" s="1146">
        <f t="shared" si="52"/>
        <v>11704.235294117647</v>
      </c>
      <c r="AD247" s="1146">
        <f t="shared" si="53"/>
        <v>2749.5828877005333</v>
      </c>
      <c r="AE247" s="1146">
        <f t="shared" si="54"/>
        <v>12842.759581881533</v>
      </c>
      <c r="AF247" s="1146">
        <f t="shared" si="55"/>
        <v>11704.235294117647</v>
      </c>
      <c r="AG247" s="1146">
        <f t="shared" si="56"/>
        <v>1138.5242877638866</v>
      </c>
    </row>
    <row r="248" spans="2:33" ht="14.4">
      <c r="B248" s="1134">
        <v>2585941</v>
      </c>
      <c r="C248" s="1135"/>
      <c r="D248" s="1134">
        <v>258594</v>
      </c>
      <c r="E248" s="1136">
        <v>42076</v>
      </c>
      <c r="F248" s="1137">
        <v>48000</v>
      </c>
      <c r="G248" s="1134">
        <v>14.50</v>
      </c>
      <c r="H248" s="1137">
        <v>47500</v>
      </c>
      <c r="I248" s="1134">
        <v>16</v>
      </c>
      <c r="J248" s="1138">
        <v>6800</v>
      </c>
      <c r="K248" s="1139"/>
      <c r="L248" s="1140">
        <v>42124</v>
      </c>
      <c r="M248" s="269">
        <f t="shared" si="39"/>
        <v>2</v>
      </c>
      <c r="N248" s="1141">
        <v>300</v>
      </c>
      <c r="O248" s="1087">
        <f t="shared" si="40"/>
        <v>938.70258620689685</v>
      </c>
      <c r="P248" s="269">
        <f t="shared" si="57"/>
        <v>1</v>
      </c>
      <c r="Q248" s="269" t="str">
        <f t="shared" si="41"/>
        <v/>
      </c>
      <c r="R248" s="1147"/>
      <c r="S248" s="1143" t="str">
        <f t="shared" si="42"/>
        <v>Downsize</v>
      </c>
      <c r="T248" s="1144">
        <f t="shared" si="43"/>
        <v>2251.4526315789476</v>
      </c>
      <c r="U248" s="1144">
        <f t="shared" si="44"/>
        <v>898.35789473684213</v>
      </c>
      <c r="V248" s="1146">
        <f t="shared" si="45"/>
        <v>13053.237683550571</v>
      </c>
      <c r="W248" s="1146">
        <f t="shared" si="46"/>
        <v>11704.235294117649</v>
      </c>
      <c r="X248" s="1146">
        <f t="shared" si="47"/>
        <v>1349.0023894329224</v>
      </c>
      <c r="Y248" s="1146">
        <f t="shared" si="48"/>
        <v>12977.946524848709</v>
      </c>
      <c r="Z248" s="1146">
        <f t="shared" si="49"/>
        <v>11704.235294117649</v>
      </c>
      <c r="AA248" s="1146">
        <f t="shared" si="50"/>
        <v>1273.7112307310599</v>
      </c>
      <c r="AB248" s="1146">
        <f t="shared" si="51"/>
        <v>12917.266457680253</v>
      </c>
      <c r="AC248" s="1146">
        <f t="shared" si="52"/>
        <v>11704.235294117649</v>
      </c>
      <c r="AD248" s="1146">
        <f t="shared" si="53"/>
        <v>1213.031163562604</v>
      </c>
      <c r="AE248" s="1146">
        <f t="shared" si="54"/>
        <v>12842.759581881535</v>
      </c>
      <c r="AF248" s="1146">
        <f t="shared" si="55"/>
        <v>11704.235294117649</v>
      </c>
      <c r="AG248" s="1146">
        <f t="shared" si="56"/>
        <v>1138.5242877638866</v>
      </c>
    </row>
    <row r="249" spans="2:33" ht="14.4">
      <c r="B249" s="1134">
        <v>3791704</v>
      </c>
      <c r="C249" s="1135"/>
      <c r="D249" s="1134">
        <v>139435</v>
      </c>
      <c r="E249" s="1136">
        <v>42083</v>
      </c>
      <c r="F249" s="1137">
        <v>42000</v>
      </c>
      <c r="G249" s="1134">
        <v>10</v>
      </c>
      <c r="H249" s="1137">
        <v>59000</v>
      </c>
      <c r="I249" s="1134">
        <v>15</v>
      </c>
      <c r="J249" s="1138">
        <v>7560</v>
      </c>
      <c r="K249" s="1139"/>
      <c r="L249" s="1140">
        <v>42124</v>
      </c>
      <c r="M249" s="269">
        <f t="shared" si="39"/>
        <v>2</v>
      </c>
      <c r="N249" s="1141">
        <v>325</v>
      </c>
      <c r="O249" s="1087">
        <f t="shared" si="40"/>
        <v>732.79999999999961</v>
      </c>
      <c r="P249" s="269">
        <f t="shared" si="57"/>
        <v>1</v>
      </c>
      <c r="Q249" s="269" t="str">
        <f t="shared" si="41"/>
        <v/>
      </c>
      <c r="R249" s="1147"/>
      <c r="S249" s="1143" t="str">
        <f t="shared" si="42"/>
        <v>Upsize</v>
      </c>
      <c r="T249" s="1144">
        <f t="shared" si="43"/>
        <v>1586.0338983050847</v>
      </c>
      <c r="U249" s="1144">
        <f t="shared" si="44"/>
        <v>632.84745762711862</v>
      </c>
      <c r="V249" s="1146">
        <f t="shared" si="45"/>
        <v>10113.237596302002</v>
      </c>
      <c r="W249" s="1146">
        <f t="shared" si="46"/>
        <v>10631.105882352942</v>
      </c>
      <c r="X249" s="1146">
        <f t="shared" si="47"/>
        <v>-517.86828605093979</v>
      </c>
      <c r="Y249" s="1146">
        <f t="shared" si="48"/>
        <v>7999.5155022736672</v>
      </c>
      <c r="Z249" s="1146">
        <f t="shared" si="49"/>
        <v>10631.105882352942</v>
      </c>
      <c r="AA249" s="1146">
        <f t="shared" si="50"/>
        <v>-2631.5903800792748</v>
      </c>
      <c r="AB249" s="1146">
        <f t="shared" si="51"/>
        <v>14206.690909090909</v>
      </c>
      <c r="AC249" s="1146">
        <f t="shared" si="52"/>
        <v>10631.105882352942</v>
      </c>
      <c r="AD249" s="1146">
        <f t="shared" si="53"/>
        <v>3575.5850267379665</v>
      </c>
      <c r="AE249" s="1146">
        <f t="shared" si="54"/>
        <v>11237.414634146342</v>
      </c>
      <c r="AF249" s="1146">
        <f t="shared" si="55"/>
        <v>10631.105882352942</v>
      </c>
      <c r="AG249" s="1146">
        <f t="shared" si="56"/>
        <v>606.30875179340001</v>
      </c>
    </row>
    <row r="250" spans="2:33" ht="14.4">
      <c r="B250" s="1134">
        <v>896035</v>
      </c>
      <c r="C250" s="1135"/>
      <c r="D250" s="1134">
        <v>89603</v>
      </c>
      <c r="E250" s="1136">
        <v>42096</v>
      </c>
      <c r="F250" s="1137">
        <v>26000</v>
      </c>
      <c r="G250" s="1134">
        <v>10</v>
      </c>
      <c r="H250" s="1137">
        <v>25200</v>
      </c>
      <c r="I250" s="1134">
        <v>16.20</v>
      </c>
      <c r="J250" s="1138">
        <v>5038</v>
      </c>
      <c r="K250" s="1139"/>
      <c r="L250" s="1140">
        <v>42124</v>
      </c>
      <c r="M250" s="269">
        <f t="shared" si="39"/>
        <v>2</v>
      </c>
      <c r="N250" s="1141">
        <v>150</v>
      </c>
      <c r="O250" s="1087">
        <f t="shared" si="40"/>
        <v>2870.1333333333332</v>
      </c>
      <c r="P250" s="269">
        <f t="shared" si="57"/>
        <v>1</v>
      </c>
      <c r="Q250" s="269" t="str">
        <f t="shared" si="41"/>
        <v/>
      </c>
      <c r="R250" s="1147"/>
      <c r="S250" s="1143" t="str">
        <f t="shared" si="42"/>
        <v>Downsize</v>
      </c>
      <c r="T250" s="1144">
        <f t="shared" si="43"/>
        <v>2298.730158730159</v>
      </c>
      <c r="U250" s="1144">
        <f t="shared" si="44"/>
        <v>917.22222222222229</v>
      </c>
      <c r="V250" s="1146">
        <f t="shared" si="45"/>
        <v>9073.8124098124099</v>
      </c>
      <c r="W250" s="1146">
        <f t="shared" si="46"/>
        <v>6295.0965867828618</v>
      </c>
      <c r="X250" s="1146">
        <f t="shared" si="47"/>
        <v>2778.7158230295481</v>
      </c>
      <c r="Y250" s="1146">
        <f t="shared" si="48"/>
        <v>7177.3358774404078</v>
      </c>
      <c r="Z250" s="1146">
        <f t="shared" si="49"/>
        <v>6295.0965867828618</v>
      </c>
      <c r="AA250" s="1146">
        <f t="shared" si="50"/>
        <v>882.23929065754601</v>
      </c>
      <c r="AB250" s="1146">
        <f t="shared" si="51"/>
        <v>8794.6181818181813</v>
      </c>
      <c r="AC250" s="1146">
        <f t="shared" si="52"/>
        <v>6295.0965867828618</v>
      </c>
      <c r="AD250" s="1146">
        <f t="shared" si="53"/>
        <v>2499.5215950353195</v>
      </c>
      <c r="AE250" s="1146">
        <f t="shared" si="54"/>
        <v>6956.4947735191636</v>
      </c>
      <c r="AF250" s="1146">
        <f t="shared" si="55"/>
        <v>6295.0965867828618</v>
      </c>
      <c r="AG250" s="1146">
        <f t="shared" si="56"/>
        <v>661.3981867363018</v>
      </c>
    </row>
    <row r="251" spans="2:33" ht="14.4">
      <c r="B251" s="1134">
        <v>7433725</v>
      </c>
      <c r="C251" s="1135"/>
      <c r="D251" s="1134">
        <v>497623</v>
      </c>
      <c r="E251" s="1136">
        <v>42115</v>
      </c>
      <c r="F251" s="1137">
        <v>24000</v>
      </c>
      <c r="G251" s="1134">
        <v>10</v>
      </c>
      <c r="H251" s="1137">
        <v>24000</v>
      </c>
      <c r="I251" s="1134">
        <v>17</v>
      </c>
      <c r="J251" s="1138">
        <v>6160</v>
      </c>
      <c r="K251" s="1139"/>
      <c r="L251" s="1140">
        <v>42124</v>
      </c>
      <c r="M251" s="269">
        <f t="shared" si="39"/>
        <v>2</v>
      </c>
      <c r="N251" s="1141">
        <v>175</v>
      </c>
      <c r="O251" s="1087">
        <f t="shared" si="40"/>
        <v>2715.6705882352944</v>
      </c>
      <c r="P251" s="269">
        <f t="shared" si="57"/>
        <v>1</v>
      </c>
      <c r="Q251" s="269" t="str">
        <f t="shared" si="41"/>
        <v/>
      </c>
      <c r="R251" s="1147"/>
      <c r="S251" s="1143" t="str">
        <f t="shared" si="42"/>
        <v>Same Size</v>
      </c>
      <c r="T251" s="1144">
        <f t="shared" si="43"/>
        <v>2228</v>
      </c>
      <c r="U251" s="1144">
        <f t="shared" si="44"/>
        <v>889</v>
      </c>
      <c r="V251" s="1146">
        <f t="shared" si="45"/>
        <v>8118.1090909090908</v>
      </c>
      <c r="W251" s="1146">
        <f t="shared" si="46"/>
        <v>5655.5294117647063</v>
      </c>
      <c r="X251" s="1146">
        <f t="shared" si="47"/>
        <v>2462.5796791443845</v>
      </c>
      <c r="Y251" s="1146">
        <f t="shared" si="48"/>
        <v>6421.3797909407658</v>
      </c>
      <c r="Z251" s="1146">
        <f t="shared" si="49"/>
        <v>5655.5294117647063</v>
      </c>
      <c r="AA251" s="1146">
        <f t="shared" si="50"/>
        <v>765.8503791760595</v>
      </c>
      <c r="AB251" s="1146">
        <f t="shared" si="51"/>
        <v>8118.1090909090908</v>
      </c>
      <c r="AC251" s="1146">
        <f t="shared" si="52"/>
        <v>5655.5294117647063</v>
      </c>
      <c r="AD251" s="1146">
        <f t="shared" si="53"/>
        <v>2462.5796791443845</v>
      </c>
      <c r="AE251" s="1146">
        <f t="shared" si="54"/>
        <v>6421.3797909407658</v>
      </c>
      <c r="AF251" s="1146">
        <f t="shared" si="55"/>
        <v>5655.5294117647063</v>
      </c>
      <c r="AG251" s="1146">
        <f t="shared" si="56"/>
        <v>765.8503791760595</v>
      </c>
    </row>
    <row r="252" spans="2:33" ht="14.4">
      <c r="B252" s="1134">
        <v>4600789</v>
      </c>
      <c r="C252" s="1135"/>
      <c r="D252" s="1134">
        <v>417577</v>
      </c>
      <c r="E252" s="1136">
        <v>42108</v>
      </c>
      <c r="F252" s="1137">
        <v>42000</v>
      </c>
      <c r="G252" s="1134">
        <v>10</v>
      </c>
      <c r="H252" s="1137">
        <v>41500</v>
      </c>
      <c r="I252" s="1134">
        <v>15</v>
      </c>
      <c r="J252" s="1138">
        <v>5265</v>
      </c>
      <c r="K252" s="1139"/>
      <c r="L252" s="1140">
        <v>42124</v>
      </c>
      <c r="M252" s="269">
        <f t="shared" si="58" ref="M252:M315">IF(MAX(K252,L252)&lt;40000,"",ROUNDUP(MONTH(MAX(K252,L252))/3,0))</f>
        <v>2</v>
      </c>
      <c r="N252" s="1141">
        <v>225</v>
      </c>
      <c r="O252" s="1087">
        <f t="shared" si="59" ref="O252:O315">IF(F252&lt;1,"",2.748*(F252/G252-H252/I252))</f>
        <v>3938.8000000000006</v>
      </c>
      <c r="P252" s="269">
        <f t="shared" si="57"/>
        <v>1</v>
      </c>
      <c r="Q252" s="269" t="str">
        <f t="shared" si="60" ref="Q252:Q315">IF(K252&gt;0,1,"")</f>
        <v/>
      </c>
      <c r="R252" s="1147"/>
      <c r="S252" s="1143" t="str">
        <f t="shared" si="42"/>
        <v>Downsize</v>
      </c>
      <c r="T252" s="1144">
        <f t="shared" si="43"/>
        <v>2254.8433734939758</v>
      </c>
      <c r="U252" s="1144">
        <f t="shared" si="44"/>
        <v>899.71084337349396</v>
      </c>
      <c r="V252" s="1146">
        <f t="shared" si="45"/>
        <v>14377.855859802847</v>
      </c>
      <c r="W252" s="1146">
        <f t="shared" si="46"/>
        <v>10631.10588235294</v>
      </c>
      <c r="X252" s="1146">
        <f t="shared" si="47"/>
        <v>3746.7499774499065</v>
      </c>
      <c r="Y252" s="1146">
        <f t="shared" si="48"/>
        <v>11372.805171907141</v>
      </c>
      <c r="Z252" s="1146">
        <f t="shared" si="49"/>
        <v>10631.10588235294</v>
      </c>
      <c r="AA252" s="1146">
        <f t="shared" si="50"/>
        <v>741.69928955420073</v>
      </c>
      <c r="AB252" s="1146">
        <f t="shared" si="51"/>
        <v>14206.690909090907</v>
      </c>
      <c r="AC252" s="1146">
        <f t="shared" si="52"/>
        <v>10631.10588235294</v>
      </c>
      <c r="AD252" s="1146">
        <f t="shared" si="53"/>
        <v>3575.5850267379665</v>
      </c>
      <c r="AE252" s="1146">
        <f t="shared" si="54"/>
        <v>11237.414634146342</v>
      </c>
      <c r="AF252" s="1146">
        <f t="shared" si="55"/>
        <v>10631.10588235294</v>
      </c>
      <c r="AG252" s="1146">
        <f t="shared" si="56"/>
        <v>606.30875179340183</v>
      </c>
    </row>
    <row r="253" spans="2:33" ht="14.4">
      <c r="B253" s="1134">
        <v>1160936</v>
      </c>
      <c r="C253" s="1135"/>
      <c r="D253" s="1134">
        <v>116093</v>
      </c>
      <c r="E253" s="1136">
        <v>42052</v>
      </c>
      <c r="F253" s="1137">
        <v>36000</v>
      </c>
      <c r="G253" s="1134">
        <v>10</v>
      </c>
      <c r="H253" s="1137">
        <v>33800</v>
      </c>
      <c r="I253" s="1134">
        <v>15</v>
      </c>
      <c r="J253" s="1138">
        <v>6487</v>
      </c>
      <c r="K253" s="1139"/>
      <c r="L253" s="1140">
        <v>42124</v>
      </c>
      <c r="M253" s="269">
        <f t="shared" si="58"/>
        <v>2</v>
      </c>
      <c r="N253" s="1141">
        <v>175</v>
      </c>
      <c r="O253" s="1087">
        <f t="shared" si="59"/>
        <v>3700.64</v>
      </c>
      <c r="P253" s="269">
        <f t="shared" si="57"/>
        <v>1</v>
      </c>
      <c r="Q253" s="269" t="str">
        <f t="shared" si="60"/>
        <v/>
      </c>
      <c r="R253" s="1147"/>
      <c r="S253" s="1143" t="str">
        <f t="shared" si="61" ref="S253:S316">IF(F253=H253,"Same Size",IF(F253&lt;H253,"Upsize","Downsize"))</f>
        <v>Downsize</v>
      </c>
      <c r="T253" s="1144">
        <f t="shared" si="62" ref="T253:T316">($F253/$H253)*$K$35</f>
        <v>2373.0177514792904</v>
      </c>
      <c r="U253" s="1144">
        <f t="shared" si="63" ref="U253:U316">($F253/$H253)*$K$36</f>
        <v>946.86390532544385</v>
      </c>
      <c r="V253" s="1146">
        <f t="shared" si="64" ref="V253:V316">$P253*$F253/1000*($T253/$G253+$U253/$K$33)</f>
        <v>12969.760086067779</v>
      </c>
      <c r="W253" s="1146">
        <f t="shared" si="65" ref="W253:W316">$P253*$H253/1000*($T253/$I253+$U253/$K$32)</f>
        <v>9112.3764705882368</v>
      </c>
      <c r="X253" s="1146">
        <f t="shared" si="66" ref="X253:X316">V253-W253</f>
        <v>3857.3836154795426</v>
      </c>
      <c r="Y253" s="1146">
        <f t="shared" si="67" ref="Y253:Y316">$P253*$F253/1000*($T253/14+$U253/$K$34)</f>
        <v>10259.009133455664</v>
      </c>
      <c r="Z253" s="1146">
        <f t="shared" si="68" ref="Z253:Z316">$P253*$H253/1000*($T253/$I253+$U253/$K$32)</f>
        <v>9112.3764705882368</v>
      </c>
      <c r="AA253" s="1146">
        <f t="shared" si="69" ref="AA253:AA316">Y253-Z253</f>
        <v>1146.6326628674269</v>
      </c>
      <c r="AB253" s="1146">
        <f t="shared" si="70" ref="AB253:AB316">$P253*$H253/1000*($T253/$G253+$U253/$K$33)</f>
        <v>12177.163636363637</v>
      </c>
      <c r="AC253" s="1146">
        <f t="shared" si="71" ref="AC253:AC316">$P253*$H253/1000*($T253/$I253+$U253/$K$32)</f>
        <v>9112.3764705882368</v>
      </c>
      <c r="AD253" s="1146">
        <f t="shared" si="72" ref="AD253:AD316">AB253-AC253</f>
        <v>3064.7871657754004</v>
      </c>
      <c r="AE253" s="1146">
        <f t="shared" si="73" ref="AE253:AE316">$P253*$H253/1000*($T253/14+$U253/$K$34)</f>
        <v>9632.0696864111505</v>
      </c>
      <c r="AF253" s="1146">
        <f t="shared" si="74" ref="AF253:AF316">$P253*$H253/1000*($T253/$I253+$U253/$K$32)</f>
        <v>9112.3764705882368</v>
      </c>
      <c r="AG253" s="1146">
        <f t="shared" si="75" ref="AG253:AG316">AE253-AF253</f>
        <v>519.69321582291377</v>
      </c>
    </row>
    <row r="254" spans="2:33" ht="14.4">
      <c r="B254" s="1134">
        <v>2652360</v>
      </c>
      <c r="C254" s="1135"/>
      <c r="D254" s="1134">
        <v>265236</v>
      </c>
      <c r="E254" s="1136">
        <v>42103</v>
      </c>
      <c r="F254" s="1137">
        <v>30000</v>
      </c>
      <c r="G254" s="1134">
        <v>10</v>
      </c>
      <c r="H254" s="1137">
        <v>34800</v>
      </c>
      <c r="I254" s="1134">
        <v>15</v>
      </c>
      <c r="J254" s="1138">
        <v>5073</v>
      </c>
      <c r="K254" s="1139"/>
      <c r="L254" s="1140">
        <v>42124</v>
      </c>
      <c r="M254" s="269">
        <f t="shared" si="58"/>
        <v>2</v>
      </c>
      <c r="N254" s="1141">
        <v>175</v>
      </c>
      <c r="O254" s="1087">
        <f t="shared" si="59"/>
        <v>1868.64</v>
      </c>
      <c r="P254" s="269">
        <f t="shared" si="57"/>
        <v>1</v>
      </c>
      <c r="Q254" s="269" t="str">
        <f t="shared" si="60"/>
        <v/>
      </c>
      <c r="R254" s="1147"/>
      <c r="S254" s="1143" t="str">
        <f t="shared" si="61"/>
        <v>Upsize</v>
      </c>
      <c r="T254" s="1144">
        <f t="shared" si="62"/>
        <v>1920.6896551724137</v>
      </c>
      <c r="U254" s="1144">
        <f t="shared" si="63"/>
        <v>766.37931034482756</v>
      </c>
      <c r="V254" s="1146">
        <f t="shared" si="64"/>
        <v>8747.962382445141</v>
      </c>
      <c r="W254" s="1146">
        <f t="shared" si="65"/>
        <v>7593.6470588235288</v>
      </c>
      <c r="X254" s="1146">
        <f t="shared" si="66"/>
        <v>1154.3153236216122</v>
      </c>
      <c r="Y254" s="1146">
        <f t="shared" si="67"/>
        <v>6919.5902919620321</v>
      </c>
      <c r="Z254" s="1146">
        <f t="shared" si="68"/>
        <v>7593.6470588235288</v>
      </c>
      <c r="AA254" s="1146">
        <f t="shared" si="69"/>
        <v>-674.05676686149673</v>
      </c>
      <c r="AB254" s="1146">
        <f t="shared" si="70"/>
        <v>10147.636363636364</v>
      </c>
      <c r="AC254" s="1146">
        <f t="shared" si="71"/>
        <v>7593.6470588235288</v>
      </c>
      <c r="AD254" s="1146">
        <f t="shared" si="72"/>
        <v>2553.9893048128351</v>
      </c>
      <c r="AE254" s="1146">
        <f t="shared" si="73"/>
        <v>8026.7247386759573</v>
      </c>
      <c r="AF254" s="1146">
        <f t="shared" si="74"/>
        <v>7593.6470588235288</v>
      </c>
      <c r="AG254" s="1146">
        <f t="shared" si="75"/>
        <v>433.07767985242845</v>
      </c>
    </row>
    <row r="255" spans="2:33" ht="14.4">
      <c r="B255" s="1134">
        <v>3990025</v>
      </c>
      <c r="C255" s="1135"/>
      <c r="D255" s="1134">
        <v>394645</v>
      </c>
      <c r="E255" s="1136">
        <v>42089</v>
      </c>
      <c r="F255" s="1137">
        <v>48000</v>
      </c>
      <c r="G255" s="1134">
        <v>13</v>
      </c>
      <c r="H255" s="1137">
        <v>46500</v>
      </c>
      <c r="I255" s="1134">
        <v>18</v>
      </c>
      <c r="J255" s="1138">
        <v>10122</v>
      </c>
      <c r="K255" s="1139"/>
      <c r="L255" s="1140">
        <v>42124</v>
      </c>
      <c r="M255" s="269">
        <f t="shared" si="58"/>
        <v>2</v>
      </c>
      <c r="N255" s="1141">
        <v>350</v>
      </c>
      <c r="O255" s="1087">
        <f t="shared" si="59"/>
        <v>3047.4615384615386</v>
      </c>
      <c r="P255" s="269">
        <f t="shared" si="57"/>
        <v>1</v>
      </c>
      <c r="Q255" s="269" t="str">
        <f t="shared" si="60"/>
        <v/>
      </c>
      <c r="R255" s="1147"/>
      <c r="S255" s="1143" t="str">
        <f t="shared" si="61"/>
        <v>Downsize</v>
      </c>
      <c r="T255" s="1144">
        <f t="shared" si="62"/>
        <v>2299.8709677419356</v>
      </c>
      <c r="U255" s="1144">
        <f t="shared" si="63"/>
        <v>917.67741935483866</v>
      </c>
      <c r="V255" s="1146">
        <f t="shared" si="64"/>
        <v>14212.417775772614</v>
      </c>
      <c r="W255" s="1146">
        <f t="shared" si="65"/>
        <v>10961.568627450981</v>
      </c>
      <c r="X255" s="1146">
        <f t="shared" si="66"/>
        <v>3250.849148321633</v>
      </c>
      <c r="Y255" s="1146">
        <f t="shared" si="67"/>
        <v>13257.042149039004</v>
      </c>
      <c r="Z255" s="1146">
        <f t="shared" si="68"/>
        <v>10961.568627450981</v>
      </c>
      <c r="AA255" s="1146">
        <f t="shared" si="69"/>
        <v>2295.4735215880228</v>
      </c>
      <c r="AB255" s="1146">
        <f t="shared" si="70"/>
        <v>13768.279720279719</v>
      </c>
      <c r="AC255" s="1146">
        <f t="shared" si="71"/>
        <v>10961.568627450981</v>
      </c>
      <c r="AD255" s="1146">
        <f t="shared" si="72"/>
        <v>2806.7110928287384</v>
      </c>
      <c r="AE255" s="1146">
        <f t="shared" si="73"/>
        <v>12842.759581881533</v>
      </c>
      <c r="AF255" s="1146">
        <f t="shared" si="74"/>
        <v>10961.568627450981</v>
      </c>
      <c r="AG255" s="1146">
        <f t="shared" si="75"/>
        <v>1881.1909544305527</v>
      </c>
    </row>
    <row r="256" spans="2:33" ht="14.4">
      <c r="B256" s="1134">
        <v>5148838</v>
      </c>
      <c r="C256" s="1135"/>
      <c r="D256" s="1134">
        <v>348665</v>
      </c>
      <c r="E256" s="1136">
        <v>42096</v>
      </c>
      <c r="F256" s="1137">
        <v>48000</v>
      </c>
      <c r="G256" s="1134">
        <v>12</v>
      </c>
      <c r="H256" s="1137">
        <v>46000</v>
      </c>
      <c r="I256" s="1134">
        <v>18</v>
      </c>
      <c r="J256" s="1138">
        <v>10939</v>
      </c>
      <c r="K256" s="1139"/>
      <c r="L256" s="1140">
        <v>42124</v>
      </c>
      <c r="M256" s="269">
        <f t="shared" si="58"/>
        <v>2</v>
      </c>
      <c r="N256" s="1141">
        <v>350</v>
      </c>
      <c r="O256" s="1087">
        <f t="shared" si="59"/>
        <v>3969.3333333333335</v>
      </c>
      <c r="P256" s="269">
        <f t="shared" si="57"/>
        <v>1</v>
      </c>
      <c r="Q256" s="269" t="str">
        <f t="shared" si="60"/>
        <v/>
      </c>
      <c r="R256" s="1147"/>
      <c r="S256" s="1143" t="str">
        <f t="shared" si="61"/>
        <v>Downsize</v>
      </c>
      <c r="T256" s="1144">
        <f t="shared" si="62"/>
        <v>2324.869565217391</v>
      </c>
      <c r="U256" s="1144">
        <f t="shared" si="63"/>
        <v>927.6521739130435</v>
      </c>
      <c r="V256" s="1146">
        <f t="shared" si="64"/>
        <v>15082.245059288538</v>
      </c>
      <c r="W256" s="1146">
        <f t="shared" si="65"/>
        <v>10961.568627450981</v>
      </c>
      <c r="X256" s="1146">
        <f t="shared" si="66"/>
        <v>4120.6764318375572</v>
      </c>
      <c r="Y256" s="1146">
        <f t="shared" si="67"/>
        <v>13401.140433267687</v>
      </c>
      <c r="Z256" s="1146">
        <f t="shared" si="68"/>
        <v>10961.568627450981</v>
      </c>
      <c r="AA256" s="1146">
        <f t="shared" si="69"/>
        <v>2439.5718058167058</v>
      </c>
      <c r="AB256" s="1146">
        <f t="shared" si="70"/>
        <v>14453.818181818182</v>
      </c>
      <c r="AC256" s="1146">
        <f t="shared" si="71"/>
        <v>10961.568627450981</v>
      </c>
      <c r="AD256" s="1146">
        <f t="shared" si="72"/>
        <v>3492.2495543672012</v>
      </c>
      <c r="AE256" s="1146">
        <f t="shared" si="73"/>
        <v>12842.759581881533</v>
      </c>
      <c r="AF256" s="1146">
        <f t="shared" si="74"/>
        <v>10961.568627450981</v>
      </c>
      <c r="AG256" s="1146">
        <f t="shared" si="75"/>
        <v>1881.1909544305527</v>
      </c>
    </row>
    <row r="257" spans="2:33" ht="14.4">
      <c r="B257" s="1134">
        <v>8823327</v>
      </c>
      <c r="C257" s="1135"/>
      <c r="D257" s="1134">
        <v>497087</v>
      </c>
      <c r="E257" s="1136">
        <v>42082</v>
      </c>
      <c r="F257" s="1137">
        <v>48000</v>
      </c>
      <c r="G257" s="1134">
        <v>10</v>
      </c>
      <c r="H257" s="1137">
        <v>47500</v>
      </c>
      <c r="I257" s="1134">
        <v>15</v>
      </c>
      <c r="J257" s="1138">
        <v>7100</v>
      </c>
      <c r="K257" s="1139"/>
      <c r="L257" s="1140">
        <v>42124</v>
      </c>
      <c r="M257" s="269">
        <f t="shared" si="58"/>
        <v>2</v>
      </c>
      <c r="N257" s="1141">
        <v>250</v>
      </c>
      <c r="O257" s="1087">
        <f t="shared" si="59"/>
        <v>4488.4000000000005</v>
      </c>
      <c r="P257" s="269">
        <f t="shared" si="57"/>
        <v>1</v>
      </c>
      <c r="Q257" s="269" t="str">
        <f t="shared" si="60"/>
        <v/>
      </c>
      <c r="R257" s="1147"/>
      <c r="S257" s="1143" t="str">
        <f t="shared" si="61"/>
        <v>Downsize</v>
      </c>
      <c r="T257" s="1144">
        <f t="shared" si="62"/>
        <v>2251.4526315789476</v>
      </c>
      <c r="U257" s="1144">
        <f t="shared" si="63"/>
        <v>898.35789473684213</v>
      </c>
      <c r="V257" s="1146">
        <f t="shared" si="64"/>
        <v>16407.125741626798</v>
      </c>
      <c r="W257" s="1146">
        <f t="shared" si="65"/>
        <v>12149.835294117649</v>
      </c>
      <c r="X257" s="1146">
        <f t="shared" si="66"/>
        <v>4257.2904475091491</v>
      </c>
      <c r="Y257" s="1146">
        <f t="shared" si="67"/>
        <v>12977.946524848709</v>
      </c>
      <c r="Z257" s="1146">
        <f t="shared" si="68"/>
        <v>12149.835294117649</v>
      </c>
      <c r="AA257" s="1146">
        <f t="shared" si="69"/>
        <v>828.11123073105955</v>
      </c>
      <c r="AB257" s="1146">
        <f t="shared" si="70"/>
        <v>16236.218181818183</v>
      </c>
      <c r="AC257" s="1146">
        <f t="shared" si="71"/>
        <v>12149.835294117649</v>
      </c>
      <c r="AD257" s="1146">
        <f t="shared" si="72"/>
        <v>4086.3828877005344</v>
      </c>
      <c r="AE257" s="1146">
        <f t="shared" si="73"/>
        <v>12842.759581881535</v>
      </c>
      <c r="AF257" s="1146">
        <f t="shared" si="74"/>
        <v>12149.835294117649</v>
      </c>
      <c r="AG257" s="1146">
        <f t="shared" si="75"/>
        <v>692.92428776388624</v>
      </c>
    </row>
    <row r="258" spans="2:33" ht="14.4">
      <c r="B258" s="1134">
        <v>2380400</v>
      </c>
      <c r="C258" s="1135"/>
      <c r="D258" s="1134">
        <v>133308</v>
      </c>
      <c r="E258" s="1136">
        <v>42083</v>
      </c>
      <c r="F258" s="1137">
        <v>48000</v>
      </c>
      <c r="G258" s="1134">
        <v>10</v>
      </c>
      <c r="H258" s="1137">
        <v>48000</v>
      </c>
      <c r="I258" s="1134">
        <v>20.50</v>
      </c>
      <c r="J258" s="1138">
        <v>10487</v>
      </c>
      <c r="K258" s="1139"/>
      <c r="L258" s="1140">
        <v>42124</v>
      </c>
      <c r="M258" s="269">
        <f t="shared" si="58"/>
        <v>2</v>
      </c>
      <c r="N258" s="1141">
        <v>400</v>
      </c>
      <c r="O258" s="1087">
        <f t="shared" si="59"/>
        <v>6756.0585365853667</v>
      </c>
      <c r="P258" s="269">
        <f t="shared" si="57"/>
        <v>1</v>
      </c>
      <c r="Q258" s="269" t="str">
        <f t="shared" si="60"/>
        <v/>
      </c>
      <c r="R258" s="1147"/>
      <c r="S258" s="1143" t="str">
        <f t="shared" si="61"/>
        <v>Same Size</v>
      </c>
      <c r="T258" s="1144">
        <f t="shared" si="62"/>
        <v>2228</v>
      </c>
      <c r="U258" s="1144">
        <f t="shared" si="63"/>
        <v>889</v>
      </c>
      <c r="V258" s="1146">
        <f t="shared" si="64"/>
        <v>16236.218181818182</v>
      </c>
      <c r="W258" s="1146">
        <f t="shared" si="65"/>
        <v>10237.015781922526</v>
      </c>
      <c r="X258" s="1146">
        <f t="shared" si="66"/>
        <v>5999.2023998956556</v>
      </c>
      <c r="Y258" s="1146">
        <f t="shared" si="67"/>
        <v>12842.759581881532</v>
      </c>
      <c r="Z258" s="1146">
        <f t="shared" si="68"/>
        <v>10237.015781922526</v>
      </c>
      <c r="AA258" s="1146">
        <f t="shared" si="69"/>
        <v>2605.7437999590056</v>
      </c>
      <c r="AB258" s="1146">
        <f t="shared" si="70"/>
        <v>16236.218181818182</v>
      </c>
      <c r="AC258" s="1146">
        <f t="shared" si="71"/>
        <v>10237.015781922526</v>
      </c>
      <c r="AD258" s="1146">
        <f t="shared" si="72"/>
        <v>5999.2023998956556</v>
      </c>
      <c r="AE258" s="1146">
        <f t="shared" si="73"/>
        <v>12842.759581881532</v>
      </c>
      <c r="AF258" s="1146">
        <f t="shared" si="74"/>
        <v>10237.015781922526</v>
      </c>
      <c r="AG258" s="1146">
        <f t="shared" si="75"/>
        <v>2605.7437999590056</v>
      </c>
    </row>
    <row r="259" spans="2:33" ht="14.4">
      <c r="B259" s="1134">
        <v>7490873</v>
      </c>
      <c r="C259" s="1135"/>
      <c r="D259" s="1134">
        <v>158310</v>
      </c>
      <c r="E259" s="1136">
        <v>42094</v>
      </c>
      <c r="F259" s="1137">
        <v>36000</v>
      </c>
      <c r="G259" s="1134">
        <v>8</v>
      </c>
      <c r="H259" s="1137">
        <v>47000</v>
      </c>
      <c r="I259" s="1134">
        <v>15</v>
      </c>
      <c r="J259" s="1138">
        <v>6672</v>
      </c>
      <c r="K259" s="1139"/>
      <c r="L259" s="1140">
        <v>42124</v>
      </c>
      <c r="M259" s="269">
        <f t="shared" si="58"/>
        <v>2</v>
      </c>
      <c r="N259" s="1141">
        <v>250</v>
      </c>
      <c r="O259" s="1087">
        <f t="shared" si="59"/>
        <v>3755.60</v>
      </c>
      <c r="P259" s="269">
        <f t="shared" si="57"/>
        <v>1</v>
      </c>
      <c r="Q259" s="269" t="str">
        <f t="shared" si="60"/>
        <v/>
      </c>
      <c r="R259" s="1147"/>
      <c r="S259" s="1143" t="str">
        <f t="shared" si="61"/>
        <v>Upsize</v>
      </c>
      <c r="T259" s="1144">
        <f t="shared" si="62"/>
        <v>1706.5531914893618</v>
      </c>
      <c r="U259" s="1144">
        <f t="shared" si="63"/>
        <v>680.936170212766</v>
      </c>
      <c r="V259" s="1146">
        <f t="shared" si="64"/>
        <v>10863.087040618955</v>
      </c>
      <c r="W259" s="1146">
        <f t="shared" si="65"/>
        <v>9112.376470588235</v>
      </c>
      <c r="X259" s="1146">
        <f t="shared" si="66"/>
        <v>1750.7105700307202</v>
      </c>
      <c r="Y259" s="1146">
        <f t="shared" si="67"/>
        <v>7377.755504485136</v>
      </c>
      <c r="Z259" s="1146">
        <f t="shared" si="68"/>
        <v>9112.376470588235</v>
      </c>
      <c r="AA259" s="1146">
        <f t="shared" si="69"/>
        <v>-1734.6209661030989</v>
      </c>
      <c r="AB259" s="1146">
        <f t="shared" si="70"/>
        <v>14182.363636363636</v>
      </c>
      <c r="AC259" s="1146">
        <f t="shared" si="71"/>
        <v>9112.376470588235</v>
      </c>
      <c r="AD259" s="1146">
        <f t="shared" si="72"/>
        <v>5069.9871657754011</v>
      </c>
      <c r="AE259" s="1146">
        <f t="shared" si="73"/>
        <v>9632.0696864111505</v>
      </c>
      <c r="AF259" s="1146">
        <f t="shared" si="74"/>
        <v>9112.376470588235</v>
      </c>
      <c r="AG259" s="1146">
        <f t="shared" si="75"/>
        <v>519.69321582291559</v>
      </c>
    </row>
    <row r="260" spans="2:33" ht="14.4">
      <c r="B260" s="1134">
        <v>3337144</v>
      </c>
      <c r="C260" s="1135"/>
      <c r="D260" s="1134">
        <v>333714</v>
      </c>
      <c r="E260" s="1136">
        <v>42095</v>
      </c>
      <c r="F260" s="1137">
        <v>36000</v>
      </c>
      <c r="G260" s="1134">
        <v>12</v>
      </c>
      <c r="H260" s="1137">
        <v>34200</v>
      </c>
      <c r="I260" s="1134">
        <v>15</v>
      </c>
      <c r="J260" s="1138">
        <v>5850</v>
      </c>
      <c r="K260" s="1139"/>
      <c r="L260" s="1140">
        <v>42124</v>
      </c>
      <c r="M260" s="269">
        <f t="shared" si="58"/>
        <v>2</v>
      </c>
      <c r="N260" s="1141">
        <v>175</v>
      </c>
      <c r="O260" s="1087">
        <f t="shared" si="59"/>
        <v>1978.5600000000002</v>
      </c>
      <c r="P260" s="269">
        <f t="shared" si="57"/>
        <v>1</v>
      </c>
      <c r="Q260" s="269" t="str">
        <f t="shared" si="60"/>
        <v/>
      </c>
      <c r="R260" s="1147"/>
      <c r="S260" s="1143" t="str">
        <f t="shared" si="61"/>
        <v>Downsize</v>
      </c>
      <c r="T260" s="1144">
        <f t="shared" si="62"/>
        <v>2345.2631578947367</v>
      </c>
      <c r="U260" s="1144">
        <f t="shared" si="63"/>
        <v>935.78947368421052</v>
      </c>
      <c r="V260" s="1146">
        <f t="shared" si="64"/>
        <v>11410.90909090909</v>
      </c>
      <c r="W260" s="1146">
        <f t="shared" si="65"/>
        <v>9112.3764705882368</v>
      </c>
      <c r="X260" s="1146">
        <f t="shared" si="66"/>
        <v>2298.5326203208533</v>
      </c>
      <c r="Y260" s="1146">
        <f t="shared" si="67"/>
        <v>10139.020722538051</v>
      </c>
      <c r="Z260" s="1146">
        <f t="shared" si="68"/>
        <v>9112.3764705882368</v>
      </c>
      <c r="AA260" s="1146">
        <f t="shared" si="69"/>
        <v>1026.6442519498141</v>
      </c>
      <c r="AB260" s="1146">
        <f t="shared" si="70"/>
        <v>10840.363636363636</v>
      </c>
      <c r="AC260" s="1146">
        <f t="shared" si="71"/>
        <v>9112.3764705882368</v>
      </c>
      <c r="AD260" s="1146">
        <f t="shared" si="72"/>
        <v>1727.9871657753993</v>
      </c>
      <c r="AE260" s="1146">
        <f t="shared" si="73"/>
        <v>9632.0696864111487</v>
      </c>
      <c r="AF260" s="1146">
        <f t="shared" si="74"/>
        <v>9112.3764705882368</v>
      </c>
      <c r="AG260" s="1146">
        <f t="shared" si="75"/>
        <v>519.69321582291195</v>
      </c>
    </row>
    <row r="261" spans="2:33" ht="14.4">
      <c r="B261" s="1134">
        <v>8837540</v>
      </c>
      <c r="C261" s="1135"/>
      <c r="D261" s="1134">
        <v>341441</v>
      </c>
      <c r="E261" s="1136">
        <v>42016</v>
      </c>
      <c r="F261" s="1137">
        <v>42000</v>
      </c>
      <c r="G261" s="1134">
        <v>8</v>
      </c>
      <c r="H261" s="1137">
        <v>39500</v>
      </c>
      <c r="I261" s="1134">
        <v>15</v>
      </c>
      <c r="J261" s="1138">
        <v>4875</v>
      </c>
      <c r="K261" s="1139"/>
      <c r="L261" s="1140">
        <v>42124</v>
      </c>
      <c r="M261" s="269">
        <f t="shared" si="58"/>
        <v>2</v>
      </c>
      <c r="N261" s="1141">
        <v>225</v>
      </c>
      <c r="O261" s="1087">
        <f t="shared" si="59"/>
        <v>7190.60</v>
      </c>
      <c r="P261" s="269">
        <f t="shared" si="57"/>
        <v>1</v>
      </c>
      <c r="Q261" s="269" t="str">
        <f t="shared" si="60"/>
        <v/>
      </c>
      <c r="R261" s="1147"/>
      <c r="S261" s="1143" t="str">
        <f t="shared" si="61"/>
        <v>Downsize</v>
      </c>
      <c r="T261" s="1144">
        <f t="shared" si="62"/>
        <v>2369.0126582278481</v>
      </c>
      <c r="U261" s="1144">
        <f t="shared" si="63"/>
        <v>945.26582278480998</v>
      </c>
      <c r="V261" s="1146">
        <f t="shared" si="64"/>
        <v>17593.311852704257</v>
      </c>
      <c r="W261" s="1146">
        <f t="shared" si="65"/>
        <v>10631.105882352938</v>
      </c>
      <c r="X261" s="1146">
        <f t="shared" si="66"/>
        <v>6962.2059703513187</v>
      </c>
      <c r="Y261" s="1146">
        <f t="shared" si="67"/>
        <v>11948.643408459402</v>
      </c>
      <c r="Z261" s="1146">
        <f t="shared" si="68"/>
        <v>10631.105882352938</v>
      </c>
      <c r="AA261" s="1146">
        <f t="shared" si="69"/>
        <v>1317.5375261064637</v>
      </c>
      <c r="AB261" s="1146">
        <f t="shared" si="70"/>
        <v>16546.090909090908</v>
      </c>
      <c r="AC261" s="1146">
        <f t="shared" si="71"/>
        <v>10631.105882352938</v>
      </c>
      <c r="AD261" s="1146">
        <f t="shared" si="72"/>
        <v>5914.9850267379697</v>
      </c>
      <c r="AE261" s="1146">
        <f t="shared" si="73"/>
        <v>11237.414634146342</v>
      </c>
      <c r="AF261" s="1146">
        <f t="shared" si="74"/>
        <v>10631.105882352938</v>
      </c>
      <c r="AG261" s="1146">
        <f t="shared" si="75"/>
        <v>606.30875179340364</v>
      </c>
    </row>
    <row r="262" spans="2:33" ht="14.4">
      <c r="B262" s="1134">
        <v>2178101</v>
      </c>
      <c r="C262" s="1135"/>
      <c r="D262" s="1134">
        <v>217213</v>
      </c>
      <c r="E262" s="1136">
        <v>42095</v>
      </c>
      <c r="F262" s="1137">
        <v>48000</v>
      </c>
      <c r="G262" s="1134">
        <v>10</v>
      </c>
      <c r="H262" s="1137">
        <v>47500</v>
      </c>
      <c r="I262" s="1134">
        <v>15</v>
      </c>
      <c r="J262" s="1138">
        <v>5448</v>
      </c>
      <c r="K262" s="1139"/>
      <c r="L262" s="1140">
        <v>42124</v>
      </c>
      <c r="M262" s="269">
        <f t="shared" si="58"/>
        <v>2</v>
      </c>
      <c r="N262" s="1141">
        <v>250</v>
      </c>
      <c r="O262" s="1087">
        <f t="shared" si="59"/>
        <v>4488.4000000000005</v>
      </c>
      <c r="P262" s="269">
        <f t="shared" si="57"/>
        <v>1</v>
      </c>
      <c r="Q262" s="269" t="str">
        <f t="shared" si="60"/>
        <v/>
      </c>
      <c r="R262" s="1147"/>
      <c r="S262" s="1143" t="str">
        <f t="shared" si="61"/>
        <v>Downsize</v>
      </c>
      <c r="T262" s="1144">
        <f t="shared" si="62"/>
        <v>2251.4526315789476</v>
      </c>
      <c r="U262" s="1144">
        <f t="shared" si="63"/>
        <v>898.35789473684213</v>
      </c>
      <c r="V262" s="1146">
        <f t="shared" si="64"/>
        <v>16407.125741626798</v>
      </c>
      <c r="W262" s="1146">
        <f t="shared" si="65"/>
        <v>12149.835294117649</v>
      </c>
      <c r="X262" s="1146">
        <f t="shared" si="66"/>
        <v>4257.2904475091491</v>
      </c>
      <c r="Y262" s="1146">
        <f t="shared" si="67"/>
        <v>12977.946524848709</v>
      </c>
      <c r="Z262" s="1146">
        <f t="shared" si="68"/>
        <v>12149.835294117649</v>
      </c>
      <c r="AA262" s="1146">
        <f t="shared" si="69"/>
        <v>828.11123073105955</v>
      </c>
      <c r="AB262" s="1146">
        <f t="shared" si="70"/>
        <v>16236.218181818183</v>
      </c>
      <c r="AC262" s="1146">
        <f t="shared" si="71"/>
        <v>12149.835294117649</v>
      </c>
      <c r="AD262" s="1146">
        <f t="shared" si="72"/>
        <v>4086.3828877005344</v>
      </c>
      <c r="AE262" s="1146">
        <f t="shared" si="73"/>
        <v>12842.759581881535</v>
      </c>
      <c r="AF262" s="1146">
        <f t="shared" si="74"/>
        <v>12149.835294117649</v>
      </c>
      <c r="AG262" s="1146">
        <f t="shared" si="75"/>
        <v>692.92428776388624</v>
      </c>
    </row>
    <row r="263" spans="2:33" ht="14.4">
      <c r="B263" s="1134">
        <v>2162600</v>
      </c>
      <c r="C263" s="1135"/>
      <c r="D263" s="1134">
        <v>216260</v>
      </c>
      <c r="E263" s="1136">
        <v>42117</v>
      </c>
      <c r="F263" s="1137">
        <v>36000</v>
      </c>
      <c r="G263" s="1134">
        <v>8</v>
      </c>
      <c r="H263" s="1137">
        <v>36000</v>
      </c>
      <c r="I263" s="1134">
        <v>16</v>
      </c>
      <c r="J263" s="1138">
        <v>5900</v>
      </c>
      <c r="K263" s="1139"/>
      <c r="L263" s="1140">
        <v>42117</v>
      </c>
      <c r="M263" s="269">
        <f t="shared" si="58"/>
        <v>2</v>
      </c>
      <c r="N263" s="1141">
        <v>225</v>
      </c>
      <c r="O263" s="1087">
        <f t="shared" si="59"/>
        <v>6183.0000000000009</v>
      </c>
      <c r="P263" s="269">
        <f t="shared" si="57"/>
        <v>1</v>
      </c>
      <c r="Q263" s="269" t="str">
        <f t="shared" si="60"/>
        <v/>
      </c>
      <c r="R263" s="1147"/>
      <c r="S263" s="1143" t="str">
        <f t="shared" si="61"/>
        <v>Same Size</v>
      </c>
      <c r="T263" s="1144">
        <f t="shared" si="62"/>
        <v>2228</v>
      </c>
      <c r="U263" s="1144">
        <f t="shared" si="63"/>
        <v>889</v>
      </c>
      <c r="V263" s="1146">
        <f t="shared" si="64"/>
        <v>14182.363636363636</v>
      </c>
      <c r="W263" s="1146">
        <f t="shared" si="65"/>
        <v>8778.176470588236</v>
      </c>
      <c r="X263" s="1146">
        <f t="shared" si="66"/>
        <v>5404.1871657754</v>
      </c>
      <c r="Y263" s="1146">
        <f t="shared" si="67"/>
        <v>9632.0696864111487</v>
      </c>
      <c r="Z263" s="1146">
        <f t="shared" si="68"/>
        <v>8778.176470588236</v>
      </c>
      <c r="AA263" s="1146">
        <f t="shared" si="69"/>
        <v>853.89321582291268</v>
      </c>
      <c r="AB263" s="1146">
        <f t="shared" si="70"/>
        <v>14182.363636363636</v>
      </c>
      <c r="AC263" s="1146">
        <f t="shared" si="71"/>
        <v>8778.176470588236</v>
      </c>
      <c r="AD263" s="1146">
        <f t="shared" si="72"/>
        <v>5404.1871657754</v>
      </c>
      <c r="AE263" s="1146">
        <f t="shared" si="73"/>
        <v>9632.0696864111487</v>
      </c>
      <c r="AF263" s="1146">
        <f t="shared" si="74"/>
        <v>8778.176470588236</v>
      </c>
      <c r="AG263" s="1146">
        <f t="shared" si="75"/>
        <v>853.89321582291268</v>
      </c>
    </row>
    <row r="264" spans="2:33" ht="14.4">
      <c r="B264" s="1134">
        <v>1991256</v>
      </c>
      <c r="C264" s="1135"/>
      <c r="D264" s="1134">
        <v>199125</v>
      </c>
      <c r="E264" s="1136">
        <v>42084</v>
      </c>
      <c r="F264" s="1137">
        <v>35800</v>
      </c>
      <c r="G264" s="1134">
        <v>11</v>
      </c>
      <c r="H264" s="1137">
        <v>35800</v>
      </c>
      <c r="I264" s="1134">
        <v>15</v>
      </c>
      <c r="J264" s="1138">
        <v>4280</v>
      </c>
      <c r="K264" s="1139"/>
      <c r="L264" s="1140">
        <v>42124</v>
      </c>
      <c r="M264" s="269">
        <f t="shared" si="58"/>
        <v>2</v>
      </c>
      <c r="N264" s="1141">
        <v>175</v>
      </c>
      <c r="O264" s="1087">
        <f t="shared" si="59"/>
        <v>2384.9309090909096</v>
      </c>
      <c r="P264" s="269">
        <f t="shared" si="57"/>
        <v>1</v>
      </c>
      <c r="Q264" s="269" t="str">
        <f t="shared" si="60"/>
        <v/>
      </c>
      <c r="R264" s="1147"/>
      <c r="S264" s="1143" t="str">
        <f t="shared" si="61"/>
        <v>Same Size</v>
      </c>
      <c r="T264" s="1144">
        <f t="shared" si="62"/>
        <v>2228</v>
      </c>
      <c r="U264" s="1144">
        <f t="shared" si="63"/>
        <v>889</v>
      </c>
      <c r="V264" s="1146">
        <f t="shared" si="64"/>
        <v>11384.40</v>
      </c>
      <c r="W264" s="1146">
        <f t="shared" si="65"/>
        <v>9061.7521568627453</v>
      </c>
      <c r="X264" s="1146">
        <f t="shared" si="66"/>
        <v>2322.6478431372543</v>
      </c>
      <c r="Y264" s="1146">
        <f t="shared" si="67"/>
        <v>9578.5581881533089</v>
      </c>
      <c r="Z264" s="1146">
        <f t="shared" si="68"/>
        <v>9061.7521568627453</v>
      </c>
      <c r="AA264" s="1146">
        <f t="shared" si="69"/>
        <v>516.80603129056362</v>
      </c>
      <c r="AB264" s="1146">
        <f t="shared" si="70"/>
        <v>11384.40</v>
      </c>
      <c r="AC264" s="1146">
        <f t="shared" si="71"/>
        <v>9061.7521568627453</v>
      </c>
      <c r="AD264" s="1146">
        <f t="shared" si="72"/>
        <v>2322.6478431372543</v>
      </c>
      <c r="AE264" s="1146">
        <f t="shared" si="73"/>
        <v>9578.5581881533089</v>
      </c>
      <c r="AF264" s="1146">
        <f t="shared" si="74"/>
        <v>9061.7521568627453</v>
      </c>
      <c r="AG264" s="1146">
        <f t="shared" si="75"/>
        <v>516.80603129056362</v>
      </c>
    </row>
    <row r="265" spans="2:33" ht="14.4">
      <c r="B265" s="1134">
        <v>8909484</v>
      </c>
      <c r="C265" s="1135"/>
      <c r="D265" s="1134">
        <v>137580</v>
      </c>
      <c r="E265" s="1136">
        <v>42068</v>
      </c>
      <c r="F265" s="1137">
        <v>42000</v>
      </c>
      <c r="G265" s="1134">
        <v>10</v>
      </c>
      <c r="H265" s="1137">
        <v>42000</v>
      </c>
      <c r="I265" s="1134">
        <v>15</v>
      </c>
      <c r="J265" s="1138">
        <v>4445</v>
      </c>
      <c r="K265" s="1139"/>
      <c r="L265" s="1140">
        <v>42128</v>
      </c>
      <c r="M265" s="269">
        <f t="shared" si="58"/>
        <v>2</v>
      </c>
      <c r="N265" s="1141">
        <v>225</v>
      </c>
      <c r="O265" s="1087">
        <f t="shared" si="59"/>
        <v>3847.2000000000003</v>
      </c>
      <c r="P265" s="269">
        <f t="shared" si="57"/>
        <v>1</v>
      </c>
      <c r="Q265" s="269" t="str">
        <f t="shared" si="60"/>
        <v/>
      </c>
      <c r="R265" s="1147"/>
      <c r="S265" s="1143" t="str">
        <f t="shared" si="61"/>
        <v>Same Size</v>
      </c>
      <c r="T265" s="1144">
        <f t="shared" si="62"/>
        <v>2228</v>
      </c>
      <c r="U265" s="1144">
        <f t="shared" si="63"/>
        <v>889</v>
      </c>
      <c r="V265" s="1146">
        <f t="shared" si="64"/>
        <v>14206.690909090909</v>
      </c>
      <c r="W265" s="1146">
        <f t="shared" si="65"/>
        <v>10631.105882352942</v>
      </c>
      <c r="X265" s="1146">
        <f t="shared" si="66"/>
        <v>3575.5850267379665</v>
      </c>
      <c r="Y265" s="1146">
        <f t="shared" si="67"/>
        <v>11237.41463414634</v>
      </c>
      <c r="Z265" s="1146">
        <f t="shared" si="68"/>
        <v>10631.105882352942</v>
      </c>
      <c r="AA265" s="1146">
        <f t="shared" si="69"/>
        <v>606.30875179339819</v>
      </c>
      <c r="AB265" s="1146">
        <f t="shared" si="70"/>
        <v>14206.690909090909</v>
      </c>
      <c r="AC265" s="1146">
        <f t="shared" si="71"/>
        <v>10631.105882352942</v>
      </c>
      <c r="AD265" s="1146">
        <f t="shared" si="72"/>
        <v>3575.5850267379665</v>
      </c>
      <c r="AE265" s="1146">
        <f t="shared" si="73"/>
        <v>11237.41463414634</v>
      </c>
      <c r="AF265" s="1146">
        <f t="shared" si="74"/>
        <v>10631.105882352942</v>
      </c>
      <c r="AG265" s="1146">
        <f t="shared" si="75"/>
        <v>606.30875179339819</v>
      </c>
    </row>
    <row r="266" spans="2:33" ht="14.4">
      <c r="B266" s="1134">
        <v>8339335</v>
      </c>
      <c r="C266" s="1135"/>
      <c r="D266" s="1134">
        <v>116199</v>
      </c>
      <c r="E266" s="1136">
        <v>42115</v>
      </c>
      <c r="F266" s="1137">
        <v>36000</v>
      </c>
      <c r="G266" s="1134">
        <v>8</v>
      </c>
      <c r="H266" s="1137">
        <v>35800</v>
      </c>
      <c r="I266" s="1134">
        <v>15</v>
      </c>
      <c r="J266" s="1138">
        <v>5397</v>
      </c>
      <c r="K266" s="1139"/>
      <c r="L266" s="1140">
        <v>42128</v>
      </c>
      <c r="M266" s="269">
        <f t="shared" si="58"/>
        <v>2</v>
      </c>
      <c r="N266" s="1141">
        <v>175</v>
      </c>
      <c r="O266" s="1087">
        <f t="shared" si="59"/>
        <v>5807.44</v>
      </c>
      <c r="P266" s="269">
        <f t="shared" si="57"/>
        <v>1</v>
      </c>
      <c r="Q266" s="269" t="str">
        <f t="shared" si="60"/>
        <v/>
      </c>
      <c r="R266" s="1147"/>
      <c r="S266" s="1143" t="str">
        <f t="shared" si="61"/>
        <v>Downsize</v>
      </c>
      <c r="T266" s="1144">
        <f t="shared" si="62"/>
        <v>2240.4469273743016</v>
      </c>
      <c r="U266" s="1144">
        <f t="shared" si="63"/>
        <v>893.96648044692745</v>
      </c>
      <c r="V266" s="1146">
        <f t="shared" si="64"/>
        <v>14261.594718131031</v>
      </c>
      <c r="W266" s="1146">
        <f t="shared" si="65"/>
        <v>9112.3764705882331</v>
      </c>
      <c r="X266" s="1146">
        <f t="shared" si="66"/>
        <v>5149.2182475427981</v>
      </c>
      <c r="Y266" s="1146">
        <f t="shared" si="67"/>
        <v>9685.8801315866313</v>
      </c>
      <c r="Z266" s="1146">
        <f t="shared" si="68"/>
        <v>9112.3764705882331</v>
      </c>
      <c r="AA266" s="1146">
        <f t="shared" si="69"/>
        <v>573.50366099839812</v>
      </c>
      <c r="AB266" s="1146">
        <f t="shared" si="70"/>
        <v>14182.363636363636</v>
      </c>
      <c r="AC266" s="1146">
        <f t="shared" si="71"/>
        <v>9112.3764705882331</v>
      </c>
      <c r="AD266" s="1146">
        <f t="shared" si="72"/>
        <v>5069.9871657754029</v>
      </c>
      <c r="AE266" s="1146">
        <f t="shared" si="73"/>
        <v>9632.0696864111505</v>
      </c>
      <c r="AF266" s="1146">
        <f t="shared" si="74"/>
        <v>9112.3764705882331</v>
      </c>
      <c r="AG266" s="1146">
        <f t="shared" si="75"/>
        <v>519.69321582291741</v>
      </c>
    </row>
    <row r="267" spans="2:33" ht="14.4">
      <c r="B267" s="1134">
        <v>1732353</v>
      </c>
      <c r="C267" s="1135"/>
      <c r="D267" s="1134">
        <v>173235</v>
      </c>
      <c r="E267" s="1136">
        <v>42095</v>
      </c>
      <c r="F267" s="1137">
        <v>48000</v>
      </c>
      <c r="G267" s="1134">
        <v>8</v>
      </c>
      <c r="H267" s="1137">
        <v>47000</v>
      </c>
      <c r="I267" s="1134">
        <v>19.25</v>
      </c>
      <c r="J267" s="1138">
        <v>9454</v>
      </c>
      <c r="K267" s="1139"/>
      <c r="L267" s="1140">
        <v>42128</v>
      </c>
      <c r="M267" s="269">
        <f t="shared" si="58"/>
        <v>2</v>
      </c>
      <c r="N267" s="1141">
        <v>400</v>
      </c>
      <c r="O267" s="1087">
        <f t="shared" si="59"/>
        <v>9778.5974025974028</v>
      </c>
      <c r="P267" s="269">
        <f t="shared" si="57"/>
        <v>1</v>
      </c>
      <c r="Q267" s="269" t="str">
        <f t="shared" si="60"/>
        <v/>
      </c>
      <c r="R267" s="1147"/>
      <c r="S267" s="1143" t="str">
        <f t="shared" si="61"/>
        <v>Downsize</v>
      </c>
      <c r="T267" s="1144">
        <f t="shared" si="62"/>
        <v>2275.4042553191489</v>
      </c>
      <c r="U267" s="1144">
        <f t="shared" si="63"/>
        <v>907.91489361702122</v>
      </c>
      <c r="V267" s="1146">
        <f t="shared" si="64"/>
        <v>19312.154738878144</v>
      </c>
      <c r="W267" s="1146">
        <f t="shared" si="65"/>
        <v>10575.767761650115</v>
      </c>
      <c r="X267" s="1146">
        <f t="shared" si="66"/>
        <v>8736.3869772280286</v>
      </c>
      <c r="Y267" s="1146">
        <f t="shared" si="67"/>
        <v>13116.009785751354</v>
      </c>
      <c r="Z267" s="1146">
        <f t="shared" si="68"/>
        <v>10575.767761650115</v>
      </c>
      <c r="AA267" s="1146">
        <f t="shared" si="69"/>
        <v>2540.2420241012387</v>
      </c>
      <c r="AB267" s="1146">
        <f t="shared" si="70"/>
        <v>18909.81818181818</v>
      </c>
      <c r="AC267" s="1146">
        <f t="shared" si="71"/>
        <v>10575.767761650115</v>
      </c>
      <c r="AD267" s="1146">
        <f t="shared" si="72"/>
        <v>8334.0504201680651</v>
      </c>
      <c r="AE267" s="1146">
        <f t="shared" si="73"/>
        <v>12842.759581881533</v>
      </c>
      <c r="AF267" s="1146">
        <f t="shared" si="74"/>
        <v>10575.767761650115</v>
      </c>
      <c r="AG267" s="1146">
        <f t="shared" si="75"/>
        <v>2266.9918202314184</v>
      </c>
    </row>
    <row r="268" spans="2:33" ht="14.4">
      <c r="B268" s="1134">
        <v>3380474</v>
      </c>
      <c r="C268" s="1135"/>
      <c r="D268" s="1134">
        <v>338047</v>
      </c>
      <c r="E268" s="1136">
        <v>42109</v>
      </c>
      <c r="F268" s="1137">
        <v>36000</v>
      </c>
      <c r="G268" s="1134">
        <v>10</v>
      </c>
      <c r="H268" s="1137">
        <v>34600</v>
      </c>
      <c r="I268" s="1134">
        <v>15</v>
      </c>
      <c r="J268" s="1138">
        <v>4000</v>
      </c>
      <c r="K268" s="1139"/>
      <c r="L268" s="1140">
        <v>42128</v>
      </c>
      <c r="M268" s="269">
        <f t="shared" si="58"/>
        <v>2</v>
      </c>
      <c r="N268" s="1141">
        <v>175</v>
      </c>
      <c r="O268" s="1087">
        <f t="shared" si="59"/>
        <v>3554.0800000000008</v>
      </c>
      <c r="P268" s="269">
        <f t="shared" si="57"/>
        <v>1</v>
      </c>
      <c r="Q268" s="269" t="str">
        <f t="shared" si="60"/>
        <v/>
      </c>
      <c r="R268" s="1147"/>
      <c r="S268" s="1143" t="str">
        <f t="shared" si="61"/>
        <v>Downsize</v>
      </c>
      <c r="T268" s="1144">
        <f t="shared" si="62"/>
        <v>2318.150289017341</v>
      </c>
      <c r="U268" s="1144">
        <f t="shared" si="63"/>
        <v>924.97109826589588</v>
      </c>
      <c r="V268" s="1146">
        <f t="shared" si="64"/>
        <v>12669.881240147137</v>
      </c>
      <c r="W268" s="1146">
        <f t="shared" si="65"/>
        <v>9112.3764705882368</v>
      </c>
      <c r="X268" s="1146">
        <f t="shared" si="66"/>
        <v>3557.5047695589001</v>
      </c>
      <c r="Y268" s="1146">
        <f t="shared" si="67"/>
        <v>10021.806610138769</v>
      </c>
      <c r="Z268" s="1146">
        <f t="shared" si="68"/>
        <v>9112.3764705882368</v>
      </c>
      <c r="AA268" s="1146">
        <f t="shared" si="69"/>
        <v>909.43013955053175</v>
      </c>
      <c r="AB268" s="1146">
        <f t="shared" si="70"/>
        <v>12177.163636363637</v>
      </c>
      <c r="AC268" s="1146">
        <f t="shared" si="71"/>
        <v>9112.3764705882368</v>
      </c>
      <c r="AD268" s="1146">
        <f t="shared" si="72"/>
        <v>3064.7871657754004</v>
      </c>
      <c r="AE268" s="1146">
        <f t="shared" si="73"/>
        <v>9632.0696864111505</v>
      </c>
      <c r="AF268" s="1146">
        <f t="shared" si="74"/>
        <v>9112.3764705882368</v>
      </c>
      <c r="AG268" s="1146">
        <f t="shared" si="75"/>
        <v>519.69321582291377</v>
      </c>
    </row>
    <row r="269" spans="2:33" ht="14.4">
      <c r="B269" s="1134">
        <v>4976395</v>
      </c>
      <c r="C269" s="1135"/>
      <c r="D269" s="1134">
        <v>491138</v>
      </c>
      <c r="E269" s="1136">
        <v>42093</v>
      </c>
      <c r="F269" s="1137">
        <v>60000</v>
      </c>
      <c r="G269" s="1134">
        <v>12</v>
      </c>
      <c r="H269" s="1137">
        <v>57500</v>
      </c>
      <c r="I269" s="1134">
        <v>15</v>
      </c>
      <c r="J269" s="1138">
        <v>7919</v>
      </c>
      <c r="K269" s="1139"/>
      <c r="L269" s="1140">
        <v>42129</v>
      </c>
      <c r="M269" s="269">
        <f t="shared" si="58"/>
        <v>2</v>
      </c>
      <c r="N269" s="1141">
        <v>325</v>
      </c>
      <c r="O269" s="1087">
        <f t="shared" si="59"/>
        <v>3206</v>
      </c>
      <c r="P269" s="269">
        <f t="shared" si="57"/>
        <v>1</v>
      </c>
      <c r="Q269" s="269" t="str">
        <f t="shared" si="60"/>
        <v/>
      </c>
      <c r="R269" s="1147"/>
      <c r="S269" s="1143" t="str">
        <f t="shared" si="61"/>
        <v>Downsize</v>
      </c>
      <c r="T269" s="1144">
        <f t="shared" si="62"/>
        <v>2324.869565217391</v>
      </c>
      <c r="U269" s="1144">
        <f t="shared" si="63"/>
        <v>927.6521739130435</v>
      </c>
      <c r="V269" s="1146">
        <f t="shared" si="64"/>
        <v>18852.806324110672</v>
      </c>
      <c r="W269" s="1146">
        <f t="shared" si="65"/>
        <v>15187.294117647058</v>
      </c>
      <c r="X269" s="1146">
        <f t="shared" si="66"/>
        <v>3665.5122064636143</v>
      </c>
      <c r="Y269" s="1146">
        <f t="shared" si="67"/>
        <v>16751.425541584609</v>
      </c>
      <c r="Z269" s="1146">
        <f t="shared" si="68"/>
        <v>15187.294117647058</v>
      </c>
      <c r="AA269" s="1146">
        <f t="shared" si="69"/>
        <v>1564.1314239375515</v>
      </c>
      <c r="AB269" s="1146">
        <f t="shared" si="70"/>
        <v>18067.272727272728</v>
      </c>
      <c r="AC269" s="1146">
        <f t="shared" si="71"/>
        <v>15187.294117647058</v>
      </c>
      <c r="AD269" s="1146">
        <f t="shared" si="72"/>
        <v>2879.9786096256703</v>
      </c>
      <c r="AE269" s="1146">
        <f t="shared" si="73"/>
        <v>16053.449477351916</v>
      </c>
      <c r="AF269" s="1146">
        <f t="shared" si="74"/>
        <v>15187.294117647058</v>
      </c>
      <c r="AG269" s="1146">
        <f t="shared" si="75"/>
        <v>866.15535970485871</v>
      </c>
    </row>
    <row r="270" spans="2:33" ht="14.4">
      <c r="B270" s="1134">
        <v>5864830</v>
      </c>
      <c r="C270" s="1135"/>
      <c r="D270" s="1134">
        <v>428198</v>
      </c>
      <c r="E270" s="1136">
        <v>42058</v>
      </c>
      <c r="F270" s="1137">
        <v>36000</v>
      </c>
      <c r="G270" s="1134">
        <v>10</v>
      </c>
      <c r="H270" s="1137">
        <v>40000</v>
      </c>
      <c r="I270" s="1134">
        <v>15</v>
      </c>
      <c r="J270" s="1138">
        <v>5502</v>
      </c>
      <c r="K270" s="1139"/>
      <c r="L270" s="1140">
        <v>42129</v>
      </c>
      <c r="M270" s="269">
        <f t="shared" si="58"/>
        <v>2</v>
      </c>
      <c r="N270" s="1141">
        <v>225</v>
      </c>
      <c r="O270" s="1087">
        <f t="shared" si="59"/>
        <v>2564.8000000000006</v>
      </c>
      <c r="P270" s="269">
        <f t="shared" si="57"/>
        <v>1</v>
      </c>
      <c r="Q270" s="269" t="str">
        <f t="shared" si="60"/>
        <v/>
      </c>
      <c r="R270" s="1147"/>
      <c r="S270" s="1143" t="str">
        <f t="shared" si="61"/>
        <v>Upsize</v>
      </c>
      <c r="T270" s="1144">
        <f t="shared" si="62"/>
        <v>2005.20</v>
      </c>
      <c r="U270" s="1144">
        <f t="shared" si="63"/>
        <v>800.10</v>
      </c>
      <c r="V270" s="1146">
        <f t="shared" si="64"/>
        <v>10959.447272727273</v>
      </c>
      <c r="W270" s="1146">
        <f t="shared" si="65"/>
        <v>9112.376470588235</v>
      </c>
      <c r="X270" s="1146">
        <f t="shared" si="66"/>
        <v>1847.0708021390383</v>
      </c>
      <c r="Y270" s="1146">
        <f t="shared" si="67"/>
        <v>8668.8627177700364</v>
      </c>
      <c r="Z270" s="1146">
        <f t="shared" si="68"/>
        <v>9112.376470588235</v>
      </c>
      <c r="AA270" s="1146">
        <f t="shared" si="69"/>
        <v>-443.51375281819855</v>
      </c>
      <c r="AB270" s="1146">
        <f t="shared" si="70"/>
        <v>12177.163636363637</v>
      </c>
      <c r="AC270" s="1146">
        <f t="shared" si="71"/>
        <v>9112.376470588235</v>
      </c>
      <c r="AD270" s="1146">
        <f t="shared" si="72"/>
        <v>3064.7871657754022</v>
      </c>
      <c r="AE270" s="1146">
        <f t="shared" si="73"/>
        <v>9632.0696864111505</v>
      </c>
      <c r="AF270" s="1146">
        <f t="shared" si="74"/>
        <v>9112.376470588235</v>
      </c>
      <c r="AG270" s="1146">
        <f t="shared" si="75"/>
        <v>519.69321582291559</v>
      </c>
    </row>
    <row r="271" spans="2:33" ht="14.4">
      <c r="B271" s="1134">
        <v>1349752</v>
      </c>
      <c r="C271" s="1135"/>
      <c r="D271" s="1134">
        <v>134975</v>
      </c>
      <c r="E271" s="1136">
        <v>42123</v>
      </c>
      <c r="F271" s="1137">
        <v>36000</v>
      </c>
      <c r="G271" s="1134">
        <v>10</v>
      </c>
      <c r="H271" s="1137">
        <v>36400</v>
      </c>
      <c r="I271" s="1134">
        <v>16.50</v>
      </c>
      <c r="J271" s="1138">
        <v>7500</v>
      </c>
      <c r="K271" s="1139"/>
      <c r="L271" s="1140">
        <v>42129</v>
      </c>
      <c r="M271" s="269">
        <f t="shared" si="58"/>
        <v>2</v>
      </c>
      <c r="N271" s="1141">
        <v>225</v>
      </c>
      <c r="O271" s="1087">
        <f t="shared" si="59"/>
        <v>3830.545454545455</v>
      </c>
      <c r="P271" s="269">
        <f t="shared" si="57"/>
        <v>1</v>
      </c>
      <c r="Q271" s="269" t="str">
        <f t="shared" si="60"/>
        <v/>
      </c>
      <c r="R271" s="1147"/>
      <c r="S271" s="1143" t="str">
        <f t="shared" si="61"/>
        <v>Upsize</v>
      </c>
      <c r="T271" s="1144">
        <f t="shared" si="62"/>
        <v>2203.5164835164837</v>
      </c>
      <c r="U271" s="1144">
        <f t="shared" si="63"/>
        <v>879.23076923076928</v>
      </c>
      <c r="V271" s="1146">
        <f t="shared" si="64"/>
        <v>12043.348651348653</v>
      </c>
      <c r="W271" s="1146">
        <f t="shared" si="65"/>
        <v>8626.267379679146</v>
      </c>
      <c r="X271" s="1146">
        <f t="shared" si="66"/>
        <v>3417.0812716695073</v>
      </c>
      <c r="Y271" s="1146">
        <f t="shared" si="67"/>
        <v>9526.2227667802581</v>
      </c>
      <c r="Z271" s="1146">
        <f t="shared" si="68"/>
        <v>8626.267379679146</v>
      </c>
      <c r="AA271" s="1146">
        <f t="shared" si="69"/>
        <v>899.95538710111214</v>
      </c>
      <c r="AB271" s="1146">
        <f t="shared" si="70"/>
        <v>12177.163636363639</v>
      </c>
      <c r="AC271" s="1146">
        <f t="shared" si="71"/>
        <v>8626.267379679146</v>
      </c>
      <c r="AD271" s="1146">
        <f t="shared" si="72"/>
        <v>3550.896256684493</v>
      </c>
      <c r="AE271" s="1146">
        <f t="shared" si="73"/>
        <v>9632.0696864111505</v>
      </c>
      <c r="AF271" s="1146">
        <f t="shared" si="74"/>
        <v>8626.267379679146</v>
      </c>
      <c r="AG271" s="1146">
        <f t="shared" si="75"/>
        <v>1005.8023067320046</v>
      </c>
    </row>
    <row r="272" spans="2:33" ht="14.4">
      <c r="B272" s="1134">
        <v>2542801</v>
      </c>
      <c r="C272" s="1135"/>
      <c r="D272" s="1134">
        <v>254280</v>
      </c>
      <c r="E272" s="1136">
        <v>42069</v>
      </c>
      <c r="F272" s="1137">
        <v>42000</v>
      </c>
      <c r="G272" s="1134">
        <v>13</v>
      </c>
      <c r="H272" s="1137">
        <v>39500</v>
      </c>
      <c r="I272" s="1134">
        <v>15</v>
      </c>
      <c r="J272" s="1138">
        <v>6900</v>
      </c>
      <c r="K272" s="1139"/>
      <c r="L272" s="1140">
        <v>42129</v>
      </c>
      <c r="M272" s="269">
        <f t="shared" si="58"/>
        <v>2</v>
      </c>
      <c r="N272" s="1141">
        <v>225</v>
      </c>
      <c r="O272" s="1087">
        <f t="shared" si="59"/>
        <v>1641.7538461538463</v>
      </c>
      <c r="P272" s="269">
        <f t="shared" si="57"/>
        <v>1</v>
      </c>
      <c r="Q272" s="269" t="str">
        <f t="shared" si="60"/>
        <v/>
      </c>
      <c r="R272" s="1147"/>
      <c r="S272" s="1143" t="str">
        <f t="shared" si="61"/>
        <v>Downsize</v>
      </c>
      <c r="T272" s="1144">
        <f t="shared" si="62"/>
        <v>2369.0126582278481</v>
      </c>
      <c r="U272" s="1144">
        <f t="shared" si="63"/>
        <v>945.26582278480998</v>
      </c>
      <c r="V272" s="1146">
        <f t="shared" si="64"/>
        <v>12809.72860051341</v>
      </c>
      <c r="W272" s="1146">
        <f t="shared" si="65"/>
        <v>10631.105882352938</v>
      </c>
      <c r="X272" s="1146">
        <f t="shared" si="66"/>
        <v>2178.6227181604718</v>
      </c>
      <c r="Y272" s="1146">
        <f t="shared" si="67"/>
        <v>11948.643408459402</v>
      </c>
      <c r="Z272" s="1146">
        <f t="shared" si="68"/>
        <v>10631.105882352938</v>
      </c>
      <c r="AA272" s="1146">
        <f t="shared" si="69"/>
        <v>1317.5375261064637</v>
      </c>
      <c r="AB272" s="1146">
        <f t="shared" si="70"/>
        <v>12047.244755244754</v>
      </c>
      <c r="AC272" s="1146">
        <f t="shared" si="71"/>
        <v>10631.105882352938</v>
      </c>
      <c r="AD272" s="1146">
        <f t="shared" si="72"/>
        <v>1416.1388728918155</v>
      </c>
      <c r="AE272" s="1146">
        <f t="shared" si="73"/>
        <v>11237.414634146342</v>
      </c>
      <c r="AF272" s="1146">
        <f t="shared" si="74"/>
        <v>10631.105882352938</v>
      </c>
      <c r="AG272" s="1146">
        <f t="shared" si="75"/>
        <v>606.30875179340364</v>
      </c>
    </row>
    <row r="273" spans="2:33" ht="14.4">
      <c r="B273" s="1134">
        <v>912295</v>
      </c>
      <c r="C273" s="1135"/>
      <c r="D273" s="1134">
        <v>91229</v>
      </c>
      <c r="E273" s="1136">
        <v>41995</v>
      </c>
      <c r="F273" s="1137">
        <v>24000</v>
      </c>
      <c r="G273" s="1134">
        <v>10</v>
      </c>
      <c r="H273" s="1137">
        <v>24000</v>
      </c>
      <c r="I273" s="1134">
        <v>15.25</v>
      </c>
      <c r="J273" s="1138">
        <v>4340</v>
      </c>
      <c r="K273" s="1139"/>
      <c r="L273" s="1140">
        <v>42130</v>
      </c>
      <c r="M273" s="269">
        <f t="shared" si="58"/>
        <v>2</v>
      </c>
      <c r="N273" s="1141">
        <v>275</v>
      </c>
      <c r="O273" s="1087">
        <f t="shared" si="59"/>
        <v>2270.4786885245903</v>
      </c>
      <c r="P273" s="269">
        <f t="shared" si="57"/>
        <v>1</v>
      </c>
      <c r="Q273" s="269" t="str">
        <f t="shared" si="60"/>
        <v/>
      </c>
      <c r="R273" s="1147"/>
      <c r="S273" s="1143" t="str">
        <f t="shared" si="61"/>
        <v>Same Size</v>
      </c>
      <c r="T273" s="1144">
        <f t="shared" si="62"/>
        <v>2228</v>
      </c>
      <c r="U273" s="1144">
        <f t="shared" si="63"/>
        <v>889</v>
      </c>
      <c r="V273" s="1146">
        <f t="shared" si="64"/>
        <v>8118.1090909090908</v>
      </c>
      <c r="W273" s="1146">
        <f t="shared" si="65"/>
        <v>6016.4783027965286</v>
      </c>
      <c r="X273" s="1146">
        <f t="shared" si="66"/>
        <v>2101.6307881125622</v>
      </c>
      <c r="Y273" s="1146">
        <f t="shared" si="67"/>
        <v>6421.3797909407658</v>
      </c>
      <c r="Z273" s="1146">
        <f t="shared" si="68"/>
        <v>6016.4783027965286</v>
      </c>
      <c r="AA273" s="1146">
        <f t="shared" si="69"/>
        <v>404.90148814423719</v>
      </c>
      <c r="AB273" s="1146">
        <f t="shared" si="70"/>
        <v>8118.1090909090908</v>
      </c>
      <c r="AC273" s="1146">
        <f t="shared" si="71"/>
        <v>6016.4783027965286</v>
      </c>
      <c r="AD273" s="1146">
        <f t="shared" si="72"/>
        <v>2101.6307881125622</v>
      </c>
      <c r="AE273" s="1146">
        <f t="shared" si="73"/>
        <v>6421.3797909407658</v>
      </c>
      <c r="AF273" s="1146">
        <f t="shared" si="74"/>
        <v>6016.4783027965286</v>
      </c>
      <c r="AG273" s="1146">
        <f t="shared" si="75"/>
        <v>404.90148814423719</v>
      </c>
    </row>
    <row r="274" spans="2:33" ht="14.4">
      <c r="B274" s="1134">
        <v>4787446</v>
      </c>
      <c r="C274" s="1135"/>
      <c r="D274" s="1134">
        <v>478744</v>
      </c>
      <c r="E274" s="1136">
        <v>42114</v>
      </c>
      <c r="F274" s="1137">
        <v>36000</v>
      </c>
      <c r="G274" s="1134">
        <v>8</v>
      </c>
      <c r="H274" s="1137">
        <v>47500</v>
      </c>
      <c r="I274" s="1134">
        <v>16</v>
      </c>
      <c r="J274" s="1138">
        <v>8512</v>
      </c>
      <c r="K274" s="1139"/>
      <c r="L274" s="1140">
        <v>42130</v>
      </c>
      <c r="M274" s="269">
        <f t="shared" si="58"/>
        <v>2</v>
      </c>
      <c r="N274" s="1141">
        <v>300</v>
      </c>
      <c r="O274" s="1087">
        <f t="shared" si="59"/>
        <v>4207.875</v>
      </c>
      <c r="P274" s="269">
        <f t="shared" si="57"/>
        <v>1</v>
      </c>
      <c r="Q274" s="269" t="str">
        <f t="shared" si="60"/>
        <v/>
      </c>
      <c r="R274" s="1147"/>
      <c r="S274" s="1143" t="str">
        <f t="shared" si="61"/>
        <v>Upsize</v>
      </c>
      <c r="T274" s="1144">
        <f t="shared" si="62"/>
        <v>1688.5894736842106</v>
      </c>
      <c r="U274" s="1144">
        <f t="shared" si="63"/>
        <v>673.76842105263165</v>
      </c>
      <c r="V274" s="1146">
        <f t="shared" si="64"/>
        <v>10748.738755980863</v>
      </c>
      <c r="W274" s="1146">
        <f t="shared" si="65"/>
        <v>8778.176470588236</v>
      </c>
      <c r="X274" s="1146">
        <f t="shared" si="66"/>
        <v>1970.562285392627</v>
      </c>
      <c r="Y274" s="1146">
        <f t="shared" si="67"/>
        <v>7300.0949202273987</v>
      </c>
      <c r="Z274" s="1146">
        <f t="shared" si="68"/>
        <v>8778.176470588236</v>
      </c>
      <c r="AA274" s="1146">
        <f t="shared" si="69"/>
        <v>-1478.0815503608374</v>
      </c>
      <c r="AB274" s="1146">
        <f t="shared" si="70"/>
        <v>14182.36363636364</v>
      </c>
      <c r="AC274" s="1146">
        <f t="shared" si="71"/>
        <v>8778.176470588236</v>
      </c>
      <c r="AD274" s="1146">
        <f t="shared" si="72"/>
        <v>5404.1871657754036</v>
      </c>
      <c r="AE274" s="1146">
        <f t="shared" si="73"/>
        <v>9632.0696864111505</v>
      </c>
      <c r="AF274" s="1146">
        <f t="shared" si="74"/>
        <v>8778.176470588236</v>
      </c>
      <c r="AG274" s="1146">
        <f t="shared" si="75"/>
        <v>853.8932158229145</v>
      </c>
    </row>
    <row r="275" spans="2:33" ht="14.4">
      <c r="B275" s="1134">
        <v>8905569</v>
      </c>
      <c r="C275" s="1135"/>
      <c r="D275" s="1134">
        <v>370882</v>
      </c>
      <c r="E275" s="1136">
        <v>42114</v>
      </c>
      <c r="F275" s="1137">
        <v>42000</v>
      </c>
      <c r="G275" s="1134">
        <v>10</v>
      </c>
      <c r="H275" s="1137">
        <v>41000</v>
      </c>
      <c r="I275" s="1134">
        <v>15</v>
      </c>
      <c r="J275" s="1138">
        <v>6459</v>
      </c>
      <c r="K275" s="1139"/>
      <c r="L275" s="1140">
        <v>42130</v>
      </c>
      <c r="M275" s="269">
        <f t="shared" si="58"/>
        <v>2</v>
      </c>
      <c r="N275" s="1141">
        <v>225</v>
      </c>
      <c r="O275" s="1087">
        <f t="shared" si="59"/>
        <v>4030.40</v>
      </c>
      <c r="P275" s="269">
        <f t="shared" si="57"/>
        <v>1</v>
      </c>
      <c r="Q275" s="269" t="str">
        <f t="shared" si="60"/>
        <v/>
      </c>
      <c r="R275" s="1147"/>
      <c r="S275" s="1143" t="str">
        <f t="shared" si="61"/>
        <v>Downsize</v>
      </c>
      <c r="T275" s="1144">
        <f t="shared" si="62"/>
        <v>2282.3414634146343</v>
      </c>
      <c r="U275" s="1144">
        <f t="shared" si="63"/>
        <v>910.68292682926835</v>
      </c>
      <c r="V275" s="1146">
        <f t="shared" si="64"/>
        <v>14553.195565410199</v>
      </c>
      <c r="W275" s="1146">
        <f t="shared" si="65"/>
        <v>10631.105882352942</v>
      </c>
      <c r="X275" s="1146">
        <f t="shared" si="66"/>
        <v>3922.0896830572565</v>
      </c>
      <c r="Y275" s="1146">
        <f t="shared" si="67"/>
        <v>11511.497917906008</v>
      </c>
      <c r="Z275" s="1146">
        <f t="shared" si="68"/>
        <v>10631.105882352942</v>
      </c>
      <c r="AA275" s="1146">
        <f t="shared" si="69"/>
        <v>880.39203555306631</v>
      </c>
      <c r="AB275" s="1146">
        <f t="shared" si="70"/>
        <v>14206.690909090909</v>
      </c>
      <c r="AC275" s="1146">
        <f t="shared" si="71"/>
        <v>10631.105882352942</v>
      </c>
      <c r="AD275" s="1146">
        <f t="shared" si="72"/>
        <v>3575.5850267379665</v>
      </c>
      <c r="AE275" s="1146">
        <f t="shared" si="73"/>
        <v>11237.414634146342</v>
      </c>
      <c r="AF275" s="1146">
        <f t="shared" si="74"/>
        <v>10631.105882352942</v>
      </c>
      <c r="AG275" s="1146">
        <f t="shared" si="75"/>
        <v>606.30875179340001</v>
      </c>
    </row>
    <row r="276" spans="2:33" ht="14.4">
      <c r="B276" s="1134">
        <v>4100756</v>
      </c>
      <c r="C276" s="1135"/>
      <c r="D276" s="1134">
        <v>410075</v>
      </c>
      <c r="E276" s="1136">
        <v>41960</v>
      </c>
      <c r="F276" s="1137">
        <v>48000</v>
      </c>
      <c r="G276" s="1134">
        <v>13</v>
      </c>
      <c r="H276" s="1137">
        <v>46500</v>
      </c>
      <c r="I276" s="1134">
        <v>15</v>
      </c>
      <c r="J276" s="1138">
        <v>6752</v>
      </c>
      <c r="K276" s="1139"/>
      <c r="L276" s="1140">
        <v>42130</v>
      </c>
      <c r="M276" s="269">
        <f t="shared" si="58"/>
        <v>2</v>
      </c>
      <c r="N276" s="1141">
        <v>300</v>
      </c>
      <c r="O276" s="1087">
        <f t="shared" si="59"/>
        <v>1627.6615384615388</v>
      </c>
      <c r="P276" s="269">
        <f t="shared" si="57"/>
        <v>1</v>
      </c>
      <c r="Q276" s="269" t="str">
        <f t="shared" si="60"/>
        <v/>
      </c>
      <c r="R276" s="1147"/>
      <c r="S276" s="1143" t="str">
        <f t="shared" si="61"/>
        <v>Downsize</v>
      </c>
      <c r="T276" s="1144">
        <f t="shared" si="62"/>
        <v>2299.8709677419356</v>
      </c>
      <c r="U276" s="1144">
        <f t="shared" si="63"/>
        <v>917.67741935483866</v>
      </c>
      <c r="V276" s="1146">
        <f t="shared" si="64"/>
        <v>14212.417775772614</v>
      </c>
      <c r="W276" s="1146">
        <f t="shared" si="65"/>
        <v>12149.835294117649</v>
      </c>
      <c r="X276" s="1146">
        <f t="shared" si="66"/>
        <v>2062.5824816549648</v>
      </c>
      <c r="Y276" s="1146">
        <f t="shared" si="67"/>
        <v>13257.042149039004</v>
      </c>
      <c r="Z276" s="1146">
        <f t="shared" si="68"/>
        <v>12149.835294117649</v>
      </c>
      <c r="AA276" s="1146">
        <f t="shared" si="69"/>
        <v>1107.2068549213545</v>
      </c>
      <c r="AB276" s="1146">
        <f t="shared" si="70"/>
        <v>13768.279720279719</v>
      </c>
      <c r="AC276" s="1146">
        <f t="shared" si="71"/>
        <v>12149.835294117649</v>
      </c>
      <c r="AD276" s="1146">
        <f t="shared" si="72"/>
        <v>1618.4444261620702</v>
      </c>
      <c r="AE276" s="1146">
        <f t="shared" si="73"/>
        <v>12842.759581881533</v>
      </c>
      <c r="AF276" s="1146">
        <f t="shared" si="74"/>
        <v>12149.835294117649</v>
      </c>
      <c r="AG276" s="1146">
        <f t="shared" si="75"/>
        <v>692.92428776388442</v>
      </c>
    </row>
    <row r="277" spans="2:33" ht="14.4">
      <c r="B277" s="1134">
        <v>7229370</v>
      </c>
      <c r="C277" s="1135"/>
      <c r="D277" s="1134">
        <v>143748</v>
      </c>
      <c r="E277" s="1136">
        <v>42095</v>
      </c>
      <c r="F277" s="1137">
        <v>60000</v>
      </c>
      <c r="G277" s="1134">
        <v>10</v>
      </c>
      <c r="H277" s="1137">
        <v>57000</v>
      </c>
      <c r="I277" s="1134">
        <v>16</v>
      </c>
      <c r="J277" s="1138">
        <v>8625</v>
      </c>
      <c r="K277" s="1139"/>
      <c r="L277" s="1140">
        <v>42130</v>
      </c>
      <c r="M277" s="269">
        <f t="shared" si="58"/>
        <v>2</v>
      </c>
      <c r="N277" s="1141">
        <v>375</v>
      </c>
      <c r="O277" s="1087">
        <f t="shared" si="59"/>
        <v>6698.2500000000009</v>
      </c>
      <c r="P277" s="269">
        <f t="shared" si="57"/>
        <v>1</v>
      </c>
      <c r="Q277" s="269" t="str">
        <f t="shared" si="60"/>
        <v/>
      </c>
      <c r="R277" s="1147"/>
      <c r="S277" s="1143" t="str">
        <f t="shared" si="61"/>
        <v>Downsize</v>
      </c>
      <c r="T277" s="1144">
        <f t="shared" si="62"/>
        <v>2345.2631578947367</v>
      </c>
      <c r="U277" s="1144">
        <f t="shared" si="63"/>
        <v>935.78947368421052</v>
      </c>
      <c r="V277" s="1146">
        <f t="shared" si="64"/>
        <v>21363.444976076556</v>
      </c>
      <c r="W277" s="1146">
        <f t="shared" si="65"/>
        <v>14630.294117647058</v>
      </c>
      <c r="X277" s="1146">
        <f t="shared" si="66"/>
        <v>6733.1508584294988</v>
      </c>
      <c r="Y277" s="1146">
        <f t="shared" si="67"/>
        <v>16898.367870896753</v>
      </c>
      <c r="Z277" s="1146">
        <f t="shared" si="68"/>
        <v>14630.294117647058</v>
      </c>
      <c r="AA277" s="1146">
        <f t="shared" si="69"/>
        <v>2268.0737532496951</v>
      </c>
      <c r="AB277" s="1146">
        <f t="shared" si="70"/>
        <v>20295.272727272728</v>
      </c>
      <c r="AC277" s="1146">
        <f t="shared" si="71"/>
        <v>14630.294117647058</v>
      </c>
      <c r="AD277" s="1146">
        <f t="shared" si="72"/>
        <v>5664.9786096256703</v>
      </c>
      <c r="AE277" s="1146">
        <f t="shared" si="73"/>
        <v>16053.449477351915</v>
      </c>
      <c r="AF277" s="1146">
        <f t="shared" si="74"/>
        <v>14630.294117647058</v>
      </c>
      <c r="AG277" s="1146">
        <f t="shared" si="75"/>
        <v>1423.1553597048569</v>
      </c>
    </row>
    <row r="278" spans="2:33" ht="14.4">
      <c r="B278" s="1134">
        <v>4479630</v>
      </c>
      <c r="C278" s="1135"/>
      <c r="D278" s="1134">
        <v>441450</v>
      </c>
      <c r="E278" s="1136">
        <v>42114</v>
      </c>
      <c r="F278" s="1137">
        <v>42000</v>
      </c>
      <c r="G278" s="1134">
        <v>8</v>
      </c>
      <c r="H278" s="1137">
        <v>43500</v>
      </c>
      <c r="I278" s="1134">
        <v>15.50</v>
      </c>
      <c r="J278" s="1138">
        <v>7848</v>
      </c>
      <c r="K278" s="1139"/>
      <c r="L278" s="1140">
        <v>42130</v>
      </c>
      <c r="M278" s="269">
        <f t="shared" si="58"/>
        <v>2</v>
      </c>
      <c r="N278" s="1141">
        <v>225</v>
      </c>
      <c r="O278" s="1087">
        <f t="shared" si="59"/>
        <v>6714.8709677419356</v>
      </c>
      <c r="P278" s="269">
        <f t="shared" si="57"/>
        <v>1</v>
      </c>
      <c r="Q278" s="269" t="str">
        <f t="shared" si="60"/>
        <v/>
      </c>
      <c r="R278" s="1147"/>
      <c r="S278" s="1143" t="str">
        <f t="shared" si="61"/>
        <v>Upsize</v>
      </c>
      <c r="T278" s="1144">
        <f t="shared" si="62"/>
        <v>2151.1724137931037</v>
      </c>
      <c r="U278" s="1144">
        <f t="shared" si="63"/>
        <v>858.34482758620697</v>
      </c>
      <c r="V278" s="1146">
        <f t="shared" si="64"/>
        <v>15975.536050156743</v>
      </c>
      <c r="W278" s="1146">
        <f t="shared" si="65"/>
        <v>10429.867172675524</v>
      </c>
      <c r="X278" s="1146">
        <f t="shared" si="66"/>
        <v>5545.6688774812192</v>
      </c>
      <c r="Y278" s="1146">
        <f t="shared" si="67"/>
        <v>10849.917577796468</v>
      </c>
      <c r="Z278" s="1146">
        <f t="shared" si="68"/>
        <v>10429.867172675524</v>
      </c>
      <c r="AA278" s="1146">
        <f t="shared" si="69"/>
        <v>420.05040512094456</v>
      </c>
      <c r="AB278" s="1146">
        <f t="shared" si="70"/>
        <v>16546.090909090912</v>
      </c>
      <c r="AC278" s="1146">
        <f t="shared" si="71"/>
        <v>10429.867172675524</v>
      </c>
      <c r="AD278" s="1146">
        <f t="shared" si="72"/>
        <v>6116.223736415388</v>
      </c>
      <c r="AE278" s="1146">
        <f t="shared" si="73"/>
        <v>11237.414634146342</v>
      </c>
      <c r="AF278" s="1146">
        <f t="shared" si="74"/>
        <v>10429.867172675524</v>
      </c>
      <c r="AG278" s="1146">
        <f t="shared" si="75"/>
        <v>807.54746147081823</v>
      </c>
    </row>
    <row r="279" spans="2:33" ht="14.4">
      <c r="B279" s="1134">
        <v>1257922</v>
      </c>
      <c r="C279" s="1135"/>
      <c r="D279" s="1134">
        <v>125792</v>
      </c>
      <c r="E279" s="1136">
        <v>42089</v>
      </c>
      <c r="F279" s="1137">
        <v>36000</v>
      </c>
      <c r="G279" s="1134">
        <v>10</v>
      </c>
      <c r="H279" s="1137">
        <v>28400</v>
      </c>
      <c r="I279" s="1134">
        <v>15.50</v>
      </c>
      <c r="J279" s="1138">
        <v>4299</v>
      </c>
      <c r="K279" s="1139"/>
      <c r="L279" s="1140">
        <v>42135</v>
      </c>
      <c r="M279" s="269">
        <f t="shared" si="58"/>
        <v>2</v>
      </c>
      <c r="N279" s="1141">
        <v>150</v>
      </c>
      <c r="O279" s="1087">
        <f t="shared" si="59"/>
        <v>4857.7548387096776</v>
      </c>
      <c r="P279" s="269">
        <f t="shared" si="57"/>
        <v>1</v>
      </c>
      <c r="Q279" s="269" t="str">
        <f t="shared" si="60"/>
        <v/>
      </c>
      <c r="R279" s="1147"/>
      <c r="S279" s="1143" t="str">
        <f t="shared" si="61"/>
        <v>Downsize</v>
      </c>
      <c r="T279" s="1144">
        <f t="shared" si="62"/>
        <v>2824.2253521126763</v>
      </c>
      <c r="U279" s="1144">
        <f t="shared" si="63"/>
        <v>1126.9014084507044</v>
      </c>
      <c r="V279" s="1146">
        <f t="shared" si="64"/>
        <v>15435.841229193342</v>
      </c>
      <c r="W279" s="1146">
        <f t="shared" si="65"/>
        <v>8939.8861480075921</v>
      </c>
      <c r="X279" s="1146">
        <f t="shared" si="66"/>
        <v>6495.9550811857498</v>
      </c>
      <c r="Y279" s="1146">
        <f t="shared" si="67"/>
        <v>12209.665799676108</v>
      </c>
      <c r="Z279" s="1146">
        <f t="shared" si="68"/>
        <v>8939.8861480075921</v>
      </c>
      <c r="AA279" s="1146">
        <f t="shared" si="69"/>
        <v>3269.7796516685157</v>
      </c>
      <c r="AB279" s="1146">
        <f t="shared" si="70"/>
        <v>12177.163636363635</v>
      </c>
      <c r="AC279" s="1146">
        <f t="shared" si="71"/>
        <v>8939.8861480075921</v>
      </c>
      <c r="AD279" s="1146">
        <f t="shared" si="72"/>
        <v>3237.2774883560432</v>
      </c>
      <c r="AE279" s="1146">
        <f t="shared" si="73"/>
        <v>9632.0696864111505</v>
      </c>
      <c r="AF279" s="1146">
        <f t="shared" si="74"/>
        <v>8939.8861480075921</v>
      </c>
      <c r="AG279" s="1146">
        <f t="shared" si="75"/>
        <v>692.18353840355849</v>
      </c>
    </row>
    <row r="280" spans="2:33" ht="14.4">
      <c r="B280" s="1134">
        <v>2045581</v>
      </c>
      <c r="C280" s="1135"/>
      <c r="D280" s="1134">
        <v>156503</v>
      </c>
      <c r="E280" s="1136">
        <v>42124</v>
      </c>
      <c r="F280" s="1137">
        <v>34000</v>
      </c>
      <c r="G280" s="1134">
        <v>10</v>
      </c>
      <c r="H280" s="1137">
        <v>34800</v>
      </c>
      <c r="I280" s="1134">
        <v>15</v>
      </c>
      <c r="J280" s="1138">
        <v>5176</v>
      </c>
      <c r="K280" s="1139"/>
      <c r="L280" s="1140">
        <v>42136</v>
      </c>
      <c r="M280" s="269">
        <f t="shared" si="58"/>
        <v>2</v>
      </c>
      <c r="N280" s="1141">
        <v>175</v>
      </c>
      <c r="O280" s="1087">
        <f t="shared" si="59"/>
        <v>2967.84</v>
      </c>
      <c r="P280" s="269">
        <f t="shared" si="57"/>
        <v>1</v>
      </c>
      <c r="Q280" s="269" t="str">
        <f t="shared" si="60"/>
        <v/>
      </c>
      <c r="R280" s="1147"/>
      <c r="S280" s="1143" t="str">
        <f t="shared" si="61"/>
        <v>Upsize</v>
      </c>
      <c r="T280" s="1144">
        <f t="shared" si="62"/>
        <v>2176.7816091954023</v>
      </c>
      <c r="U280" s="1144">
        <f t="shared" si="63"/>
        <v>868.56321839080465</v>
      </c>
      <c r="V280" s="1146">
        <f t="shared" si="64"/>
        <v>11236.271682340648</v>
      </c>
      <c r="W280" s="1146">
        <f t="shared" si="65"/>
        <v>8606.1333333333332</v>
      </c>
      <c r="X280" s="1146">
        <f t="shared" si="66"/>
        <v>2630.1383490073149</v>
      </c>
      <c r="Y280" s="1146">
        <f t="shared" si="67"/>
        <v>8887.829308342345</v>
      </c>
      <c r="Z280" s="1146">
        <f t="shared" si="68"/>
        <v>8606.1333333333332</v>
      </c>
      <c r="AA280" s="1146">
        <f t="shared" si="69"/>
        <v>281.69597500901182</v>
      </c>
      <c r="AB280" s="1146">
        <f t="shared" si="70"/>
        <v>11500.654545454545</v>
      </c>
      <c r="AC280" s="1146">
        <f t="shared" si="71"/>
        <v>8606.1333333333332</v>
      </c>
      <c r="AD280" s="1146">
        <f t="shared" si="72"/>
        <v>2894.5212121212116</v>
      </c>
      <c r="AE280" s="1146">
        <f t="shared" si="73"/>
        <v>9096.9547038327528</v>
      </c>
      <c r="AF280" s="1146">
        <f t="shared" si="74"/>
        <v>8606.1333333333332</v>
      </c>
      <c r="AG280" s="1146">
        <f t="shared" si="75"/>
        <v>490.82137049941957</v>
      </c>
    </row>
    <row r="281" spans="2:33" ht="14.4">
      <c r="B281" s="1134">
        <v>1344274</v>
      </c>
      <c r="C281" s="1135"/>
      <c r="D281" s="1134">
        <v>134427</v>
      </c>
      <c r="E281" s="1136">
        <v>42086</v>
      </c>
      <c r="F281" s="1137">
        <v>24000</v>
      </c>
      <c r="G281" s="1134">
        <v>10</v>
      </c>
      <c r="H281" s="1137">
        <v>24000</v>
      </c>
      <c r="I281" s="1134">
        <v>16</v>
      </c>
      <c r="J281" s="1138">
        <v>5442</v>
      </c>
      <c r="K281" s="1139"/>
      <c r="L281" s="1140">
        <v>42136</v>
      </c>
      <c r="M281" s="269">
        <f t="shared" si="58"/>
        <v>2</v>
      </c>
      <c r="N281" s="1141">
        <v>150</v>
      </c>
      <c r="O281" s="1087">
        <f t="shared" si="59"/>
        <v>2473.2000000000003</v>
      </c>
      <c r="P281" s="269">
        <f t="shared" si="57"/>
        <v>1</v>
      </c>
      <c r="Q281" s="269" t="str">
        <f t="shared" si="60"/>
        <v/>
      </c>
      <c r="R281" s="1147"/>
      <c r="S281" s="1143" t="str">
        <f t="shared" si="61"/>
        <v>Same Size</v>
      </c>
      <c r="T281" s="1144">
        <f t="shared" si="62"/>
        <v>2228</v>
      </c>
      <c r="U281" s="1144">
        <f t="shared" si="63"/>
        <v>889</v>
      </c>
      <c r="V281" s="1146">
        <f t="shared" si="64"/>
        <v>8118.1090909090908</v>
      </c>
      <c r="W281" s="1146">
        <f t="shared" si="65"/>
        <v>5852.1176470588234</v>
      </c>
      <c r="X281" s="1146">
        <f t="shared" si="66"/>
        <v>2265.9914438502674</v>
      </c>
      <c r="Y281" s="1146">
        <f t="shared" si="67"/>
        <v>6421.3797909407658</v>
      </c>
      <c r="Z281" s="1146">
        <f t="shared" si="68"/>
        <v>5852.1176470588234</v>
      </c>
      <c r="AA281" s="1146">
        <f t="shared" si="69"/>
        <v>569.26214388194239</v>
      </c>
      <c r="AB281" s="1146">
        <f t="shared" si="70"/>
        <v>8118.1090909090908</v>
      </c>
      <c r="AC281" s="1146">
        <f t="shared" si="71"/>
        <v>5852.1176470588234</v>
      </c>
      <c r="AD281" s="1146">
        <f t="shared" si="72"/>
        <v>2265.9914438502674</v>
      </c>
      <c r="AE281" s="1146">
        <f t="shared" si="73"/>
        <v>6421.3797909407658</v>
      </c>
      <c r="AF281" s="1146">
        <f t="shared" si="74"/>
        <v>5852.1176470588234</v>
      </c>
      <c r="AG281" s="1146">
        <f t="shared" si="75"/>
        <v>569.26214388194239</v>
      </c>
    </row>
    <row r="282" spans="2:33" ht="14.4">
      <c r="B282" s="1134">
        <v>8842874</v>
      </c>
      <c r="C282" s="1135"/>
      <c r="D282" s="1134">
        <v>83181</v>
      </c>
      <c r="E282" s="1136">
        <v>42107</v>
      </c>
      <c r="F282" s="1137">
        <v>36000</v>
      </c>
      <c r="G282" s="1134">
        <v>10</v>
      </c>
      <c r="H282" s="1137">
        <v>34200</v>
      </c>
      <c r="I282" s="1134">
        <v>15</v>
      </c>
      <c r="J282" s="1138">
        <v>2897</v>
      </c>
      <c r="K282" s="1139"/>
      <c r="L282" s="1140">
        <v>42136</v>
      </c>
      <c r="M282" s="269">
        <f t="shared" si="58"/>
        <v>2</v>
      </c>
      <c r="N282" s="1141">
        <v>175</v>
      </c>
      <c r="O282" s="1087">
        <f t="shared" si="59"/>
        <v>3627.36</v>
      </c>
      <c r="P282" s="269">
        <f t="shared" si="57"/>
        <v>1</v>
      </c>
      <c r="Q282" s="269" t="str">
        <f t="shared" si="60"/>
        <v/>
      </c>
      <c r="R282" s="1147"/>
      <c r="S282" s="1143" t="str">
        <f t="shared" si="61"/>
        <v>Downsize</v>
      </c>
      <c r="T282" s="1144">
        <f t="shared" si="62"/>
        <v>2345.2631578947367</v>
      </c>
      <c r="U282" s="1144">
        <f t="shared" si="63"/>
        <v>935.78947368421052</v>
      </c>
      <c r="V282" s="1146">
        <f t="shared" si="64"/>
        <v>12818.066985645934</v>
      </c>
      <c r="W282" s="1146">
        <f t="shared" si="65"/>
        <v>9112.3764705882368</v>
      </c>
      <c r="X282" s="1146">
        <f t="shared" si="66"/>
        <v>3705.6905150576968</v>
      </c>
      <c r="Y282" s="1146">
        <f t="shared" si="67"/>
        <v>10139.020722538051</v>
      </c>
      <c r="Z282" s="1146">
        <f t="shared" si="68"/>
        <v>9112.3764705882368</v>
      </c>
      <c r="AA282" s="1146">
        <f t="shared" si="69"/>
        <v>1026.6442519498141</v>
      </c>
      <c r="AB282" s="1146">
        <f t="shared" si="70"/>
        <v>12177.163636363637</v>
      </c>
      <c r="AC282" s="1146">
        <f t="shared" si="71"/>
        <v>9112.3764705882368</v>
      </c>
      <c r="AD282" s="1146">
        <f t="shared" si="72"/>
        <v>3064.7871657754004</v>
      </c>
      <c r="AE282" s="1146">
        <f t="shared" si="73"/>
        <v>9632.0696864111487</v>
      </c>
      <c r="AF282" s="1146">
        <f t="shared" si="74"/>
        <v>9112.3764705882368</v>
      </c>
      <c r="AG282" s="1146">
        <f t="shared" si="75"/>
        <v>519.69321582291195</v>
      </c>
    </row>
    <row r="283" spans="2:33" ht="14.4">
      <c r="B283" s="1134">
        <v>2267508</v>
      </c>
      <c r="C283" s="1135"/>
      <c r="D283" s="1134">
        <v>226750</v>
      </c>
      <c r="E283" s="1136">
        <v>42122</v>
      </c>
      <c r="F283" s="1137">
        <v>36000</v>
      </c>
      <c r="G283" s="1134">
        <v>10</v>
      </c>
      <c r="H283" s="1137">
        <v>41500</v>
      </c>
      <c r="I283" s="1134">
        <v>15</v>
      </c>
      <c r="J283" s="1138">
        <v>5300</v>
      </c>
      <c r="K283" s="1139"/>
      <c r="L283" s="1140">
        <v>42136</v>
      </c>
      <c r="M283" s="269">
        <f t="shared" si="58"/>
        <v>2</v>
      </c>
      <c r="N283" s="1141">
        <v>225</v>
      </c>
      <c r="O283" s="1087">
        <f t="shared" si="59"/>
        <v>2290.0000000000005</v>
      </c>
      <c r="P283" s="269">
        <f t="shared" si="76" ref="P283:P346">IF(L283&gt;0,1,"")</f>
        <v>1</v>
      </c>
      <c r="Q283" s="269" t="str">
        <f t="shared" si="60"/>
        <v/>
      </c>
      <c r="R283" s="1147"/>
      <c r="S283" s="1143" t="str">
        <f t="shared" si="61"/>
        <v>Upsize</v>
      </c>
      <c r="T283" s="1144">
        <f t="shared" si="62"/>
        <v>1932.7228915662652</v>
      </c>
      <c r="U283" s="1144">
        <f t="shared" si="63"/>
        <v>771.18072289156623</v>
      </c>
      <c r="V283" s="1146">
        <f t="shared" si="64"/>
        <v>10563.322672508213</v>
      </c>
      <c r="W283" s="1146">
        <f t="shared" si="65"/>
        <v>9112.376470588235</v>
      </c>
      <c r="X283" s="1146">
        <f t="shared" si="66"/>
        <v>1450.9462019199782</v>
      </c>
      <c r="Y283" s="1146">
        <f t="shared" si="67"/>
        <v>8355.5303303807577</v>
      </c>
      <c r="Z283" s="1146">
        <f t="shared" si="68"/>
        <v>9112.376470588235</v>
      </c>
      <c r="AA283" s="1146">
        <f t="shared" si="69"/>
        <v>-756.84614020747722</v>
      </c>
      <c r="AB283" s="1146">
        <f t="shared" si="70"/>
        <v>12177.163636363635</v>
      </c>
      <c r="AC283" s="1146">
        <f t="shared" si="71"/>
        <v>9112.376470588235</v>
      </c>
      <c r="AD283" s="1146">
        <f t="shared" si="72"/>
        <v>3064.7871657754004</v>
      </c>
      <c r="AE283" s="1146">
        <f t="shared" si="73"/>
        <v>9632.0696864111524</v>
      </c>
      <c r="AF283" s="1146">
        <f t="shared" si="74"/>
        <v>9112.376470588235</v>
      </c>
      <c r="AG283" s="1146">
        <f t="shared" si="75"/>
        <v>519.69321582291741</v>
      </c>
    </row>
    <row r="284" spans="2:33" ht="14.4">
      <c r="B284" s="1134">
        <v>5527684</v>
      </c>
      <c r="C284" s="1135"/>
      <c r="D284" s="1134">
        <v>174611</v>
      </c>
      <c r="E284" s="1136">
        <v>42110</v>
      </c>
      <c r="F284" s="1137">
        <v>24000</v>
      </c>
      <c r="G284" s="1134">
        <v>8</v>
      </c>
      <c r="H284" s="1137">
        <v>23400</v>
      </c>
      <c r="I284" s="1134">
        <v>19</v>
      </c>
      <c r="J284" s="1138">
        <v>8297</v>
      </c>
      <c r="K284" s="1139"/>
      <c r="L284" s="1140">
        <v>42136</v>
      </c>
      <c r="M284" s="269">
        <f t="shared" si="58"/>
        <v>2</v>
      </c>
      <c r="N284" s="1141">
        <v>200</v>
      </c>
      <c r="O284" s="1087">
        <f t="shared" si="59"/>
        <v>4859.621052631579</v>
      </c>
      <c r="P284" s="269">
        <f t="shared" si="76"/>
        <v>1</v>
      </c>
      <c r="Q284" s="269" t="str">
        <f t="shared" si="60"/>
        <v/>
      </c>
      <c r="R284" s="1147"/>
      <c r="S284" s="1143" t="str">
        <f t="shared" si="61"/>
        <v>Downsize</v>
      </c>
      <c r="T284" s="1144">
        <f t="shared" si="62"/>
        <v>2285.1282051282051</v>
      </c>
      <c r="U284" s="1144">
        <f t="shared" si="63"/>
        <v>911.79487179487171</v>
      </c>
      <c r="V284" s="1146">
        <f t="shared" si="64"/>
        <v>9697.3426573426568</v>
      </c>
      <c r="W284" s="1146">
        <f t="shared" si="65"/>
        <v>5324.4334365325067</v>
      </c>
      <c r="X284" s="1146">
        <f t="shared" si="66"/>
        <v>4372.9092208101501</v>
      </c>
      <c r="Y284" s="1146">
        <f t="shared" si="67"/>
        <v>6586.0305548110427</v>
      </c>
      <c r="Z284" s="1146">
        <f t="shared" si="68"/>
        <v>5324.4334365325067</v>
      </c>
      <c r="AA284" s="1146">
        <f t="shared" si="69"/>
        <v>1261.5971182785361</v>
      </c>
      <c r="AB284" s="1146">
        <f t="shared" si="70"/>
        <v>9454.9090909090901</v>
      </c>
      <c r="AC284" s="1146">
        <f t="shared" si="71"/>
        <v>5324.4334365325067</v>
      </c>
      <c r="AD284" s="1146">
        <f t="shared" si="72"/>
        <v>4130.4756543765834</v>
      </c>
      <c r="AE284" s="1146">
        <f t="shared" si="73"/>
        <v>6421.3797909407658</v>
      </c>
      <c r="AF284" s="1146">
        <f t="shared" si="74"/>
        <v>5324.4334365325067</v>
      </c>
      <c r="AG284" s="1146">
        <f t="shared" si="75"/>
        <v>1096.9463544082591</v>
      </c>
    </row>
    <row r="285" spans="2:33" ht="14.4">
      <c r="B285" s="1134">
        <v>5527684</v>
      </c>
      <c r="C285" s="1135"/>
      <c r="D285" s="1134">
        <v>174611</v>
      </c>
      <c r="E285" s="1136">
        <v>42110</v>
      </c>
      <c r="F285" s="1137">
        <v>24000</v>
      </c>
      <c r="G285" s="1134">
        <v>8</v>
      </c>
      <c r="H285" s="1137">
        <v>23400</v>
      </c>
      <c r="I285" s="1134">
        <v>19</v>
      </c>
      <c r="J285" s="1138">
        <v>8297</v>
      </c>
      <c r="K285" s="1139"/>
      <c r="L285" s="1140">
        <v>42136</v>
      </c>
      <c r="M285" s="269">
        <f t="shared" si="58"/>
        <v>2</v>
      </c>
      <c r="N285" s="1141">
        <v>200</v>
      </c>
      <c r="O285" s="1087">
        <f t="shared" si="59"/>
        <v>4859.621052631579</v>
      </c>
      <c r="P285" s="269">
        <f t="shared" si="76"/>
        <v>1</v>
      </c>
      <c r="Q285" s="269" t="str">
        <f t="shared" si="60"/>
        <v/>
      </c>
      <c r="R285" s="1147"/>
      <c r="S285" s="1143" t="str">
        <f t="shared" si="61"/>
        <v>Downsize</v>
      </c>
      <c r="T285" s="1144">
        <f t="shared" si="62"/>
        <v>2285.1282051282051</v>
      </c>
      <c r="U285" s="1144">
        <f t="shared" si="63"/>
        <v>911.79487179487171</v>
      </c>
      <c r="V285" s="1146">
        <f t="shared" si="64"/>
        <v>9697.3426573426568</v>
      </c>
      <c r="W285" s="1146">
        <f t="shared" si="65"/>
        <v>5324.4334365325067</v>
      </c>
      <c r="X285" s="1146">
        <f t="shared" si="66"/>
        <v>4372.9092208101501</v>
      </c>
      <c r="Y285" s="1146">
        <f t="shared" si="67"/>
        <v>6586.0305548110427</v>
      </c>
      <c r="Z285" s="1146">
        <f t="shared" si="68"/>
        <v>5324.4334365325067</v>
      </c>
      <c r="AA285" s="1146">
        <f t="shared" si="69"/>
        <v>1261.5971182785361</v>
      </c>
      <c r="AB285" s="1146">
        <f t="shared" si="70"/>
        <v>9454.9090909090901</v>
      </c>
      <c r="AC285" s="1146">
        <f t="shared" si="71"/>
        <v>5324.4334365325067</v>
      </c>
      <c r="AD285" s="1146">
        <f t="shared" si="72"/>
        <v>4130.4756543765834</v>
      </c>
      <c r="AE285" s="1146">
        <f t="shared" si="73"/>
        <v>6421.3797909407658</v>
      </c>
      <c r="AF285" s="1146">
        <f t="shared" si="74"/>
        <v>5324.4334365325067</v>
      </c>
      <c r="AG285" s="1146">
        <f t="shared" si="75"/>
        <v>1096.9463544082591</v>
      </c>
    </row>
    <row r="286" spans="2:33" ht="14.4">
      <c r="B286" s="1134">
        <v>4009544</v>
      </c>
      <c r="C286" s="1135"/>
      <c r="D286" s="1134">
        <v>117851</v>
      </c>
      <c r="E286" s="1136">
        <v>42090</v>
      </c>
      <c r="F286" s="1137">
        <v>30000</v>
      </c>
      <c r="G286" s="1134">
        <v>10</v>
      </c>
      <c r="H286" s="1137">
        <v>28800</v>
      </c>
      <c r="I286" s="1134">
        <v>15.20</v>
      </c>
      <c r="J286" s="1138">
        <v>4200</v>
      </c>
      <c r="K286" s="1139"/>
      <c r="L286" s="1140">
        <v>42137</v>
      </c>
      <c r="M286" s="269">
        <f t="shared" si="58"/>
        <v>2</v>
      </c>
      <c r="N286" s="1141">
        <v>150</v>
      </c>
      <c r="O286" s="1087">
        <f t="shared" si="59"/>
        <v>3037.2631578947367</v>
      </c>
      <c r="P286" s="269">
        <f t="shared" si="76"/>
        <v>1</v>
      </c>
      <c r="Q286" s="269" t="str">
        <f t="shared" si="60"/>
        <v/>
      </c>
      <c r="R286" s="1147"/>
      <c r="S286" s="1143" t="str">
        <f t="shared" si="61"/>
        <v>Downsize</v>
      </c>
      <c r="T286" s="1144">
        <f t="shared" si="62"/>
        <v>2320.8333333333335</v>
      </c>
      <c r="U286" s="1144">
        <f t="shared" si="63"/>
        <v>926.04166666666674</v>
      </c>
      <c r="V286" s="1146">
        <f t="shared" si="64"/>
        <v>10570.454545454546</v>
      </c>
      <c r="W286" s="1146">
        <f t="shared" si="65"/>
        <v>7535.0154798761614</v>
      </c>
      <c r="X286" s="1146">
        <f t="shared" si="66"/>
        <v>3035.4390655783845</v>
      </c>
      <c r="Y286" s="1146">
        <f t="shared" si="67"/>
        <v>8361.1716027874572</v>
      </c>
      <c r="Z286" s="1146">
        <f t="shared" si="68"/>
        <v>7535.0154798761614</v>
      </c>
      <c r="AA286" s="1146">
        <f t="shared" si="69"/>
        <v>826.15612291129582</v>
      </c>
      <c r="AB286" s="1146">
        <f t="shared" si="70"/>
        <v>10147.636363636364</v>
      </c>
      <c r="AC286" s="1146">
        <f t="shared" si="71"/>
        <v>7535.0154798761614</v>
      </c>
      <c r="AD286" s="1146">
        <f t="shared" si="72"/>
        <v>2612.6208837602026</v>
      </c>
      <c r="AE286" s="1146">
        <f t="shared" si="73"/>
        <v>8026.72473867596</v>
      </c>
      <c r="AF286" s="1146">
        <f t="shared" si="74"/>
        <v>7535.0154798761614</v>
      </c>
      <c r="AG286" s="1146">
        <f t="shared" si="75"/>
        <v>491.70925879979859</v>
      </c>
    </row>
    <row r="287" spans="2:33" ht="14.4">
      <c r="B287" s="1134">
        <v>8809527</v>
      </c>
      <c r="C287" s="1135"/>
      <c r="D287" s="1134">
        <v>456694</v>
      </c>
      <c r="E287" s="1136">
        <v>42100</v>
      </c>
      <c r="F287" s="1137">
        <v>48000</v>
      </c>
      <c r="G287" s="1134">
        <v>8</v>
      </c>
      <c r="H287" s="1137">
        <v>49000</v>
      </c>
      <c r="I287" s="1134">
        <v>15.50</v>
      </c>
      <c r="J287" s="1138">
        <v>5750</v>
      </c>
      <c r="K287" s="1139"/>
      <c r="L287" s="1140">
        <v>42137</v>
      </c>
      <c r="M287" s="269">
        <f t="shared" si="58"/>
        <v>2</v>
      </c>
      <c r="N287" s="1141">
        <v>250</v>
      </c>
      <c r="O287" s="1087">
        <f t="shared" si="59"/>
        <v>7800.7741935483873</v>
      </c>
      <c r="P287" s="269">
        <f t="shared" si="76"/>
        <v>1</v>
      </c>
      <c r="Q287" s="269" t="str">
        <f t="shared" si="60"/>
        <v/>
      </c>
      <c r="R287" s="1147"/>
      <c r="S287" s="1143" t="str">
        <f t="shared" si="61"/>
        <v>Upsize</v>
      </c>
      <c r="T287" s="1144">
        <f t="shared" si="62"/>
        <v>2182.5306122448978</v>
      </c>
      <c r="U287" s="1144">
        <f t="shared" si="63"/>
        <v>870.85714285714289</v>
      </c>
      <c r="V287" s="1146">
        <f t="shared" si="64"/>
        <v>18523.903525046382</v>
      </c>
      <c r="W287" s="1146">
        <f t="shared" si="65"/>
        <v>11919.848197343454</v>
      </c>
      <c r="X287" s="1146">
        <f t="shared" si="66"/>
        <v>6604.0553277029285</v>
      </c>
      <c r="Y287" s="1146">
        <f t="shared" si="67"/>
        <v>12580.662447557423</v>
      </c>
      <c r="Z287" s="1146">
        <f t="shared" si="68"/>
        <v>11919.848197343454</v>
      </c>
      <c r="AA287" s="1146">
        <f t="shared" si="69"/>
        <v>660.81425021396899</v>
      </c>
      <c r="AB287" s="1146">
        <f t="shared" si="70"/>
        <v>18909.81818181818</v>
      </c>
      <c r="AC287" s="1146">
        <f t="shared" si="71"/>
        <v>11919.848197343454</v>
      </c>
      <c r="AD287" s="1146">
        <f t="shared" si="72"/>
        <v>6989.9699844747265</v>
      </c>
      <c r="AE287" s="1146">
        <f t="shared" si="73"/>
        <v>12842.759581881535</v>
      </c>
      <c r="AF287" s="1146">
        <f t="shared" si="74"/>
        <v>11919.848197343454</v>
      </c>
      <c r="AG287" s="1146">
        <f t="shared" si="75"/>
        <v>922.91138453808162</v>
      </c>
    </row>
    <row r="288" spans="2:33" ht="14.4">
      <c r="B288" s="1134">
        <v>5526199</v>
      </c>
      <c r="C288" s="1135"/>
      <c r="D288" s="1134">
        <v>542318</v>
      </c>
      <c r="E288" s="1136">
        <v>42108</v>
      </c>
      <c r="F288" s="1137">
        <v>18000</v>
      </c>
      <c r="G288" s="1134">
        <v>10</v>
      </c>
      <c r="H288" s="1137">
        <v>24000</v>
      </c>
      <c r="I288" s="1134">
        <v>15</v>
      </c>
      <c r="J288" s="1138">
        <v>2950</v>
      </c>
      <c r="K288" s="1139"/>
      <c r="L288" s="1140">
        <v>42138</v>
      </c>
      <c r="M288" s="269">
        <f t="shared" si="58"/>
        <v>2</v>
      </c>
      <c r="N288" s="1141">
        <v>125</v>
      </c>
      <c r="O288" s="1087">
        <f t="shared" si="59"/>
        <v>549.60</v>
      </c>
      <c r="P288" s="269">
        <f t="shared" si="76"/>
        <v>1</v>
      </c>
      <c r="Q288" s="269" t="str">
        <f t="shared" si="60"/>
        <v/>
      </c>
      <c r="R288" s="1147"/>
      <c r="S288" s="1143" t="str">
        <f t="shared" si="61"/>
        <v>Upsize</v>
      </c>
      <c r="T288" s="1144">
        <f t="shared" si="62"/>
        <v>1671</v>
      </c>
      <c r="U288" s="1144">
        <f t="shared" si="63"/>
        <v>666.75</v>
      </c>
      <c r="V288" s="1146">
        <f t="shared" si="64"/>
        <v>4566.4363636363632</v>
      </c>
      <c r="W288" s="1146">
        <f t="shared" si="65"/>
        <v>4556.1882352941175</v>
      </c>
      <c r="X288" s="1146">
        <f t="shared" si="66"/>
        <v>10.248128342245764</v>
      </c>
      <c r="Y288" s="1146">
        <f t="shared" si="67"/>
        <v>3612.0261324041812</v>
      </c>
      <c r="Z288" s="1146">
        <f t="shared" si="68"/>
        <v>4556.1882352941175</v>
      </c>
      <c r="AA288" s="1146">
        <f t="shared" si="69"/>
        <v>-944.16210288993625</v>
      </c>
      <c r="AB288" s="1146">
        <f t="shared" si="70"/>
        <v>6088.5818181818177</v>
      </c>
      <c r="AC288" s="1146">
        <f t="shared" si="71"/>
        <v>4556.1882352941175</v>
      </c>
      <c r="AD288" s="1146">
        <f t="shared" si="72"/>
        <v>1532.3935828877002</v>
      </c>
      <c r="AE288" s="1146">
        <f t="shared" si="73"/>
        <v>4816.0348432055753</v>
      </c>
      <c r="AF288" s="1146">
        <f t="shared" si="74"/>
        <v>4556.1882352941175</v>
      </c>
      <c r="AG288" s="1146">
        <f t="shared" si="75"/>
        <v>259.8466079114578</v>
      </c>
    </row>
    <row r="289" spans="2:33" ht="14.4">
      <c r="B289" s="1134">
        <v>1021492</v>
      </c>
      <c r="C289" s="1135"/>
      <c r="D289" s="1134">
        <v>102149</v>
      </c>
      <c r="E289" s="1136">
        <v>42111</v>
      </c>
      <c r="F289" s="1137">
        <v>36000</v>
      </c>
      <c r="G289" s="1134">
        <v>10</v>
      </c>
      <c r="H289" s="1137">
        <v>35800</v>
      </c>
      <c r="I289" s="1134">
        <v>15</v>
      </c>
      <c r="J289" s="1138">
        <v>7034</v>
      </c>
      <c r="K289" s="1139"/>
      <c r="L289" s="1140">
        <v>42138</v>
      </c>
      <c r="M289" s="269">
        <f t="shared" si="58"/>
        <v>2</v>
      </c>
      <c r="N289" s="1141">
        <v>175</v>
      </c>
      <c r="O289" s="1087">
        <f t="shared" si="59"/>
        <v>3334.2400000000007</v>
      </c>
      <c r="P289" s="269">
        <f t="shared" si="76"/>
        <v>1</v>
      </c>
      <c r="Q289" s="269" t="str">
        <f t="shared" si="60"/>
        <v/>
      </c>
      <c r="R289" s="1147"/>
      <c r="S289" s="1143" t="str">
        <f t="shared" si="61"/>
        <v>Downsize</v>
      </c>
      <c r="T289" s="1144">
        <f t="shared" si="62"/>
        <v>2240.4469273743016</v>
      </c>
      <c r="U289" s="1144">
        <f t="shared" si="63"/>
        <v>893.96648044692745</v>
      </c>
      <c r="V289" s="1146">
        <f t="shared" si="64"/>
        <v>12245.192483494158</v>
      </c>
      <c r="W289" s="1146">
        <f t="shared" si="65"/>
        <v>9112.3764705882331</v>
      </c>
      <c r="X289" s="1146">
        <f t="shared" si="66"/>
        <v>3132.8160129059252</v>
      </c>
      <c r="Y289" s="1146">
        <f t="shared" si="67"/>
        <v>9685.8801315866313</v>
      </c>
      <c r="Z289" s="1146">
        <f t="shared" si="68"/>
        <v>9112.3764705882331</v>
      </c>
      <c r="AA289" s="1146">
        <f t="shared" si="69"/>
        <v>573.50366099839812</v>
      </c>
      <c r="AB289" s="1146">
        <f t="shared" si="70"/>
        <v>12177.163636363635</v>
      </c>
      <c r="AC289" s="1146">
        <f t="shared" si="71"/>
        <v>9112.3764705882331</v>
      </c>
      <c r="AD289" s="1146">
        <f t="shared" si="72"/>
        <v>3064.7871657754022</v>
      </c>
      <c r="AE289" s="1146">
        <f t="shared" si="73"/>
        <v>9632.0696864111505</v>
      </c>
      <c r="AF289" s="1146">
        <f t="shared" si="74"/>
        <v>9112.3764705882331</v>
      </c>
      <c r="AG289" s="1146">
        <f t="shared" si="75"/>
        <v>519.69321582291741</v>
      </c>
    </row>
    <row r="290" spans="2:33" ht="14.4">
      <c r="B290" s="1134">
        <v>8819964</v>
      </c>
      <c r="C290" s="1135"/>
      <c r="D290" s="1134">
        <v>658147</v>
      </c>
      <c r="E290" s="1136">
        <v>42098</v>
      </c>
      <c r="F290" s="1137">
        <v>48000</v>
      </c>
      <c r="G290" s="1134">
        <v>13</v>
      </c>
      <c r="H290" s="1137">
        <v>47500</v>
      </c>
      <c r="I290" s="1134">
        <v>16.50</v>
      </c>
      <c r="J290" s="1138">
        <v>6475</v>
      </c>
      <c r="K290" s="1139"/>
      <c r="L290" s="1140">
        <v>42138</v>
      </c>
      <c r="M290" s="269">
        <f t="shared" si="58"/>
        <v>2</v>
      </c>
      <c r="N290" s="1141">
        <v>300</v>
      </c>
      <c r="O290" s="1087">
        <f t="shared" si="59"/>
        <v>2235.5524475524476</v>
      </c>
      <c r="P290" s="269">
        <f t="shared" si="76"/>
        <v>1</v>
      </c>
      <c r="Q290" s="269" t="str">
        <f t="shared" si="60"/>
        <v/>
      </c>
      <c r="R290" s="1147"/>
      <c r="S290" s="1143" t="str">
        <f t="shared" si="61"/>
        <v>Downsize</v>
      </c>
      <c r="T290" s="1144">
        <f t="shared" si="62"/>
        <v>2251.4526315789476</v>
      </c>
      <c r="U290" s="1144">
        <f t="shared" si="63"/>
        <v>898.35789473684213</v>
      </c>
      <c r="V290" s="1146">
        <f t="shared" si="64"/>
        <v>13913.208980493191</v>
      </c>
      <c r="W290" s="1146">
        <f t="shared" si="65"/>
        <v>11501.689839572195</v>
      </c>
      <c r="X290" s="1146">
        <f t="shared" si="66"/>
        <v>2411.5191409209965</v>
      </c>
      <c r="Y290" s="1146">
        <f t="shared" si="67"/>
        <v>12977.946524848709</v>
      </c>
      <c r="Z290" s="1146">
        <f t="shared" si="68"/>
        <v>11501.689839572195</v>
      </c>
      <c r="AA290" s="1146">
        <f t="shared" si="69"/>
        <v>1476.256685276514</v>
      </c>
      <c r="AB290" s="1146">
        <f t="shared" si="70"/>
        <v>13768.279720279721</v>
      </c>
      <c r="AC290" s="1146">
        <f t="shared" si="71"/>
        <v>11501.689839572195</v>
      </c>
      <c r="AD290" s="1146">
        <f t="shared" si="72"/>
        <v>2266.5898807075264</v>
      </c>
      <c r="AE290" s="1146">
        <f t="shared" si="73"/>
        <v>12842.759581881535</v>
      </c>
      <c r="AF290" s="1146">
        <f t="shared" si="74"/>
        <v>11501.689839572195</v>
      </c>
      <c r="AG290" s="1146">
        <f t="shared" si="75"/>
        <v>1341.0697423093407</v>
      </c>
    </row>
    <row r="291" spans="2:33" ht="14.4">
      <c r="B291" s="1134">
        <v>4868576</v>
      </c>
      <c r="C291" s="1135"/>
      <c r="D291" s="1134">
        <v>119037</v>
      </c>
      <c r="E291" s="1136">
        <v>42121</v>
      </c>
      <c r="F291" s="1137">
        <v>42000</v>
      </c>
      <c r="G291" s="1134">
        <v>8</v>
      </c>
      <c r="H291" s="1137">
        <v>41500</v>
      </c>
      <c r="I291" s="1134">
        <v>15</v>
      </c>
      <c r="J291" s="1138">
        <v>5200</v>
      </c>
      <c r="K291" s="1139"/>
      <c r="L291" s="1140">
        <v>42138</v>
      </c>
      <c r="M291" s="269">
        <f t="shared" si="58"/>
        <v>2</v>
      </c>
      <c r="N291" s="1141">
        <v>225</v>
      </c>
      <c r="O291" s="1087">
        <f t="shared" si="59"/>
        <v>6824.2000000000007</v>
      </c>
      <c r="P291" s="269">
        <f t="shared" si="76"/>
        <v>1</v>
      </c>
      <c r="Q291" s="269" t="str">
        <f t="shared" si="60"/>
        <v/>
      </c>
      <c r="R291" s="1147"/>
      <c r="S291" s="1143" t="str">
        <f t="shared" si="61"/>
        <v>Downsize</v>
      </c>
      <c r="T291" s="1144">
        <f t="shared" si="62"/>
        <v>2254.8433734939758</v>
      </c>
      <c r="U291" s="1144">
        <f t="shared" si="63"/>
        <v>899.71084337349396</v>
      </c>
      <c r="V291" s="1146">
        <f t="shared" si="64"/>
        <v>16745.441401971522</v>
      </c>
      <c r="W291" s="1146">
        <f t="shared" si="65"/>
        <v>10631.10588235294</v>
      </c>
      <c r="X291" s="1146">
        <f t="shared" si="66"/>
        <v>6114.3355196185821</v>
      </c>
      <c r="Y291" s="1146">
        <f t="shared" si="67"/>
        <v>11372.805171907141</v>
      </c>
      <c r="Z291" s="1146">
        <f t="shared" si="68"/>
        <v>10631.10588235294</v>
      </c>
      <c r="AA291" s="1146">
        <f t="shared" si="69"/>
        <v>741.69928955420073</v>
      </c>
      <c r="AB291" s="1146">
        <f t="shared" si="70"/>
        <v>16546.090909090908</v>
      </c>
      <c r="AC291" s="1146">
        <f t="shared" si="71"/>
        <v>10631.10588235294</v>
      </c>
      <c r="AD291" s="1146">
        <f t="shared" si="72"/>
        <v>5914.9850267379679</v>
      </c>
      <c r="AE291" s="1146">
        <f t="shared" si="73"/>
        <v>11237.414634146342</v>
      </c>
      <c r="AF291" s="1146">
        <f t="shared" si="74"/>
        <v>10631.10588235294</v>
      </c>
      <c r="AG291" s="1146">
        <f t="shared" si="75"/>
        <v>606.30875179340183</v>
      </c>
    </row>
    <row r="292" spans="2:33" ht="14.4">
      <c r="B292" s="1134">
        <v>1489830</v>
      </c>
      <c r="C292" s="1135"/>
      <c r="D292" s="1134">
        <v>148983</v>
      </c>
      <c r="E292" s="1136">
        <v>42108</v>
      </c>
      <c r="F292" s="1137">
        <v>36000</v>
      </c>
      <c r="G292" s="1134">
        <v>10</v>
      </c>
      <c r="H292" s="1137">
        <v>34800</v>
      </c>
      <c r="I292" s="1134">
        <v>15</v>
      </c>
      <c r="J292" s="1138">
        <v>6900</v>
      </c>
      <c r="K292" s="1139"/>
      <c r="L292" s="1140">
        <v>42139</v>
      </c>
      <c r="M292" s="269">
        <f t="shared" si="58"/>
        <v>2</v>
      </c>
      <c r="N292" s="1141">
        <v>175</v>
      </c>
      <c r="O292" s="1087">
        <f t="shared" si="59"/>
        <v>3517.4400000000005</v>
      </c>
      <c r="P292" s="269">
        <f t="shared" si="76"/>
        <v>1</v>
      </c>
      <c r="Q292" s="269" t="str">
        <f t="shared" si="60"/>
        <v/>
      </c>
      <c r="R292" s="1147"/>
      <c r="S292" s="1143" t="str">
        <f t="shared" si="61"/>
        <v>Downsize</v>
      </c>
      <c r="T292" s="1144">
        <f t="shared" si="62"/>
        <v>2304.8275862068967</v>
      </c>
      <c r="U292" s="1144">
        <f t="shared" si="63"/>
        <v>919.65517241379314</v>
      </c>
      <c r="V292" s="1146">
        <f t="shared" si="64"/>
        <v>12597.065830721003</v>
      </c>
      <c r="W292" s="1146">
        <f t="shared" si="65"/>
        <v>9112.376470588235</v>
      </c>
      <c r="X292" s="1146">
        <f t="shared" si="66"/>
        <v>3484.6893601327683</v>
      </c>
      <c r="Y292" s="1146">
        <f t="shared" si="67"/>
        <v>9964.2100204253293</v>
      </c>
      <c r="Z292" s="1146">
        <f t="shared" si="68"/>
        <v>9112.376470588235</v>
      </c>
      <c r="AA292" s="1146">
        <f t="shared" si="69"/>
        <v>851.83354983709432</v>
      </c>
      <c r="AB292" s="1146">
        <f t="shared" si="70"/>
        <v>12177.163636363635</v>
      </c>
      <c r="AC292" s="1146">
        <f t="shared" si="71"/>
        <v>9112.376470588235</v>
      </c>
      <c r="AD292" s="1146">
        <f t="shared" si="72"/>
        <v>3064.7871657754004</v>
      </c>
      <c r="AE292" s="1146">
        <f t="shared" si="73"/>
        <v>9632.0696864111505</v>
      </c>
      <c r="AF292" s="1146">
        <f t="shared" si="74"/>
        <v>9112.376470588235</v>
      </c>
      <c r="AG292" s="1146">
        <f t="shared" si="75"/>
        <v>519.69321582291559</v>
      </c>
    </row>
    <row r="293" spans="2:33" ht="14.4">
      <c r="B293" s="1134">
        <v>4745436</v>
      </c>
      <c r="C293" s="1135"/>
      <c r="D293" s="1134">
        <v>314484</v>
      </c>
      <c r="E293" s="1136">
        <v>42108</v>
      </c>
      <c r="F293" s="1137">
        <v>42000</v>
      </c>
      <c r="G293" s="1134">
        <v>10</v>
      </c>
      <c r="H293" s="1137">
        <v>40500</v>
      </c>
      <c r="I293" s="1134">
        <v>16</v>
      </c>
      <c r="J293" s="1138">
        <v>4670</v>
      </c>
      <c r="K293" s="1139"/>
      <c r="L293" s="1140">
        <v>42143</v>
      </c>
      <c r="M293" s="269">
        <f t="shared" si="58"/>
        <v>2</v>
      </c>
      <c r="N293" s="1141">
        <v>250</v>
      </c>
      <c r="O293" s="1087">
        <f t="shared" si="59"/>
        <v>4585.7250000000004</v>
      </c>
      <c r="P293" s="269">
        <f t="shared" si="76"/>
        <v>1</v>
      </c>
      <c r="Q293" s="269" t="str">
        <f t="shared" si="60"/>
        <v/>
      </c>
      <c r="R293" s="1147"/>
      <c r="S293" s="1143" t="str">
        <f t="shared" si="61"/>
        <v>Downsize</v>
      </c>
      <c r="T293" s="1144">
        <f t="shared" si="62"/>
        <v>2310.5185185185182</v>
      </c>
      <c r="U293" s="1144">
        <f t="shared" si="63"/>
        <v>921.92592592592587</v>
      </c>
      <c r="V293" s="1146">
        <f t="shared" si="64"/>
        <v>14732.864646464646</v>
      </c>
      <c r="W293" s="1146">
        <f t="shared" si="65"/>
        <v>10241.205882352941</v>
      </c>
      <c r="X293" s="1146">
        <f t="shared" si="66"/>
        <v>4491.6587641117058</v>
      </c>
      <c r="Y293" s="1146">
        <f t="shared" si="67"/>
        <v>11653.615176151759</v>
      </c>
      <c r="Z293" s="1146">
        <f t="shared" si="68"/>
        <v>10241.205882352941</v>
      </c>
      <c r="AA293" s="1146">
        <f t="shared" si="69"/>
        <v>1412.4092937988189</v>
      </c>
      <c r="AB293" s="1146">
        <f t="shared" si="70"/>
        <v>14206.690909090909</v>
      </c>
      <c r="AC293" s="1146">
        <f t="shared" si="71"/>
        <v>10241.205882352941</v>
      </c>
      <c r="AD293" s="1146">
        <f t="shared" si="72"/>
        <v>3965.4850267379679</v>
      </c>
      <c r="AE293" s="1146">
        <f t="shared" si="73"/>
        <v>11237.41463414634</v>
      </c>
      <c r="AF293" s="1146">
        <f t="shared" si="74"/>
        <v>10241.205882352941</v>
      </c>
      <c r="AG293" s="1146">
        <f t="shared" si="75"/>
        <v>996.20875179339964</v>
      </c>
    </row>
    <row r="294" spans="2:33" ht="14.4">
      <c r="B294" s="1134">
        <v>7938673</v>
      </c>
      <c r="C294" s="1135"/>
      <c r="D294" s="1134">
        <v>101148</v>
      </c>
      <c r="E294" s="1136">
        <v>42130</v>
      </c>
      <c r="F294" s="1137">
        <v>36000</v>
      </c>
      <c r="G294" s="1134">
        <v>10</v>
      </c>
      <c r="H294" s="1137">
        <v>34200</v>
      </c>
      <c r="I294" s="1134">
        <v>15</v>
      </c>
      <c r="J294" s="1138">
        <v>4500</v>
      </c>
      <c r="K294" s="1139"/>
      <c r="L294" s="1140">
        <v>42143</v>
      </c>
      <c r="M294" s="269">
        <f t="shared" si="58"/>
        <v>2</v>
      </c>
      <c r="N294" s="1141">
        <v>175</v>
      </c>
      <c r="O294" s="1087">
        <f t="shared" si="59"/>
        <v>3627.36</v>
      </c>
      <c r="P294" s="269">
        <f t="shared" si="76"/>
        <v>1</v>
      </c>
      <c r="Q294" s="269" t="str">
        <f t="shared" si="60"/>
        <v/>
      </c>
      <c r="R294" s="1147"/>
      <c r="S294" s="1143" t="str">
        <f t="shared" si="61"/>
        <v>Downsize</v>
      </c>
      <c r="T294" s="1144">
        <f t="shared" si="62"/>
        <v>2345.2631578947367</v>
      </c>
      <c r="U294" s="1144">
        <f t="shared" si="63"/>
        <v>935.78947368421052</v>
      </c>
      <c r="V294" s="1146">
        <f t="shared" si="64"/>
        <v>12818.066985645934</v>
      </c>
      <c r="W294" s="1146">
        <f t="shared" si="65"/>
        <v>9112.3764705882368</v>
      </c>
      <c r="X294" s="1146">
        <f t="shared" si="66"/>
        <v>3705.6905150576968</v>
      </c>
      <c r="Y294" s="1146">
        <f t="shared" si="67"/>
        <v>10139.020722538051</v>
      </c>
      <c r="Z294" s="1146">
        <f t="shared" si="68"/>
        <v>9112.3764705882368</v>
      </c>
      <c r="AA294" s="1146">
        <f t="shared" si="69"/>
        <v>1026.6442519498141</v>
      </c>
      <c r="AB294" s="1146">
        <f t="shared" si="70"/>
        <v>12177.163636363637</v>
      </c>
      <c r="AC294" s="1146">
        <f t="shared" si="71"/>
        <v>9112.3764705882368</v>
      </c>
      <c r="AD294" s="1146">
        <f t="shared" si="72"/>
        <v>3064.7871657754004</v>
      </c>
      <c r="AE294" s="1146">
        <f t="shared" si="73"/>
        <v>9632.0696864111487</v>
      </c>
      <c r="AF294" s="1146">
        <f t="shared" si="74"/>
        <v>9112.3764705882368</v>
      </c>
      <c r="AG294" s="1146">
        <f t="shared" si="75"/>
        <v>519.69321582291195</v>
      </c>
    </row>
    <row r="295" spans="2:33" ht="14.4">
      <c r="B295" s="1134">
        <v>6882443</v>
      </c>
      <c r="C295" s="1135"/>
      <c r="D295" s="1134">
        <v>598354</v>
      </c>
      <c r="E295" s="1136">
        <v>42118</v>
      </c>
      <c r="F295" s="1137">
        <v>30000</v>
      </c>
      <c r="G295" s="1134">
        <v>10</v>
      </c>
      <c r="H295" s="1137">
        <v>28800</v>
      </c>
      <c r="I295" s="1134">
        <v>15.20</v>
      </c>
      <c r="J295" s="1138">
        <v>4389</v>
      </c>
      <c r="K295" s="1139"/>
      <c r="L295" s="1140">
        <v>42143</v>
      </c>
      <c r="M295" s="269">
        <f t="shared" si="58"/>
        <v>2</v>
      </c>
      <c r="N295" s="1141">
        <v>150</v>
      </c>
      <c r="O295" s="1087">
        <f t="shared" si="59"/>
        <v>3037.2631578947367</v>
      </c>
      <c r="P295" s="269">
        <f t="shared" si="76"/>
        <v>1</v>
      </c>
      <c r="Q295" s="269" t="str">
        <f t="shared" si="60"/>
        <v/>
      </c>
      <c r="R295" s="1147"/>
      <c r="S295" s="1143" t="str">
        <f t="shared" si="61"/>
        <v>Downsize</v>
      </c>
      <c r="T295" s="1144">
        <f t="shared" si="62"/>
        <v>2320.8333333333335</v>
      </c>
      <c r="U295" s="1144">
        <f t="shared" si="63"/>
        <v>926.04166666666674</v>
      </c>
      <c r="V295" s="1146">
        <f t="shared" si="64"/>
        <v>10570.454545454546</v>
      </c>
      <c r="W295" s="1146">
        <f t="shared" si="65"/>
        <v>7535.0154798761614</v>
      </c>
      <c r="X295" s="1146">
        <f t="shared" si="66"/>
        <v>3035.4390655783845</v>
      </c>
      <c r="Y295" s="1146">
        <f t="shared" si="67"/>
        <v>8361.1716027874572</v>
      </c>
      <c r="Z295" s="1146">
        <f t="shared" si="68"/>
        <v>7535.0154798761614</v>
      </c>
      <c r="AA295" s="1146">
        <f t="shared" si="69"/>
        <v>826.15612291129582</v>
      </c>
      <c r="AB295" s="1146">
        <f t="shared" si="70"/>
        <v>10147.636363636364</v>
      </c>
      <c r="AC295" s="1146">
        <f t="shared" si="71"/>
        <v>7535.0154798761614</v>
      </c>
      <c r="AD295" s="1146">
        <f t="shared" si="72"/>
        <v>2612.6208837602026</v>
      </c>
      <c r="AE295" s="1146">
        <f t="shared" si="73"/>
        <v>8026.72473867596</v>
      </c>
      <c r="AF295" s="1146">
        <f t="shared" si="74"/>
        <v>7535.0154798761614</v>
      </c>
      <c r="AG295" s="1146">
        <f t="shared" si="75"/>
        <v>491.70925879979859</v>
      </c>
    </row>
    <row r="296" spans="2:33" ht="14.4">
      <c r="B296" s="1134">
        <v>2011765</v>
      </c>
      <c r="C296" s="1135"/>
      <c r="D296" s="1134">
        <v>201176</v>
      </c>
      <c r="E296" s="1136">
        <v>42003</v>
      </c>
      <c r="F296" s="1137">
        <v>48000</v>
      </c>
      <c r="G296" s="1134">
        <v>13</v>
      </c>
      <c r="H296" s="1137">
        <v>49500</v>
      </c>
      <c r="I296" s="1134">
        <v>15</v>
      </c>
      <c r="J296" s="1138">
        <v>5587</v>
      </c>
      <c r="K296" s="1139"/>
      <c r="L296" s="1140">
        <v>42143</v>
      </c>
      <c r="M296" s="269">
        <f t="shared" si="58"/>
        <v>2</v>
      </c>
      <c r="N296" s="1141">
        <v>300</v>
      </c>
      <c r="O296" s="1087">
        <f t="shared" si="59"/>
        <v>1078.0615384615387</v>
      </c>
      <c r="P296" s="269">
        <f t="shared" si="76"/>
        <v>1</v>
      </c>
      <c r="Q296" s="269" t="str">
        <f t="shared" si="60"/>
        <v/>
      </c>
      <c r="R296" s="1147"/>
      <c r="S296" s="1143" t="str">
        <f t="shared" si="61"/>
        <v>Upsize</v>
      </c>
      <c r="T296" s="1144">
        <f t="shared" si="62"/>
        <v>2160.4848484848485</v>
      </c>
      <c r="U296" s="1144">
        <f t="shared" si="63"/>
        <v>862.06060606060612</v>
      </c>
      <c r="V296" s="1146">
        <f t="shared" si="64"/>
        <v>13351.059122695486</v>
      </c>
      <c r="W296" s="1146">
        <f t="shared" si="65"/>
        <v>12149.835294117647</v>
      </c>
      <c r="X296" s="1146">
        <f t="shared" si="66"/>
        <v>1201.2238285778385</v>
      </c>
      <c r="Y296" s="1146">
        <f t="shared" si="67"/>
        <v>12453.585049097244</v>
      </c>
      <c r="Z296" s="1146">
        <f t="shared" si="68"/>
        <v>12149.835294117647</v>
      </c>
      <c r="AA296" s="1146">
        <f t="shared" si="69"/>
        <v>303.74975497959713</v>
      </c>
      <c r="AB296" s="1146">
        <f t="shared" si="70"/>
        <v>13768.279720279719</v>
      </c>
      <c r="AC296" s="1146">
        <f t="shared" si="71"/>
        <v>12149.835294117647</v>
      </c>
      <c r="AD296" s="1146">
        <f t="shared" si="72"/>
        <v>1618.444426162072</v>
      </c>
      <c r="AE296" s="1146">
        <f t="shared" si="73"/>
        <v>12842.759581881533</v>
      </c>
      <c r="AF296" s="1146">
        <f t="shared" si="74"/>
        <v>12149.835294117647</v>
      </c>
      <c r="AG296" s="1146">
        <f t="shared" si="75"/>
        <v>692.92428776388624</v>
      </c>
    </row>
    <row r="297" spans="2:33" ht="14.4">
      <c r="B297" s="1134">
        <v>8910334</v>
      </c>
      <c r="C297" s="1135"/>
      <c r="D297" s="1134">
        <v>306991</v>
      </c>
      <c r="E297" s="1136">
        <v>42110</v>
      </c>
      <c r="F297" s="1137">
        <v>30000</v>
      </c>
      <c r="G297" s="1134">
        <v>10</v>
      </c>
      <c r="H297" s="1137">
        <v>36000</v>
      </c>
      <c r="I297" s="1134">
        <v>17</v>
      </c>
      <c r="J297" s="1138">
        <v>7612</v>
      </c>
      <c r="K297" s="1139"/>
      <c r="L297" s="1140">
        <v>42143</v>
      </c>
      <c r="M297" s="269">
        <f t="shared" si="58"/>
        <v>2</v>
      </c>
      <c r="N297" s="1141">
        <v>250</v>
      </c>
      <c r="O297" s="1087">
        <f t="shared" si="59"/>
        <v>2424.7058823529419</v>
      </c>
      <c r="P297" s="269">
        <f t="shared" si="76"/>
        <v>1</v>
      </c>
      <c r="Q297" s="269" t="str">
        <f t="shared" si="60"/>
        <v/>
      </c>
      <c r="R297" s="1147"/>
      <c r="S297" s="1143" t="str">
        <f t="shared" si="61"/>
        <v>Upsize</v>
      </c>
      <c r="T297" s="1144">
        <f t="shared" si="62"/>
        <v>1856.6666666666667</v>
      </c>
      <c r="U297" s="1144">
        <f t="shared" si="63"/>
        <v>740.83333333333337</v>
      </c>
      <c r="V297" s="1146">
        <f t="shared" si="64"/>
        <v>8456.363636363636</v>
      </c>
      <c r="W297" s="1146">
        <f t="shared" si="65"/>
        <v>7069.4117647058829</v>
      </c>
      <c r="X297" s="1146">
        <f t="shared" si="66"/>
        <v>1386.9518716577531</v>
      </c>
      <c r="Y297" s="1146">
        <f t="shared" si="67"/>
        <v>6688.9372822299647</v>
      </c>
      <c r="Z297" s="1146">
        <f t="shared" si="68"/>
        <v>7069.4117647058829</v>
      </c>
      <c r="AA297" s="1146">
        <f t="shared" si="69"/>
        <v>-380.47448247591819</v>
      </c>
      <c r="AB297" s="1146">
        <f t="shared" si="70"/>
        <v>10147.636363636364</v>
      </c>
      <c r="AC297" s="1146">
        <f t="shared" si="71"/>
        <v>7069.4117647058829</v>
      </c>
      <c r="AD297" s="1146">
        <f t="shared" si="72"/>
        <v>3078.2245989304811</v>
      </c>
      <c r="AE297" s="1146">
        <f t="shared" si="73"/>
        <v>8026.7247386759582</v>
      </c>
      <c r="AF297" s="1146">
        <f t="shared" si="74"/>
        <v>7069.4117647058829</v>
      </c>
      <c r="AG297" s="1146">
        <f t="shared" si="75"/>
        <v>957.31297397007529</v>
      </c>
    </row>
    <row r="298" spans="2:33" ht="14.4">
      <c r="B298" s="1134">
        <v>6088967</v>
      </c>
      <c r="C298" s="1135"/>
      <c r="D298" s="1134">
        <v>592128</v>
      </c>
      <c r="E298" s="1136">
        <v>42115</v>
      </c>
      <c r="F298" s="1137">
        <v>48000</v>
      </c>
      <c r="G298" s="1134">
        <v>10</v>
      </c>
      <c r="H298" s="1137">
        <v>47500</v>
      </c>
      <c r="I298" s="1134">
        <v>15</v>
      </c>
      <c r="J298" s="1138">
        <v>4400</v>
      </c>
      <c r="K298" s="1139"/>
      <c r="L298" s="1140">
        <v>42143</v>
      </c>
      <c r="M298" s="269">
        <f t="shared" si="58"/>
        <v>2</v>
      </c>
      <c r="N298" s="1141">
        <v>250</v>
      </c>
      <c r="O298" s="1087">
        <f t="shared" si="59"/>
        <v>4488.4000000000005</v>
      </c>
      <c r="P298" s="269">
        <f t="shared" si="76"/>
        <v>1</v>
      </c>
      <c r="Q298" s="269" t="str">
        <f t="shared" si="60"/>
        <v/>
      </c>
      <c r="R298" s="1147"/>
      <c r="S298" s="1143" t="str">
        <f t="shared" si="61"/>
        <v>Downsize</v>
      </c>
      <c r="T298" s="1144">
        <f t="shared" si="62"/>
        <v>2251.4526315789476</v>
      </c>
      <c r="U298" s="1144">
        <f t="shared" si="63"/>
        <v>898.35789473684213</v>
      </c>
      <c r="V298" s="1146">
        <f t="shared" si="64"/>
        <v>16407.125741626798</v>
      </c>
      <c r="W298" s="1146">
        <f t="shared" si="65"/>
        <v>12149.835294117649</v>
      </c>
      <c r="X298" s="1146">
        <f t="shared" si="66"/>
        <v>4257.2904475091491</v>
      </c>
      <c r="Y298" s="1146">
        <f t="shared" si="67"/>
        <v>12977.946524848709</v>
      </c>
      <c r="Z298" s="1146">
        <f t="shared" si="68"/>
        <v>12149.835294117649</v>
      </c>
      <c r="AA298" s="1146">
        <f t="shared" si="69"/>
        <v>828.11123073105955</v>
      </c>
      <c r="AB298" s="1146">
        <f t="shared" si="70"/>
        <v>16236.218181818183</v>
      </c>
      <c r="AC298" s="1146">
        <f t="shared" si="71"/>
        <v>12149.835294117649</v>
      </c>
      <c r="AD298" s="1146">
        <f t="shared" si="72"/>
        <v>4086.3828877005344</v>
      </c>
      <c r="AE298" s="1146">
        <f t="shared" si="73"/>
        <v>12842.759581881535</v>
      </c>
      <c r="AF298" s="1146">
        <f t="shared" si="74"/>
        <v>12149.835294117649</v>
      </c>
      <c r="AG298" s="1146">
        <f t="shared" si="75"/>
        <v>692.92428776388624</v>
      </c>
    </row>
    <row r="299" spans="2:33" ht="14.4">
      <c r="B299" s="1134">
        <v>7228174</v>
      </c>
      <c r="C299" s="1135"/>
      <c r="D299" s="1134">
        <v>296790</v>
      </c>
      <c r="E299" s="1136">
        <v>42074</v>
      </c>
      <c r="F299" s="1137">
        <v>31000</v>
      </c>
      <c r="G299" s="1134">
        <v>10</v>
      </c>
      <c r="H299" s="1137">
        <v>34800</v>
      </c>
      <c r="I299" s="1134">
        <v>15</v>
      </c>
      <c r="J299" s="1138">
        <v>4500</v>
      </c>
      <c r="K299" s="1139"/>
      <c r="L299" s="1140">
        <v>42143</v>
      </c>
      <c r="M299" s="269">
        <f t="shared" si="58"/>
        <v>2</v>
      </c>
      <c r="N299" s="1141">
        <v>175</v>
      </c>
      <c r="O299" s="1087">
        <f t="shared" si="59"/>
        <v>2143.44</v>
      </c>
      <c r="P299" s="269">
        <f t="shared" si="76"/>
        <v>1</v>
      </c>
      <c r="Q299" s="269" t="str">
        <f t="shared" si="60"/>
        <v/>
      </c>
      <c r="R299" s="1147"/>
      <c r="S299" s="1143" t="str">
        <f t="shared" si="61"/>
        <v>Upsize</v>
      </c>
      <c r="T299" s="1144">
        <f t="shared" si="62"/>
        <v>1984.7126436781609</v>
      </c>
      <c r="U299" s="1144">
        <f t="shared" si="63"/>
        <v>791.92528735632186</v>
      </c>
      <c r="V299" s="1146">
        <f t="shared" si="64"/>
        <v>9340.8798328108678</v>
      </c>
      <c r="W299" s="1146">
        <f t="shared" si="65"/>
        <v>7846.7686274509797</v>
      </c>
      <c r="X299" s="1146">
        <f t="shared" si="66"/>
        <v>1494.1112053598881</v>
      </c>
      <c r="Y299" s="1146">
        <f t="shared" si="67"/>
        <v>7388.5847450839046</v>
      </c>
      <c r="Z299" s="1146">
        <f t="shared" si="68"/>
        <v>7846.7686274509797</v>
      </c>
      <c r="AA299" s="1146">
        <f t="shared" si="69"/>
        <v>-458.18388236707506</v>
      </c>
      <c r="AB299" s="1146">
        <f t="shared" si="70"/>
        <v>10485.890909090909</v>
      </c>
      <c r="AC299" s="1146">
        <f t="shared" si="71"/>
        <v>7846.7686274509797</v>
      </c>
      <c r="AD299" s="1146">
        <f t="shared" si="72"/>
        <v>2639.1222816399295</v>
      </c>
      <c r="AE299" s="1146">
        <f t="shared" si="73"/>
        <v>8294.2822299651561</v>
      </c>
      <c r="AF299" s="1146">
        <f t="shared" si="74"/>
        <v>7846.7686274509797</v>
      </c>
      <c r="AG299" s="1146">
        <f t="shared" si="75"/>
        <v>447.51360251417645</v>
      </c>
    </row>
    <row r="300" spans="2:33" ht="14.4">
      <c r="B300" s="1134">
        <v>905349</v>
      </c>
      <c r="C300" s="1135"/>
      <c r="D300" s="1134">
        <v>90534</v>
      </c>
      <c r="E300" s="1136">
        <v>42121</v>
      </c>
      <c r="F300" s="1137">
        <v>36000</v>
      </c>
      <c r="G300" s="1134">
        <v>10</v>
      </c>
      <c r="H300" s="1137">
        <v>34800</v>
      </c>
      <c r="I300" s="1134">
        <v>15.20</v>
      </c>
      <c r="J300" s="1138">
        <v>6208</v>
      </c>
      <c r="K300" s="1139"/>
      <c r="L300" s="1140">
        <v>42143</v>
      </c>
      <c r="M300" s="269">
        <f t="shared" si="58"/>
        <v>2</v>
      </c>
      <c r="N300" s="1141">
        <v>175</v>
      </c>
      <c r="O300" s="1087">
        <f t="shared" si="59"/>
        <v>3601.3263157894744</v>
      </c>
      <c r="P300" s="269">
        <f t="shared" si="76"/>
        <v>1</v>
      </c>
      <c r="Q300" s="269" t="str">
        <f t="shared" si="60"/>
        <v/>
      </c>
      <c r="R300" s="1147"/>
      <c r="S300" s="1143" t="str">
        <f t="shared" si="61"/>
        <v>Downsize</v>
      </c>
      <c r="T300" s="1144">
        <f t="shared" si="62"/>
        <v>2304.8275862068967</v>
      </c>
      <c r="U300" s="1144">
        <f t="shared" si="63"/>
        <v>919.65517241379314</v>
      </c>
      <c r="V300" s="1146">
        <f t="shared" si="64"/>
        <v>12597.065830721003</v>
      </c>
      <c r="W300" s="1146">
        <f t="shared" si="65"/>
        <v>9042.0185758513926</v>
      </c>
      <c r="X300" s="1146">
        <f t="shared" si="66"/>
        <v>3555.0472548696107</v>
      </c>
      <c r="Y300" s="1146">
        <f t="shared" si="67"/>
        <v>9964.2100204253293</v>
      </c>
      <c r="Z300" s="1146">
        <f t="shared" si="68"/>
        <v>9042.0185758513926</v>
      </c>
      <c r="AA300" s="1146">
        <f t="shared" si="69"/>
        <v>922.19144457393668</v>
      </c>
      <c r="AB300" s="1146">
        <f t="shared" si="70"/>
        <v>12177.163636363635</v>
      </c>
      <c r="AC300" s="1146">
        <f t="shared" si="71"/>
        <v>9042.0185758513926</v>
      </c>
      <c r="AD300" s="1146">
        <f t="shared" si="72"/>
        <v>3135.1450605122427</v>
      </c>
      <c r="AE300" s="1146">
        <f t="shared" si="73"/>
        <v>9632.0696864111505</v>
      </c>
      <c r="AF300" s="1146">
        <f t="shared" si="74"/>
        <v>9042.0185758513926</v>
      </c>
      <c r="AG300" s="1146">
        <f t="shared" si="75"/>
        <v>590.05111055975794</v>
      </c>
    </row>
    <row r="301" spans="2:33" ht="14.4">
      <c r="B301" s="1134">
        <v>5004429</v>
      </c>
      <c r="C301" s="1135"/>
      <c r="D301" s="1134">
        <v>272227</v>
      </c>
      <c r="E301" s="1136">
        <v>42125</v>
      </c>
      <c r="F301" s="1137">
        <v>24000</v>
      </c>
      <c r="G301" s="1134">
        <v>10</v>
      </c>
      <c r="H301" s="1137">
        <v>28000</v>
      </c>
      <c r="I301" s="1134">
        <v>15</v>
      </c>
      <c r="J301" s="1138">
        <v>3600</v>
      </c>
      <c r="K301" s="1139"/>
      <c r="L301" s="1140">
        <v>42144</v>
      </c>
      <c r="M301" s="269">
        <f t="shared" si="58"/>
        <v>2</v>
      </c>
      <c r="N301" s="1141">
        <v>150</v>
      </c>
      <c r="O301" s="1087">
        <f t="shared" si="59"/>
        <v>1465.60</v>
      </c>
      <c r="P301" s="269">
        <f t="shared" si="76"/>
        <v>1</v>
      </c>
      <c r="Q301" s="269" t="str">
        <f t="shared" si="60"/>
        <v/>
      </c>
      <c r="R301" s="1147"/>
      <c r="S301" s="1143" t="str">
        <f t="shared" si="61"/>
        <v>Upsize</v>
      </c>
      <c r="T301" s="1144">
        <f t="shared" si="62"/>
        <v>1909.7142857142856</v>
      </c>
      <c r="U301" s="1144">
        <f t="shared" si="63"/>
        <v>762</v>
      </c>
      <c r="V301" s="1146">
        <f t="shared" si="64"/>
        <v>6958.3792207792203</v>
      </c>
      <c r="W301" s="1146">
        <f t="shared" si="65"/>
        <v>6074.9176470588227</v>
      </c>
      <c r="X301" s="1146">
        <f t="shared" si="66"/>
        <v>883.46157372039761</v>
      </c>
      <c r="Y301" s="1146">
        <f t="shared" si="67"/>
        <v>5504.0398208063716</v>
      </c>
      <c r="Z301" s="1146">
        <f t="shared" si="68"/>
        <v>6074.9176470588227</v>
      </c>
      <c r="AA301" s="1146">
        <f t="shared" si="69"/>
        <v>-570.87782625245109</v>
      </c>
      <c r="AB301" s="1146">
        <f t="shared" si="70"/>
        <v>8118.1090909090908</v>
      </c>
      <c r="AC301" s="1146">
        <f t="shared" si="71"/>
        <v>6074.9176470588227</v>
      </c>
      <c r="AD301" s="1146">
        <f t="shared" si="72"/>
        <v>2043.1914438502681</v>
      </c>
      <c r="AE301" s="1146">
        <f t="shared" si="73"/>
        <v>6421.3797909407667</v>
      </c>
      <c r="AF301" s="1146">
        <f t="shared" si="74"/>
        <v>6074.9176470588227</v>
      </c>
      <c r="AG301" s="1146">
        <f t="shared" si="75"/>
        <v>346.46214388194403</v>
      </c>
    </row>
    <row r="302" spans="2:33" ht="14.4">
      <c r="B302" s="1134">
        <v>4004644</v>
      </c>
      <c r="C302" s="1135"/>
      <c r="D302" s="1134">
        <v>187772</v>
      </c>
      <c r="E302" s="1136">
        <v>42138</v>
      </c>
      <c r="F302" s="1137">
        <v>48000</v>
      </c>
      <c r="G302" s="1134">
        <v>12</v>
      </c>
      <c r="H302" s="1137">
        <v>47000</v>
      </c>
      <c r="I302" s="1134">
        <v>17.50</v>
      </c>
      <c r="J302" s="1138">
        <v>7251</v>
      </c>
      <c r="K302" s="1139"/>
      <c r="L302" s="1140">
        <v>42146</v>
      </c>
      <c r="M302" s="269">
        <f t="shared" si="58"/>
        <v>2</v>
      </c>
      <c r="N302" s="1141">
        <v>325</v>
      </c>
      <c r="O302" s="1087">
        <f t="shared" si="59"/>
        <v>3611.6571428571428</v>
      </c>
      <c r="P302" s="269">
        <f t="shared" si="76"/>
        <v>1</v>
      </c>
      <c r="Q302" s="269" t="str">
        <f t="shared" si="60"/>
        <v/>
      </c>
      <c r="R302" s="1147"/>
      <c r="S302" s="1143" t="str">
        <f t="shared" si="61"/>
        <v>Downsize</v>
      </c>
      <c r="T302" s="1144">
        <f t="shared" si="62"/>
        <v>2275.4042553191489</v>
      </c>
      <c r="U302" s="1144">
        <f t="shared" si="63"/>
        <v>907.91489361702122</v>
      </c>
      <c r="V302" s="1146">
        <f t="shared" si="64"/>
        <v>14761.346228239843</v>
      </c>
      <c r="W302" s="1146">
        <f t="shared" si="65"/>
        <v>11131.321008403362</v>
      </c>
      <c r="X302" s="1146">
        <f t="shared" si="66"/>
        <v>3630.0252198364815</v>
      </c>
      <c r="Y302" s="1146">
        <f t="shared" si="67"/>
        <v>13116.009785751354</v>
      </c>
      <c r="Z302" s="1146">
        <f t="shared" si="68"/>
        <v>11131.321008403362</v>
      </c>
      <c r="AA302" s="1146">
        <f t="shared" si="69"/>
        <v>1984.6887773479921</v>
      </c>
      <c r="AB302" s="1146">
        <f t="shared" si="70"/>
        <v>14453.81818181818</v>
      </c>
      <c r="AC302" s="1146">
        <f t="shared" si="71"/>
        <v>11131.321008403362</v>
      </c>
      <c r="AD302" s="1146">
        <f t="shared" si="72"/>
        <v>3322.4971734148185</v>
      </c>
      <c r="AE302" s="1146">
        <f t="shared" si="73"/>
        <v>12842.759581881533</v>
      </c>
      <c r="AF302" s="1146">
        <f t="shared" si="74"/>
        <v>11131.321008403362</v>
      </c>
      <c r="AG302" s="1146">
        <f t="shared" si="75"/>
        <v>1711.4385734781718</v>
      </c>
    </row>
    <row r="303" spans="2:33" ht="14.4">
      <c r="B303" s="1134">
        <v>906347</v>
      </c>
      <c r="C303" s="1135"/>
      <c r="D303" s="1134">
        <v>90634</v>
      </c>
      <c r="E303" s="1136">
        <v>42135</v>
      </c>
      <c r="F303" s="1137">
        <v>36000</v>
      </c>
      <c r="G303" s="1134">
        <v>10</v>
      </c>
      <c r="H303" s="1137">
        <v>39500</v>
      </c>
      <c r="I303" s="1134">
        <v>15</v>
      </c>
      <c r="J303" s="1138">
        <v>7795</v>
      </c>
      <c r="K303" s="1139"/>
      <c r="L303" s="1140">
        <v>42146</v>
      </c>
      <c r="M303" s="269">
        <f t="shared" si="58"/>
        <v>2</v>
      </c>
      <c r="N303" s="1141">
        <v>225</v>
      </c>
      <c r="O303" s="1087">
        <f t="shared" si="59"/>
        <v>2656.3999999999996</v>
      </c>
      <c r="P303" s="269">
        <f t="shared" si="76"/>
        <v>1</v>
      </c>
      <c r="Q303" s="269" t="str">
        <f t="shared" si="60"/>
        <v/>
      </c>
      <c r="R303" s="1147"/>
      <c r="S303" s="1143" t="str">
        <f t="shared" si="61"/>
        <v>Upsize</v>
      </c>
      <c r="T303" s="1144">
        <f t="shared" si="62"/>
        <v>2030.5822784810125</v>
      </c>
      <c r="U303" s="1144">
        <f t="shared" si="63"/>
        <v>810.22784810126575</v>
      </c>
      <c r="V303" s="1146">
        <f t="shared" si="64"/>
        <v>11098.174453394706</v>
      </c>
      <c r="W303" s="1146">
        <f t="shared" si="65"/>
        <v>9112.376470588235</v>
      </c>
      <c r="X303" s="1146">
        <f t="shared" si="66"/>
        <v>1985.7979828064708</v>
      </c>
      <c r="Y303" s="1146">
        <f t="shared" si="67"/>
        <v>8778.595157235477</v>
      </c>
      <c r="Z303" s="1146">
        <f t="shared" si="68"/>
        <v>9112.376470588235</v>
      </c>
      <c r="AA303" s="1146">
        <f t="shared" si="69"/>
        <v>-333.78131335275793</v>
      </c>
      <c r="AB303" s="1146">
        <f t="shared" si="70"/>
        <v>12177.163636363635</v>
      </c>
      <c r="AC303" s="1146">
        <f t="shared" si="71"/>
        <v>9112.376470588235</v>
      </c>
      <c r="AD303" s="1146">
        <f t="shared" si="72"/>
        <v>3064.7871657754004</v>
      </c>
      <c r="AE303" s="1146">
        <f t="shared" si="73"/>
        <v>9632.0696864111487</v>
      </c>
      <c r="AF303" s="1146">
        <f t="shared" si="74"/>
        <v>9112.376470588235</v>
      </c>
      <c r="AG303" s="1146">
        <f t="shared" si="75"/>
        <v>519.69321582291377</v>
      </c>
    </row>
    <row r="304" spans="2:33" ht="14.4">
      <c r="B304" s="1134">
        <v>2190940</v>
      </c>
      <c r="C304" s="1135"/>
      <c r="D304" s="1134">
        <v>211242</v>
      </c>
      <c r="E304" s="1136">
        <v>42106</v>
      </c>
      <c r="F304" s="1137">
        <v>35000</v>
      </c>
      <c r="G304" s="1134">
        <v>10</v>
      </c>
      <c r="H304" s="1137">
        <v>35000</v>
      </c>
      <c r="I304" s="1134">
        <v>16</v>
      </c>
      <c r="J304" s="1138">
        <v>9616</v>
      </c>
      <c r="K304" s="1139"/>
      <c r="L304" s="1140">
        <v>42146</v>
      </c>
      <c r="M304" s="269">
        <f t="shared" si="58"/>
        <v>2</v>
      </c>
      <c r="N304" s="1141">
        <v>225</v>
      </c>
      <c r="O304" s="1087">
        <f t="shared" si="59"/>
        <v>3606.7500000000005</v>
      </c>
      <c r="P304" s="269">
        <f t="shared" si="76"/>
        <v>1</v>
      </c>
      <c r="Q304" s="269" t="str">
        <f t="shared" si="60"/>
        <v/>
      </c>
      <c r="R304" s="1147"/>
      <c r="S304" s="1143" t="str">
        <f t="shared" si="61"/>
        <v>Same Size</v>
      </c>
      <c r="T304" s="1144">
        <f t="shared" si="62"/>
        <v>2228</v>
      </c>
      <c r="U304" s="1144">
        <f t="shared" si="63"/>
        <v>889</v>
      </c>
      <c r="V304" s="1146">
        <f t="shared" si="64"/>
        <v>11838.90909090909</v>
      </c>
      <c r="W304" s="1146">
        <f t="shared" si="65"/>
        <v>8534.3382352941171</v>
      </c>
      <c r="X304" s="1146">
        <f t="shared" si="66"/>
        <v>3304.570855614973</v>
      </c>
      <c r="Y304" s="1146">
        <f t="shared" si="67"/>
        <v>9364.5121951219517</v>
      </c>
      <c r="Z304" s="1146">
        <f t="shared" si="68"/>
        <v>8534.3382352941171</v>
      </c>
      <c r="AA304" s="1146">
        <f t="shared" si="69"/>
        <v>830.17395982783455</v>
      </c>
      <c r="AB304" s="1146">
        <f t="shared" si="70"/>
        <v>11838.90909090909</v>
      </c>
      <c r="AC304" s="1146">
        <f t="shared" si="71"/>
        <v>8534.3382352941171</v>
      </c>
      <c r="AD304" s="1146">
        <f t="shared" si="72"/>
        <v>3304.570855614973</v>
      </c>
      <c r="AE304" s="1146">
        <f t="shared" si="73"/>
        <v>9364.5121951219517</v>
      </c>
      <c r="AF304" s="1146">
        <f t="shared" si="74"/>
        <v>8534.3382352941171</v>
      </c>
      <c r="AG304" s="1146">
        <f t="shared" si="75"/>
        <v>830.17395982783455</v>
      </c>
    </row>
    <row r="305" spans="2:33" ht="14.4">
      <c r="B305" s="1134">
        <v>6240634</v>
      </c>
      <c r="C305" s="1135"/>
      <c r="D305" s="1134">
        <v>609302</v>
      </c>
      <c r="E305" s="1136">
        <v>42141</v>
      </c>
      <c r="F305" s="1137">
        <v>36000</v>
      </c>
      <c r="G305" s="1134">
        <v>10</v>
      </c>
      <c r="H305" s="1137">
        <v>34800</v>
      </c>
      <c r="I305" s="1134">
        <v>15.20</v>
      </c>
      <c r="J305" s="1138">
        <v>5295</v>
      </c>
      <c r="K305" s="1139"/>
      <c r="L305" s="1140">
        <v>42146</v>
      </c>
      <c r="M305" s="269">
        <f t="shared" si="58"/>
        <v>2</v>
      </c>
      <c r="N305" s="1141">
        <v>175</v>
      </c>
      <c r="O305" s="1087">
        <f t="shared" si="59"/>
        <v>3601.3263157894744</v>
      </c>
      <c r="P305" s="269">
        <f t="shared" si="76"/>
        <v>1</v>
      </c>
      <c r="Q305" s="269" t="str">
        <f t="shared" si="60"/>
        <v/>
      </c>
      <c r="R305" s="1147"/>
      <c r="S305" s="1143" t="str">
        <f t="shared" si="61"/>
        <v>Downsize</v>
      </c>
      <c r="T305" s="1144">
        <f t="shared" si="62"/>
        <v>2304.8275862068967</v>
      </c>
      <c r="U305" s="1144">
        <f t="shared" si="63"/>
        <v>919.65517241379314</v>
      </c>
      <c r="V305" s="1146">
        <f t="shared" si="64"/>
        <v>12597.065830721003</v>
      </c>
      <c r="W305" s="1146">
        <f t="shared" si="65"/>
        <v>9042.0185758513926</v>
      </c>
      <c r="X305" s="1146">
        <f t="shared" si="66"/>
        <v>3555.0472548696107</v>
      </c>
      <c r="Y305" s="1146">
        <f t="shared" si="67"/>
        <v>9964.2100204253293</v>
      </c>
      <c r="Z305" s="1146">
        <f t="shared" si="68"/>
        <v>9042.0185758513926</v>
      </c>
      <c r="AA305" s="1146">
        <f t="shared" si="69"/>
        <v>922.19144457393668</v>
      </c>
      <c r="AB305" s="1146">
        <f t="shared" si="70"/>
        <v>12177.163636363635</v>
      </c>
      <c r="AC305" s="1146">
        <f t="shared" si="71"/>
        <v>9042.0185758513926</v>
      </c>
      <c r="AD305" s="1146">
        <f t="shared" si="72"/>
        <v>3135.1450605122427</v>
      </c>
      <c r="AE305" s="1146">
        <f t="shared" si="73"/>
        <v>9632.0696864111505</v>
      </c>
      <c r="AF305" s="1146">
        <f t="shared" si="74"/>
        <v>9042.0185758513926</v>
      </c>
      <c r="AG305" s="1146">
        <f t="shared" si="75"/>
        <v>590.05111055975794</v>
      </c>
    </row>
    <row r="306" spans="2:33" ht="14.4">
      <c r="B306" s="1134">
        <v>5781291</v>
      </c>
      <c r="C306" s="1135"/>
      <c r="D306" s="1134">
        <v>569904</v>
      </c>
      <c r="E306" s="1136">
        <v>42047</v>
      </c>
      <c r="F306" s="1137">
        <v>36000</v>
      </c>
      <c r="G306" s="1134">
        <v>10</v>
      </c>
      <c r="H306" s="1137">
        <v>36000</v>
      </c>
      <c r="I306" s="1134">
        <v>15</v>
      </c>
      <c r="J306" s="1138">
        <v>6350</v>
      </c>
      <c r="K306" s="1139"/>
      <c r="L306" s="1140">
        <v>42150</v>
      </c>
      <c r="M306" s="269">
        <f t="shared" si="58"/>
        <v>2</v>
      </c>
      <c r="N306" s="1141">
        <v>175</v>
      </c>
      <c r="O306" s="1087">
        <f t="shared" si="59"/>
        <v>3297.6000000000004</v>
      </c>
      <c r="P306" s="269">
        <f t="shared" si="76"/>
        <v>1</v>
      </c>
      <c r="Q306" s="269" t="str">
        <f t="shared" si="60"/>
        <v/>
      </c>
      <c r="R306" s="1147"/>
      <c r="S306" s="1143" t="str">
        <f t="shared" si="61"/>
        <v>Same Size</v>
      </c>
      <c r="T306" s="1144">
        <f t="shared" si="62"/>
        <v>2228</v>
      </c>
      <c r="U306" s="1144">
        <f t="shared" si="63"/>
        <v>889</v>
      </c>
      <c r="V306" s="1146">
        <f t="shared" si="64"/>
        <v>12177.163636363635</v>
      </c>
      <c r="W306" s="1146">
        <f t="shared" si="65"/>
        <v>9112.376470588235</v>
      </c>
      <c r="X306" s="1146">
        <f t="shared" si="66"/>
        <v>3064.7871657754004</v>
      </c>
      <c r="Y306" s="1146">
        <f t="shared" si="67"/>
        <v>9632.0696864111487</v>
      </c>
      <c r="Z306" s="1146">
        <f t="shared" si="68"/>
        <v>9112.376470588235</v>
      </c>
      <c r="AA306" s="1146">
        <f t="shared" si="69"/>
        <v>519.69321582291377</v>
      </c>
      <c r="AB306" s="1146">
        <f t="shared" si="70"/>
        <v>12177.163636363635</v>
      </c>
      <c r="AC306" s="1146">
        <f t="shared" si="71"/>
        <v>9112.376470588235</v>
      </c>
      <c r="AD306" s="1146">
        <f t="shared" si="72"/>
        <v>3064.7871657754004</v>
      </c>
      <c r="AE306" s="1146">
        <f t="shared" si="73"/>
        <v>9632.0696864111487</v>
      </c>
      <c r="AF306" s="1146">
        <f t="shared" si="74"/>
        <v>9112.376470588235</v>
      </c>
      <c r="AG306" s="1146">
        <f t="shared" si="75"/>
        <v>519.69321582291377</v>
      </c>
    </row>
    <row r="307" spans="2:33" ht="14.4">
      <c r="B307" s="1134">
        <v>4322947</v>
      </c>
      <c r="C307" s="1135"/>
      <c r="D307" s="1134">
        <v>432294</v>
      </c>
      <c r="E307" s="1136">
        <v>42073</v>
      </c>
      <c r="F307" s="1137">
        <v>36000</v>
      </c>
      <c r="G307" s="1134">
        <v>10</v>
      </c>
      <c r="H307" s="1137">
        <v>57500</v>
      </c>
      <c r="I307" s="1134">
        <v>15</v>
      </c>
      <c r="J307" s="1138">
        <v>7327</v>
      </c>
      <c r="K307" s="1139"/>
      <c r="L307" s="1140">
        <v>42150</v>
      </c>
      <c r="M307" s="269">
        <f t="shared" si="58"/>
        <v>2</v>
      </c>
      <c r="N307" s="1141">
        <v>325</v>
      </c>
      <c r="O307" s="1087">
        <f t="shared" si="59"/>
        <v>-641.2000000000005</v>
      </c>
      <c r="P307" s="269">
        <f t="shared" si="76"/>
        <v>1</v>
      </c>
      <c r="Q307" s="269" t="str">
        <f t="shared" si="60"/>
        <v/>
      </c>
      <c r="R307" s="1147"/>
      <c r="S307" s="1143" t="str">
        <f t="shared" si="61"/>
        <v>Upsize</v>
      </c>
      <c r="T307" s="1144">
        <f t="shared" si="62"/>
        <v>1394.9217391304348</v>
      </c>
      <c r="U307" s="1144">
        <f t="shared" si="63"/>
        <v>556.59130434782617</v>
      </c>
      <c r="V307" s="1146">
        <f t="shared" si="64"/>
        <v>7623.9633201581028</v>
      </c>
      <c r="W307" s="1146">
        <f t="shared" si="65"/>
        <v>9112.376470588235</v>
      </c>
      <c r="X307" s="1146">
        <f t="shared" si="66"/>
        <v>-1488.4131504301322</v>
      </c>
      <c r="Y307" s="1146">
        <f t="shared" si="67"/>
        <v>6030.5131949704592</v>
      </c>
      <c r="Z307" s="1146">
        <f t="shared" si="68"/>
        <v>9112.376470588235</v>
      </c>
      <c r="AA307" s="1146">
        <f t="shared" si="69"/>
        <v>-3081.8632756177758</v>
      </c>
      <c r="AB307" s="1146">
        <f t="shared" si="70"/>
        <v>12177.163636363635</v>
      </c>
      <c r="AC307" s="1146">
        <f t="shared" si="71"/>
        <v>9112.376470588235</v>
      </c>
      <c r="AD307" s="1146">
        <f t="shared" si="72"/>
        <v>3064.7871657754004</v>
      </c>
      <c r="AE307" s="1146">
        <f t="shared" si="73"/>
        <v>9632.0696864111505</v>
      </c>
      <c r="AF307" s="1146">
        <f t="shared" si="74"/>
        <v>9112.376470588235</v>
      </c>
      <c r="AG307" s="1146">
        <f t="shared" si="75"/>
        <v>519.69321582291559</v>
      </c>
    </row>
    <row r="308" spans="2:33" ht="14.4">
      <c r="B308" s="1134">
        <v>8910334</v>
      </c>
      <c r="C308" s="1135"/>
      <c r="D308" s="1134">
        <v>306991</v>
      </c>
      <c r="E308" s="1136">
        <v>42110</v>
      </c>
      <c r="F308" s="1137">
        <v>30000</v>
      </c>
      <c r="G308" s="1134">
        <v>10</v>
      </c>
      <c r="H308" s="1137">
        <v>36000</v>
      </c>
      <c r="I308" s="1134">
        <v>17</v>
      </c>
      <c r="J308" s="1138">
        <v>7612</v>
      </c>
      <c r="K308" s="1139"/>
      <c r="L308" s="1140">
        <v>42151</v>
      </c>
      <c r="M308" s="269">
        <f t="shared" si="58"/>
        <v>2</v>
      </c>
      <c r="N308" s="1141">
        <v>250</v>
      </c>
      <c r="O308" s="1087">
        <f t="shared" si="59"/>
        <v>2424.7058823529419</v>
      </c>
      <c r="P308" s="269">
        <f t="shared" si="76"/>
        <v>1</v>
      </c>
      <c r="Q308" s="269" t="str">
        <f t="shared" si="60"/>
        <v/>
      </c>
      <c r="R308" s="1147"/>
      <c r="S308" s="1143" t="str">
        <f t="shared" si="61"/>
        <v>Upsize</v>
      </c>
      <c r="T308" s="1144">
        <f t="shared" si="62"/>
        <v>1856.6666666666667</v>
      </c>
      <c r="U308" s="1144">
        <f t="shared" si="63"/>
        <v>740.83333333333337</v>
      </c>
      <c r="V308" s="1146">
        <f t="shared" si="64"/>
        <v>8456.363636363636</v>
      </c>
      <c r="W308" s="1146">
        <f t="shared" si="65"/>
        <v>7069.4117647058829</v>
      </c>
      <c r="X308" s="1146">
        <f t="shared" si="66"/>
        <v>1386.9518716577531</v>
      </c>
      <c r="Y308" s="1146">
        <f t="shared" si="67"/>
        <v>6688.9372822299647</v>
      </c>
      <c r="Z308" s="1146">
        <f t="shared" si="68"/>
        <v>7069.4117647058829</v>
      </c>
      <c r="AA308" s="1146">
        <f t="shared" si="69"/>
        <v>-380.47448247591819</v>
      </c>
      <c r="AB308" s="1146">
        <f t="shared" si="70"/>
        <v>10147.636363636364</v>
      </c>
      <c r="AC308" s="1146">
        <f t="shared" si="71"/>
        <v>7069.4117647058829</v>
      </c>
      <c r="AD308" s="1146">
        <f t="shared" si="72"/>
        <v>3078.2245989304811</v>
      </c>
      <c r="AE308" s="1146">
        <f t="shared" si="73"/>
        <v>8026.7247386759582</v>
      </c>
      <c r="AF308" s="1146">
        <f t="shared" si="74"/>
        <v>7069.4117647058829</v>
      </c>
      <c r="AG308" s="1146">
        <f t="shared" si="75"/>
        <v>957.31297397007529</v>
      </c>
    </row>
    <row r="309" spans="2:33" ht="14.4">
      <c r="B309" s="1134">
        <v>5708573</v>
      </c>
      <c r="C309" s="1135"/>
      <c r="D309" s="1134">
        <v>565618</v>
      </c>
      <c r="E309" s="1136">
        <v>42082</v>
      </c>
      <c r="F309" s="1137">
        <v>60000</v>
      </c>
      <c r="G309" s="1134">
        <v>10</v>
      </c>
      <c r="H309" s="1137">
        <v>57000</v>
      </c>
      <c r="I309" s="1134">
        <v>15</v>
      </c>
      <c r="J309" s="1138">
        <v>5225</v>
      </c>
      <c r="K309" s="1139"/>
      <c r="L309" s="1140">
        <v>42153</v>
      </c>
      <c r="M309" s="269">
        <f t="shared" si="58"/>
        <v>2</v>
      </c>
      <c r="N309" s="1141">
        <v>325</v>
      </c>
      <c r="O309" s="1087">
        <f t="shared" si="59"/>
        <v>6045.60</v>
      </c>
      <c r="P309" s="269">
        <f t="shared" si="76"/>
        <v>1</v>
      </c>
      <c r="Q309" s="269" t="str">
        <f t="shared" si="60"/>
        <v/>
      </c>
      <c r="R309" s="1147"/>
      <c r="S309" s="1143" t="str">
        <f t="shared" si="61"/>
        <v>Downsize</v>
      </c>
      <c r="T309" s="1144">
        <f t="shared" si="62"/>
        <v>2345.2631578947367</v>
      </c>
      <c r="U309" s="1144">
        <f t="shared" si="63"/>
        <v>935.78947368421052</v>
      </c>
      <c r="V309" s="1146">
        <f t="shared" si="64"/>
        <v>21363.444976076556</v>
      </c>
      <c r="W309" s="1146">
        <f t="shared" si="65"/>
        <v>15187.29411764706</v>
      </c>
      <c r="X309" s="1146">
        <f t="shared" si="66"/>
        <v>6176.150858429497</v>
      </c>
      <c r="Y309" s="1146">
        <f t="shared" si="67"/>
        <v>16898.367870896753</v>
      </c>
      <c r="Z309" s="1146">
        <f t="shared" si="68"/>
        <v>15187.29411764706</v>
      </c>
      <c r="AA309" s="1146">
        <f t="shared" si="69"/>
        <v>1711.0737532496933</v>
      </c>
      <c r="AB309" s="1146">
        <f t="shared" si="70"/>
        <v>20295.272727272728</v>
      </c>
      <c r="AC309" s="1146">
        <f t="shared" si="71"/>
        <v>15187.29411764706</v>
      </c>
      <c r="AD309" s="1146">
        <f t="shared" si="72"/>
        <v>5107.9786096256685</v>
      </c>
      <c r="AE309" s="1146">
        <f t="shared" si="73"/>
        <v>16053.449477351915</v>
      </c>
      <c r="AF309" s="1146">
        <f t="shared" si="74"/>
        <v>15187.29411764706</v>
      </c>
      <c r="AG309" s="1146">
        <f t="shared" si="75"/>
        <v>866.15535970485507</v>
      </c>
    </row>
    <row r="310" spans="2:33" ht="14.4">
      <c r="B310" s="1134">
        <v>4514360</v>
      </c>
      <c r="C310" s="1135"/>
      <c r="D310" s="1134">
        <v>451436</v>
      </c>
      <c r="E310" s="1136">
        <v>42129</v>
      </c>
      <c r="F310" s="1137">
        <v>48000</v>
      </c>
      <c r="G310" s="1134">
        <v>13</v>
      </c>
      <c r="H310" s="1137">
        <v>47500</v>
      </c>
      <c r="I310" s="1134">
        <v>15</v>
      </c>
      <c r="J310" s="1138">
        <v>5550</v>
      </c>
      <c r="K310" s="1139"/>
      <c r="L310" s="1140">
        <v>42153</v>
      </c>
      <c r="M310" s="269">
        <f t="shared" si="58"/>
        <v>2</v>
      </c>
      <c r="N310" s="1141">
        <v>250</v>
      </c>
      <c r="O310" s="1087">
        <f t="shared" si="59"/>
        <v>1444.4615384615393</v>
      </c>
      <c r="P310" s="269">
        <f t="shared" si="76"/>
        <v>1</v>
      </c>
      <c r="Q310" s="269" t="str">
        <f t="shared" si="60"/>
        <v/>
      </c>
      <c r="R310" s="1147"/>
      <c r="S310" s="1143" t="str">
        <f t="shared" si="61"/>
        <v>Downsize</v>
      </c>
      <c r="T310" s="1144">
        <f t="shared" si="62"/>
        <v>2251.4526315789476</v>
      </c>
      <c r="U310" s="1144">
        <f t="shared" si="63"/>
        <v>898.35789473684213</v>
      </c>
      <c r="V310" s="1146">
        <f t="shared" si="64"/>
        <v>13913.208980493191</v>
      </c>
      <c r="W310" s="1146">
        <f t="shared" si="65"/>
        <v>12149.835294117649</v>
      </c>
      <c r="X310" s="1146">
        <f t="shared" si="66"/>
        <v>1763.3736863755421</v>
      </c>
      <c r="Y310" s="1146">
        <f t="shared" si="67"/>
        <v>12977.946524848709</v>
      </c>
      <c r="Z310" s="1146">
        <f t="shared" si="68"/>
        <v>12149.835294117649</v>
      </c>
      <c r="AA310" s="1146">
        <f t="shared" si="69"/>
        <v>828.11123073105955</v>
      </c>
      <c r="AB310" s="1146">
        <f t="shared" si="70"/>
        <v>13768.279720279721</v>
      </c>
      <c r="AC310" s="1146">
        <f t="shared" si="71"/>
        <v>12149.835294117649</v>
      </c>
      <c r="AD310" s="1146">
        <f t="shared" si="72"/>
        <v>1618.444426162072</v>
      </c>
      <c r="AE310" s="1146">
        <f t="shared" si="73"/>
        <v>12842.759581881535</v>
      </c>
      <c r="AF310" s="1146">
        <f t="shared" si="74"/>
        <v>12149.835294117649</v>
      </c>
      <c r="AG310" s="1146">
        <f t="shared" si="75"/>
        <v>692.92428776388624</v>
      </c>
    </row>
    <row r="311" spans="2:33" ht="14.4">
      <c r="B311" s="1134">
        <v>2745461</v>
      </c>
      <c r="C311" s="1135"/>
      <c r="D311" s="1134">
        <v>274546</v>
      </c>
      <c r="E311" s="1136">
        <v>42115</v>
      </c>
      <c r="F311" s="1137">
        <v>48000</v>
      </c>
      <c r="G311" s="1134">
        <v>11</v>
      </c>
      <c r="H311" s="1137">
        <v>46500</v>
      </c>
      <c r="I311" s="1134">
        <v>15</v>
      </c>
      <c r="J311" s="1138">
        <v>4289</v>
      </c>
      <c r="K311" s="1139"/>
      <c r="L311" s="1140">
        <v>42153</v>
      </c>
      <c r="M311" s="269">
        <f t="shared" si="58"/>
        <v>2</v>
      </c>
      <c r="N311" s="1141">
        <v>250</v>
      </c>
      <c r="O311" s="1087">
        <f t="shared" si="59"/>
        <v>3472.4727272727287</v>
      </c>
      <c r="P311" s="269">
        <f t="shared" si="76"/>
        <v>1</v>
      </c>
      <c r="Q311" s="269" t="str">
        <f t="shared" si="60"/>
        <v/>
      </c>
      <c r="R311" s="1147"/>
      <c r="S311" s="1143" t="str">
        <f t="shared" si="61"/>
        <v>Downsize</v>
      </c>
      <c r="T311" s="1144">
        <f t="shared" si="62"/>
        <v>2299.8709677419356</v>
      </c>
      <c r="U311" s="1144">
        <f t="shared" si="63"/>
        <v>917.67741935483866</v>
      </c>
      <c r="V311" s="1146">
        <f t="shared" si="64"/>
        <v>15756.387096774193</v>
      </c>
      <c r="W311" s="1146">
        <f t="shared" si="65"/>
        <v>12149.835294117649</v>
      </c>
      <c r="X311" s="1146">
        <f t="shared" si="66"/>
        <v>3606.5518026565442</v>
      </c>
      <c r="Y311" s="1146">
        <f t="shared" si="67"/>
        <v>13257.042149039004</v>
      </c>
      <c r="Z311" s="1146">
        <f t="shared" si="68"/>
        <v>12149.835294117649</v>
      </c>
      <c r="AA311" s="1146">
        <f t="shared" si="69"/>
        <v>1107.2068549213545</v>
      </c>
      <c r="AB311" s="1146">
        <f t="shared" si="70"/>
        <v>15264</v>
      </c>
      <c r="AC311" s="1146">
        <f t="shared" si="71"/>
        <v>12149.835294117649</v>
      </c>
      <c r="AD311" s="1146">
        <f t="shared" si="72"/>
        <v>3114.164705882351</v>
      </c>
      <c r="AE311" s="1146">
        <f t="shared" si="73"/>
        <v>12842.759581881533</v>
      </c>
      <c r="AF311" s="1146">
        <f t="shared" si="74"/>
        <v>12149.835294117649</v>
      </c>
      <c r="AG311" s="1146">
        <f t="shared" si="75"/>
        <v>692.92428776388442</v>
      </c>
    </row>
    <row r="312" spans="2:33" ht="14.4">
      <c r="B312" s="1134">
        <v>8867416</v>
      </c>
      <c r="C312" s="1135"/>
      <c r="D312" s="1134">
        <v>645533</v>
      </c>
      <c r="E312" s="1136">
        <v>42144</v>
      </c>
      <c r="F312" s="1137">
        <v>48000</v>
      </c>
      <c r="G312" s="1134">
        <v>9</v>
      </c>
      <c r="H312" s="1137">
        <v>47000</v>
      </c>
      <c r="I312" s="1134">
        <v>19.25</v>
      </c>
      <c r="J312" s="1138">
        <v>8500</v>
      </c>
      <c r="K312" s="1139"/>
      <c r="L312" s="1140">
        <v>42153</v>
      </c>
      <c r="M312" s="269">
        <f t="shared" si="58"/>
        <v>2</v>
      </c>
      <c r="N312" s="1141">
        <v>400</v>
      </c>
      <c r="O312" s="1087">
        <f t="shared" si="59"/>
        <v>7946.5974025974019</v>
      </c>
      <c r="P312" s="269">
        <f t="shared" si="76"/>
        <v>1</v>
      </c>
      <c r="Q312" s="269" t="str">
        <f t="shared" si="60"/>
        <v/>
      </c>
      <c r="R312" s="1147"/>
      <c r="S312" s="1143" t="str">
        <f t="shared" si="61"/>
        <v>Downsize</v>
      </c>
      <c r="T312" s="1144">
        <f t="shared" si="62"/>
        <v>2275.4042553191489</v>
      </c>
      <c r="U312" s="1144">
        <f t="shared" si="63"/>
        <v>907.91489361702122</v>
      </c>
      <c r="V312" s="1146">
        <f t="shared" si="64"/>
        <v>17795.218568665376</v>
      </c>
      <c r="W312" s="1146">
        <f t="shared" si="65"/>
        <v>10575.767761650115</v>
      </c>
      <c r="X312" s="1146">
        <f t="shared" si="66"/>
        <v>7219.4508070152606</v>
      </c>
      <c r="Y312" s="1146">
        <f t="shared" si="67"/>
        <v>13116.009785751354</v>
      </c>
      <c r="Z312" s="1146">
        <f t="shared" si="68"/>
        <v>10575.767761650115</v>
      </c>
      <c r="AA312" s="1146">
        <f t="shared" si="69"/>
        <v>2540.2420241012387</v>
      </c>
      <c r="AB312" s="1146">
        <f t="shared" si="70"/>
        <v>17424.484848484848</v>
      </c>
      <c r="AC312" s="1146">
        <f t="shared" si="71"/>
        <v>10575.767761650115</v>
      </c>
      <c r="AD312" s="1146">
        <f t="shared" si="72"/>
        <v>6848.717086834733</v>
      </c>
      <c r="AE312" s="1146">
        <f t="shared" si="73"/>
        <v>12842.759581881533</v>
      </c>
      <c r="AF312" s="1146">
        <f t="shared" si="74"/>
        <v>10575.767761650115</v>
      </c>
      <c r="AG312" s="1146">
        <f t="shared" si="75"/>
        <v>2266.9918202314184</v>
      </c>
    </row>
    <row r="313" spans="2:33" ht="14.4">
      <c r="B313" s="1134">
        <v>8855076</v>
      </c>
      <c r="C313" s="1135"/>
      <c r="D313" s="1134">
        <v>569148</v>
      </c>
      <c r="E313" s="1136">
        <v>42135</v>
      </c>
      <c r="F313" s="1137">
        <v>36000</v>
      </c>
      <c r="G313" s="1134">
        <v>10</v>
      </c>
      <c r="H313" s="1137">
        <v>33600</v>
      </c>
      <c r="I313" s="1134">
        <v>15</v>
      </c>
      <c r="J313" s="1138">
        <v>4735</v>
      </c>
      <c r="K313" s="1139"/>
      <c r="L313" s="1140">
        <v>42153</v>
      </c>
      <c r="M313" s="269">
        <f t="shared" si="58"/>
        <v>2</v>
      </c>
      <c r="N313" s="1141">
        <v>175</v>
      </c>
      <c r="O313" s="1087">
        <f t="shared" si="59"/>
        <v>3737.28</v>
      </c>
      <c r="P313" s="269">
        <f t="shared" si="76"/>
        <v>1</v>
      </c>
      <c r="Q313" s="269" t="str">
        <f t="shared" si="60"/>
        <v/>
      </c>
      <c r="R313" s="1147"/>
      <c r="S313" s="1143" t="str">
        <f t="shared" si="61"/>
        <v>Downsize</v>
      </c>
      <c r="T313" s="1144">
        <f t="shared" si="62"/>
        <v>2387.1428571428569</v>
      </c>
      <c r="U313" s="1144">
        <f t="shared" si="63"/>
        <v>952.50</v>
      </c>
      <c r="V313" s="1146">
        <f t="shared" si="64"/>
        <v>13046.961038961037</v>
      </c>
      <c r="W313" s="1146">
        <f t="shared" si="65"/>
        <v>9112.3764705882368</v>
      </c>
      <c r="X313" s="1146">
        <f t="shared" si="66"/>
        <v>3934.5845683728003</v>
      </c>
      <c r="Y313" s="1146">
        <f t="shared" si="67"/>
        <v>10320.074664011945</v>
      </c>
      <c r="Z313" s="1146">
        <f t="shared" si="68"/>
        <v>9112.3764705882368</v>
      </c>
      <c r="AA313" s="1146">
        <f t="shared" si="69"/>
        <v>1207.6981934237083</v>
      </c>
      <c r="AB313" s="1146">
        <f t="shared" si="70"/>
        <v>12177.163636363635</v>
      </c>
      <c r="AC313" s="1146">
        <f t="shared" si="71"/>
        <v>9112.3764705882368</v>
      </c>
      <c r="AD313" s="1146">
        <f t="shared" si="72"/>
        <v>3064.7871657753985</v>
      </c>
      <c r="AE313" s="1146">
        <f t="shared" si="73"/>
        <v>9632.0696864111487</v>
      </c>
      <c r="AF313" s="1146">
        <f t="shared" si="74"/>
        <v>9112.3764705882368</v>
      </c>
      <c r="AG313" s="1146">
        <f t="shared" si="75"/>
        <v>519.69321582291195</v>
      </c>
    </row>
    <row r="314" spans="2:33" ht="14.4">
      <c r="B314" s="1134">
        <v>4418505</v>
      </c>
      <c r="C314" s="1135"/>
      <c r="D314" s="1134">
        <v>164521</v>
      </c>
      <c r="E314" s="1136">
        <v>42107</v>
      </c>
      <c r="F314" s="1137">
        <v>30000</v>
      </c>
      <c r="G314" s="1134">
        <v>10</v>
      </c>
      <c r="H314" s="1137">
        <v>28000</v>
      </c>
      <c r="I314" s="1134">
        <v>15</v>
      </c>
      <c r="J314" s="1138">
        <v>4200</v>
      </c>
      <c r="K314" s="1139"/>
      <c r="L314" s="1140">
        <v>42153</v>
      </c>
      <c r="M314" s="269">
        <f t="shared" si="58"/>
        <v>2</v>
      </c>
      <c r="N314" s="1141">
        <v>150</v>
      </c>
      <c r="O314" s="1087">
        <f t="shared" si="59"/>
        <v>3114.40</v>
      </c>
      <c r="P314" s="269">
        <f t="shared" si="76"/>
        <v>1</v>
      </c>
      <c r="Q314" s="269" t="str">
        <f t="shared" si="60"/>
        <v/>
      </c>
      <c r="R314" s="1147"/>
      <c r="S314" s="1143" t="str">
        <f t="shared" si="61"/>
        <v>Downsize</v>
      </c>
      <c r="T314" s="1144">
        <f t="shared" si="62"/>
        <v>2387.1428571428569</v>
      </c>
      <c r="U314" s="1144">
        <f t="shared" si="63"/>
        <v>952.50</v>
      </c>
      <c r="V314" s="1146">
        <f t="shared" si="64"/>
        <v>10872.46753246753</v>
      </c>
      <c r="W314" s="1146">
        <f t="shared" si="65"/>
        <v>7593.6470588235297</v>
      </c>
      <c r="X314" s="1146">
        <f t="shared" si="66"/>
        <v>3278.8204736440002</v>
      </c>
      <c r="Y314" s="1146">
        <f t="shared" si="67"/>
        <v>8600.0622200099533</v>
      </c>
      <c r="Z314" s="1146">
        <f t="shared" si="68"/>
        <v>7593.6470588235297</v>
      </c>
      <c r="AA314" s="1146">
        <f t="shared" si="69"/>
        <v>1006.4151611864236</v>
      </c>
      <c r="AB314" s="1146">
        <f t="shared" si="70"/>
        <v>10147.636363636362</v>
      </c>
      <c r="AC314" s="1146">
        <f t="shared" si="71"/>
        <v>7593.6470588235297</v>
      </c>
      <c r="AD314" s="1146">
        <f t="shared" si="72"/>
        <v>2553.9893048128324</v>
      </c>
      <c r="AE314" s="1146">
        <f t="shared" si="73"/>
        <v>8026.7247386759573</v>
      </c>
      <c r="AF314" s="1146">
        <f t="shared" si="74"/>
        <v>7593.6470588235297</v>
      </c>
      <c r="AG314" s="1146">
        <f t="shared" si="75"/>
        <v>433.07767985242754</v>
      </c>
    </row>
    <row r="315" spans="2:33" ht="14.4">
      <c r="B315" s="1134">
        <v>5732748</v>
      </c>
      <c r="C315" s="1135"/>
      <c r="D315" s="1134">
        <v>191472</v>
      </c>
      <c r="E315" s="1136">
        <v>42111</v>
      </c>
      <c r="F315" s="1137">
        <v>30000</v>
      </c>
      <c r="G315" s="1134">
        <v>10</v>
      </c>
      <c r="H315" s="1137">
        <v>28800</v>
      </c>
      <c r="I315" s="1134">
        <v>15.20</v>
      </c>
      <c r="J315" s="1138">
        <v>4389</v>
      </c>
      <c r="K315" s="1139"/>
      <c r="L315" s="1140">
        <v>42153</v>
      </c>
      <c r="M315" s="269">
        <f t="shared" si="58"/>
        <v>2</v>
      </c>
      <c r="N315" s="1141">
        <v>150</v>
      </c>
      <c r="O315" s="1087">
        <f t="shared" si="59"/>
        <v>3037.2631578947367</v>
      </c>
      <c r="P315" s="269">
        <f t="shared" si="76"/>
        <v>1</v>
      </c>
      <c r="Q315" s="269" t="str">
        <f t="shared" si="60"/>
        <v/>
      </c>
      <c r="R315" s="1147"/>
      <c r="S315" s="1143" t="str">
        <f t="shared" si="61"/>
        <v>Downsize</v>
      </c>
      <c r="T315" s="1144">
        <f t="shared" si="62"/>
        <v>2320.8333333333335</v>
      </c>
      <c r="U315" s="1144">
        <f t="shared" si="63"/>
        <v>926.04166666666674</v>
      </c>
      <c r="V315" s="1146">
        <f t="shared" si="64"/>
        <v>10570.454545454546</v>
      </c>
      <c r="W315" s="1146">
        <f t="shared" si="65"/>
        <v>7535.0154798761614</v>
      </c>
      <c r="X315" s="1146">
        <f t="shared" si="66"/>
        <v>3035.4390655783845</v>
      </c>
      <c r="Y315" s="1146">
        <f t="shared" si="67"/>
        <v>8361.1716027874572</v>
      </c>
      <c r="Z315" s="1146">
        <f t="shared" si="68"/>
        <v>7535.0154798761614</v>
      </c>
      <c r="AA315" s="1146">
        <f t="shared" si="69"/>
        <v>826.15612291129582</v>
      </c>
      <c r="AB315" s="1146">
        <f t="shared" si="70"/>
        <v>10147.636363636364</v>
      </c>
      <c r="AC315" s="1146">
        <f t="shared" si="71"/>
        <v>7535.0154798761614</v>
      </c>
      <c r="AD315" s="1146">
        <f t="shared" si="72"/>
        <v>2612.6208837602026</v>
      </c>
      <c r="AE315" s="1146">
        <f t="shared" si="73"/>
        <v>8026.72473867596</v>
      </c>
      <c r="AF315" s="1146">
        <f t="shared" si="74"/>
        <v>7535.0154798761614</v>
      </c>
      <c r="AG315" s="1146">
        <f t="shared" si="75"/>
        <v>491.70925879979859</v>
      </c>
    </row>
    <row r="316" spans="2:33" ht="14.4">
      <c r="B316" s="1134">
        <v>2281186</v>
      </c>
      <c r="C316" s="1135"/>
      <c r="D316" s="1134">
        <v>228118</v>
      </c>
      <c r="E316" s="1136">
        <v>42039</v>
      </c>
      <c r="F316" s="1137">
        <v>30000</v>
      </c>
      <c r="G316" s="1134">
        <v>10</v>
      </c>
      <c r="H316" s="1137">
        <v>28000</v>
      </c>
      <c r="I316" s="1134">
        <v>15</v>
      </c>
      <c r="J316" s="1138">
        <v>5980</v>
      </c>
      <c r="K316" s="1139"/>
      <c r="L316" s="1140">
        <v>42158</v>
      </c>
      <c r="M316" s="269">
        <f t="shared" si="77" ref="M316:M379">IF(MAX(K316,L316)&lt;40000,"",ROUNDUP(MONTH(MAX(K316,L316))/3,0))</f>
        <v>2</v>
      </c>
      <c r="N316" s="1141">
        <v>150</v>
      </c>
      <c r="O316" s="1087">
        <f t="shared" si="78" ref="O316:O379">IF(F316&lt;1,"",2.748*(F316/G316-H316/I316))</f>
        <v>3114.40</v>
      </c>
      <c r="P316" s="269">
        <f t="shared" si="76"/>
        <v>1</v>
      </c>
      <c r="Q316" s="269" t="str">
        <f t="shared" si="79" ref="Q316:Q379">IF(K316&gt;0,1,"")</f>
        <v/>
      </c>
      <c r="R316" s="1147"/>
      <c r="S316" s="1143" t="str">
        <f t="shared" si="61"/>
        <v>Downsize</v>
      </c>
      <c r="T316" s="1144">
        <f t="shared" si="62"/>
        <v>2387.1428571428569</v>
      </c>
      <c r="U316" s="1144">
        <f t="shared" si="63"/>
        <v>952.50</v>
      </c>
      <c r="V316" s="1146">
        <f t="shared" si="64"/>
        <v>10872.46753246753</v>
      </c>
      <c r="W316" s="1146">
        <f t="shared" si="65"/>
        <v>7593.6470588235297</v>
      </c>
      <c r="X316" s="1146">
        <f t="shared" si="66"/>
        <v>3278.8204736440002</v>
      </c>
      <c r="Y316" s="1146">
        <f t="shared" si="67"/>
        <v>8600.0622200099533</v>
      </c>
      <c r="Z316" s="1146">
        <f t="shared" si="68"/>
        <v>7593.6470588235297</v>
      </c>
      <c r="AA316" s="1146">
        <f t="shared" si="69"/>
        <v>1006.4151611864236</v>
      </c>
      <c r="AB316" s="1146">
        <f t="shared" si="70"/>
        <v>10147.636363636362</v>
      </c>
      <c r="AC316" s="1146">
        <f t="shared" si="71"/>
        <v>7593.6470588235297</v>
      </c>
      <c r="AD316" s="1146">
        <f t="shared" si="72"/>
        <v>2553.9893048128324</v>
      </c>
      <c r="AE316" s="1146">
        <f t="shared" si="73"/>
        <v>8026.7247386759573</v>
      </c>
      <c r="AF316" s="1146">
        <f t="shared" si="74"/>
        <v>7593.6470588235297</v>
      </c>
      <c r="AG316" s="1146">
        <f t="shared" si="75"/>
        <v>433.07767985242754</v>
      </c>
    </row>
    <row r="317" spans="2:33" ht="14.4">
      <c r="B317" s="1134">
        <v>8881273</v>
      </c>
      <c r="C317" s="1135"/>
      <c r="D317" s="1134">
        <v>295231</v>
      </c>
      <c r="E317" s="1136">
        <v>42087</v>
      </c>
      <c r="F317" s="1137">
        <v>35800</v>
      </c>
      <c r="G317" s="1134">
        <v>8</v>
      </c>
      <c r="H317" s="1137">
        <v>35800</v>
      </c>
      <c r="I317" s="1134">
        <v>15</v>
      </c>
      <c r="J317" s="1138">
        <v>4365</v>
      </c>
      <c r="K317" s="1139"/>
      <c r="L317" s="1140">
        <v>42160</v>
      </c>
      <c r="M317" s="269">
        <f t="shared" si="77"/>
        <v>2</v>
      </c>
      <c r="N317" s="1141">
        <v>175</v>
      </c>
      <c r="O317" s="1087">
        <f t="shared" si="78"/>
        <v>5738.7400000000007</v>
      </c>
      <c r="P317" s="269">
        <f t="shared" si="76"/>
        <v>1</v>
      </c>
      <c r="Q317" s="269" t="str">
        <f t="shared" si="79"/>
        <v/>
      </c>
      <c r="R317" s="1147"/>
      <c r="S317" s="1143" t="str">
        <f t="shared" si="80" ref="S317:S380">IF(F317=H317,"Same Size",IF(F317&lt;H317,"Upsize","Downsize"))</f>
        <v>Same Size</v>
      </c>
      <c r="T317" s="1144">
        <f t="shared" si="81" ref="T317:T380">($F317/$H317)*$K$35</f>
        <v>2228</v>
      </c>
      <c r="U317" s="1144">
        <f t="shared" si="82" ref="U317:U380">($F317/$H317)*$K$36</f>
        <v>889</v>
      </c>
      <c r="V317" s="1146">
        <f t="shared" si="83" ref="V317:V380">$P317*$F317/1000*($T317/$G317+$U317/$K$33)</f>
        <v>14103.572727272725</v>
      </c>
      <c r="W317" s="1146">
        <f t="shared" si="84" ref="W317:W380">$P317*$H317/1000*($T317/$I317+$U317/$K$32)</f>
        <v>9061.7521568627453</v>
      </c>
      <c r="X317" s="1146">
        <f t="shared" si="85" ref="X317:X380">V317-W317</f>
        <v>5041.8205704099801</v>
      </c>
      <c r="Y317" s="1146">
        <f t="shared" si="86" ref="Y317:Y380">$P317*$F317/1000*($T317/14+$U317/$K$34)</f>
        <v>9578.5581881533089</v>
      </c>
      <c r="Z317" s="1146">
        <f t="shared" si="87" ref="Z317:Z380">$P317*$H317/1000*($T317/$I317+$U317/$K$32)</f>
        <v>9061.7521568627453</v>
      </c>
      <c r="AA317" s="1146">
        <f t="shared" si="88" ref="AA317:AA380">Y317-Z317</f>
        <v>516.80603129056362</v>
      </c>
      <c r="AB317" s="1146">
        <f t="shared" si="89" ref="AB317:AB380">$P317*$H317/1000*($T317/$G317+$U317/$K$33)</f>
        <v>14103.572727272725</v>
      </c>
      <c r="AC317" s="1146">
        <f t="shared" si="90" ref="AC317:AC380">$P317*$H317/1000*($T317/$I317+$U317/$K$32)</f>
        <v>9061.7521568627453</v>
      </c>
      <c r="AD317" s="1146">
        <f t="shared" si="91" ref="AD317:AD380">AB317-AC317</f>
        <v>5041.8205704099801</v>
      </c>
      <c r="AE317" s="1146">
        <f t="shared" si="92" ref="AE317:AE380">$P317*$H317/1000*($T317/14+$U317/$K$34)</f>
        <v>9578.5581881533089</v>
      </c>
      <c r="AF317" s="1146">
        <f t="shared" si="93" ref="AF317:AF380">$P317*$H317/1000*($T317/$I317+$U317/$K$32)</f>
        <v>9061.7521568627453</v>
      </c>
      <c r="AG317" s="1146">
        <f t="shared" si="94" ref="AG317:AG380">AE317-AF317</f>
        <v>516.80603129056362</v>
      </c>
    </row>
    <row r="318" spans="2:33" ht="14.4">
      <c r="B318" s="1134">
        <v>5209127</v>
      </c>
      <c r="C318" s="1135"/>
      <c r="D318" s="1134">
        <v>520912</v>
      </c>
      <c r="E318" s="1136">
        <v>42120</v>
      </c>
      <c r="F318" s="1137">
        <v>40000</v>
      </c>
      <c r="G318" s="1134">
        <v>10</v>
      </c>
      <c r="H318" s="1137">
        <v>41000</v>
      </c>
      <c r="I318" s="1134">
        <v>15.50</v>
      </c>
      <c r="J318" s="1138">
        <v>7500</v>
      </c>
      <c r="K318" s="1139"/>
      <c r="L318" s="1140">
        <v>42160</v>
      </c>
      <c r="M318" s="269">
        <f t="shared" si="77"/>
        <v>2</v>
      </c>
      <c r="N318" s="1141">
        <v>225</v>
      </c>
      <c r="O318" s="1087">
        <f t="shared" si="78"/>
        <v>3723.0967741935492</v>
      </c>
      <c r="P318" s="269">
        <f t="shared" si="76"/>
        <v>1</v>
      </c>
      <c r="Q318" s="269" t="str">
        <f t="shared" si="79"/>
        <v/>
      </c>
      <c r="R318" s="1147"/>
      <c r="S318" s="1143" t="str">
        <f t="shared" si="80"/>
        <v>Upsize</v>
      </c>
      <c r="T318" s="1144">
        <f t="shared" si="81"/>
        <v>2173.6585365853657</v>
      </c>
      <c r="U318" s="1144">
        <f t="shared" si="82"/>
        <v>867.31707317073165</v>
      </c>
      <c r="V318" s="1146">
        <f t="shared" si="83"/>
        <v>13200.177383592018</v>
      </c>
      <c r="W318" s="1146">
        <f t="shared" si="84"/>
        <v>9933.2068311195435</v>
      </c>
      <c r="X318" s="1146">
        <f t="shared" si="85"/>
        <v>3266.9705524724741</v>
      </c>
      <c r="Y318" s="1146">
        <f t="shared" si="86"/>
        <v>10441.267952749213</v>
      </c>
      <c r="Z318" s="1146">
        <f t="shared" si="87"/>
        <v>9933.2068311195435</v>
      </c>
      <c r="AA318" s="1146">
        <f t="shared" si="88"/>
        <v>508.06112162966929</v>
      </c>
      <c r="AB318" s="1146">
        <f t="shared" si="89"/>
        <v>13530.181818181818</v>
      </c>
      <c r="AC318" s="1146">
        <f t="shared" si="90"/>
        <v>9933.2068311195435</v>
      </c>
      <c r="AD318" s="1146">
        <f t="shared" si="91"/>
        <v>3596.9749870622745</v>
      </c>
      <c r="AE318" s="1146">
        <f t="shared" si="92"/>
        <v>10702.299651567942</v>
      </c>
      <c r="AF318" s="1146">
        <f t="shared" si="93"/>
        <v>9933.2068311195435</v>
      </c>
      <c r="AG318" s="1146">
        <f t="shared" si="94"/>
        <v>769.09282044839892</v>
      </c>
    </row>
    <row r="319" spans="2:33" ht="14.4">
      <c r="B319" s="1134">
        <v>1053131</v>
      </c>
      <c r="C319" s="1135"/>
      <c r="D319" s="1134">
        <v>105313</v>
      </c>
      <c r="E319" s="1136">
        <v>42138</v>
      </c>
      <c r="F319" s="1137">
        <v>36000</v>
      </c>
      <c r="G319" s="1134">
        <v>8</v>
      </c>
      <c r="H319" s="1137">
        <v>36000</v>
      </c>
      <c r="I319" s="1134">
        <v>17</v>
      </c>
      <c r="J319" s="1138">
        <v>10412</v>
      </c>
      <c r="K319" s="1139"/>
      <c r="L319" s="1140">
        <v>42160</v>
      </c>
      <c r="M319" s="269">
        <f t="shared" si="77"/>
        <v>2</v>
      </c>
      <c r="N319" s="1141">
        <v>250</v>
      </c>
      <c r="O319" s="1087">
        <f t="shared" si="78"/>
        <v>6546.7058823529424</v>
      </c>
      <c r="P319" s="269">
        <f t="shared" si="76"/>
        <v>1</v>
      </c>
      <c r="Q319" s="269" t="str">
        <f t="shared" si="79"/>
        <v/>
      </c>
      <c r="R319" s="1147"/>
      <c r="S319" s="1143" t="str">
        <f t="shared" si="80"/>
        <v>Same Size</v>
      </c>
      <c r="T319" s="1144">
        <f t="shared" si="81"/>
        <v>2228</v>
      </c>
      <c r="U319" s="1144">
        <f t="shared" si="82"/>
        <v>889</v>
      </c>
      <c r="V319" s="1146">
        <f t="shared" si="83"/>
        <v>14182.363636363636</v>
      </c>
      <c r="W319" s="1146">
        <f t="shared" si="84"/>
        <v>8483.2941176470595</v>
      </c>
      <c r="X319" s="1146">
        <f t="shared" si="85"/>
        <v>5699.0695187165766</v>
      </c>
      <c r="Y319" s="1146">
        <f t="shared" si="86"/>
        <v>9632.0696864111487</v>
      </c>
      <c r="Z319" s="1146">
        <f t="shared" si="87"/>
        <v>8483.2941176470595</v>
      </c>
      <c r="AA319" s="1146">
        <f t="shared" si="88"/>
        <v>1148.7755687640893</v>
      </c>
      <c r="AB319" s="1146">
        <f t="shared" si="89"/>
        <v>14182.363636363636</v>
      </c>
      <c r="AC319" s="1146">
        <f t="shared" si="90"/>
        <v>8483.2941176470595</v>
      </c>
      <c r="AD319" s="1146">
        <f t="shared" si="91"/>
        <v>5699.0695187165766</v>
      </c>
      <c r="AE319" s="1146">
        <f t="shared" si="92"/>
        <v>9632.0696864111487</v>
      </c>
      <c r="AF319" s="1146">
        <f t="shared" si="93"/>
        <v>8483.2941176470595</v>
      </c>
      <c r="AG319" s="1146">
        <f t="shared" si="94"/>
        <v>1148.7755687640893</v>
      </c>
    </row>
    <row r="320" spans="2:33" ht="14.4">
      <c r="B320" s="1134">
        <v>7558919</v>
      </c>
      <c r="C320" s="1135"/>
      <c r="D320" s="1134">
        <v>512559</v>
      </c>
      <c r="E320" s="1136">
        <v>42154</v>
      </c>
      <c r="F320" s="1137">
        <v>48000</v>
      </c>
      <c r="G320" s="1134">
        <v>10</v>
      </c>
      <c r="H320" s="1137">
        <v>46000</v>
      </c>
      <c r="I320" s="1134">
        <v>18</v>
      </c>
      <c r="J320" s="1138">
        <v>7828</v>
      </c>
      <c r="K320" s="1139"/>
      <c r="L320" s="1140">
        <v>42170</v>
      </c>
      <c r="M320" s="269">
        <f t="shared" si="77"/>
        <v>2</v>
      </c>
      <c r="N320" s="1141">
        <v>350</v>
      </c>
      <c r="O320" s="1087">
        <f t="shared" si="78"/>
        <v>6167.7333333333336</v>
      </c>
      <c r="P320" s="269">
        <f t="shared" si="76"/>
        <v>1</v>
      </c>
      <c r="Q320" s="269" t="str">
        <f t="shared" si="79"/>
        <v/>
      </c>
      <c r="R320" s="1147"/>
      <c r="S320" s="1143" t="str">
        <f t="shared" si="80"/>
        <v>Downsize</v>
      </c>
      <c r="T320" s="1144">
        <f t="shared" si="81"/>
        <v>2324.869565217391</v>
      </c>
      <c r="U320" s="1144">
        <f t="shared" si="82"/>
        <v>927.6521739130435</v>
      </c>
      <c r="V320" s="1146">
        <f t="shared" si="83"/>
        <v>16942.140711462449</v>
      </c>
      <c r="W320" s="1146">
        <f t="shared" si="84"/>
        <v>10961.568627450981</v>
      </c>
      <c r="X320" s="1146">
        <f t="shared" si="85"/>
        <v>5980.5720840114682</v>
      </c>
      <c r="Y320" s="1146">
        <f t="shared" si="86"/>
        <v>13401.140433267687</v>
      </c>
      <c r="Z320" s="1146">
        <f t="shared" si="87"/>
        <v>10961.568627450981</v>
      </c>
      <c r="AA320" s="1146">
        <f t="shared" si="88"/>
        <v>2439.5718058167058</v>
      </c>
      <c r="AB320" s="1146">
        <f t="shared" si="89"/>
        <v>16236.21818181818</v>
      </c>
      <c r="AC320" s="1146">
        <f t="shared" si="90"/>
        <v>10961.568627450981</v>
      </c>
      <c r="AD320" s="1146">
        <f t="shared" si="91"/>
        <v>5274.649554367199</v>
      </c>
      <c r="AE320" s="1146">
        <f t="shared" si="92"/>
        <v>12842.759581881533</v>
      </c>
      <c r="AF320" s="1146">
        <f t="shared" si="93"/>
        <v>10961.568627450981</v>
      </c>
      <c r="AG320" s="1146">
        <f t="shared" si="94"/>
        <v>1881.1909544305527</v>
      </c>
    </row>
    <row r="321" spans="2:33" ht="14.4">
      <c r="B321" s="1134">
        <v>1525070</v>
      </c>
      <c r="C321" s="1135"/>
      <c r="D321" s="1134">
        <v>152507</v>
      </c>
      <c r="E321" s="1136">
        <v>42101</v>
      </c>
      <c r="F321" s="1137">
        <v>30000</v>
      </c>
      <c r="G321" s="1134">
        <v>9</v>
      </c>
      <c r="H321" s="1137">
        <v>28800</v>
      </c>
      <c r="I321" s="1134">
        <v>15.20</v>
      </c>
      <c r="J321" s="1138">
        <v>4151</v>
      </c>
      <c r="K321" s="1139"/>
      <c r="L321" s="1140">
        <v>42170</v>
      </c>
      <c r="M321" s="269">
        <f t="shared" si="77"/>
        <v>2</v>
      </c>
      <c r="N321" s="1141">
        <v>150</v>
      </c>
      <c r="O321" s="1087">
        <f t="shared" si="78"/>
        <v>3953.2631578947371</v>
      </c>
      <c r="P321" s="269">
        <f t="shared" si="76"/>
        <v>1</v>
      </c>
      <c r="Q321" s="269" t="str">
        <f t="shared" si="79"/>
        <v/>
      </c>
      <c r="R321" s="1147"/>
      <c r="S321" s="1143" t="str">
        <f t="shared" si="80"/>
        <v>Downsize</v>
      </c>
      <c r="T321" s="1144">
        <f t="shared" si="81"/>
        <v>2320.8333333333335</v>
      </c>
      <c r="U321" s="1144">
        <f t="shared" si="82"/>
        <v>926.04166666666674</v>
      </c>
      <c r="V321" s="1146">
        <f t="shared" si="83"/>
        <v>11344.065656565657</v>
      </c>
      <c r="W321" s="1146">
        <f t="shared" si="84"/>
        <v>7535.0154798761614</v>
      </c>
      <c r="X321" s="1146">
        <f t="shared" si="85"/>
        <v>3809.0501766894959</v>
      </c>
      <c r="Y321" s="1146">
        <f t="shared" si="86"/>
        <v>8361.1716027874572</v>
      </c>
      <c r="Z321" s="1146">
        <f t="shared" si="87"/>
        <v>7535.0154798761614</v>
      </c>
      <c r="AA321" s="1146">
        <f t="shared" si="88"/>
        <v>826.15612291129582</v>
      </c>
      <c r="AB321" s="1146">
        <f t="shared" si="89"/>
        <v>10890.30303030303</v>
      </c>
      <c r="AC321" s="1146">
        <f t="shared" si="90"/>
        <v>7535.0154798761614</v>
      </c>
      <c r="AD321" s="1146">
        <f t="shared" si="91"/>
        <v>3355.2875504268686</v>
      </c>
      <c r="AE321" s="1146">
        <f t="shared" si="92"/>
        <v>8026.72473867596</v>
      </c>
      <c r="AF321" s="1146">
        <f t="shared" si="93"/>
        <v>7535.0154798761614</v>
      </c>
      <c r="AG321" s="1146">
        <f t="shared" si="94"/>
        <v>491.70925879979859</v>
      </c>
    </row>
    <row r="322" spans="2:33" ht="14.4">
      <c r="B322" s="1134">
        <v>3547635</v>
      </c>
      <c r="C322" s="1135"/>
      <c r="D322" s="1134">
        <v>354763</v>
      </c>
      <c r="E322" s="1136">
        <v>42128</v>
      </c>
      <c r="F322" s="1137">
        <v>24000</v>
      </c>
      <c r="G322" s="1134">
        <v>8</v>
      </c>
      <c r="H322" s="1137">
        <v>41500</v>
      </c>
      <c r="I322" s="1134">
        <v>15</v>
      </c>
      <c r="J322" s="1138">
        <v>5075</v>
      </c>
      <c r="K322" s="1139"/>
      <c r="L322" s="1140">
        <v>42170</v>
      </c>
      <c r="M322" s="269">
        <f t="shared" si="77"/>
        <v>2</v>
      </c>
      <c r="N322" s="1141">
        <v>225</v>
      </c>
      <c r="O322" s="1087">
        <f t="shared" si="78"/>
        <v>641.2000000000005</v>
      </c>
      <c r="P322" s="269">
        <f t="shared" si="76"/>
        <v>1</v>
      </c>
      <c r="Q322" s="269" t="str">
        <f t="shared" si="79"/>
        <v/>
      </c>
      <c r="R322" s="1147"/>
      <c r="S322" s="1143" t="str">
        <f t="shared" si="80"/>
        <v>Upsize</v>
      </c>
      <c r="T322" s="1144">
        <f t="shared" si="81"/>
        <v>1288.4819277108434</v>
      </c>
      <c r="U322" s="1144">
        <f t="shared" si="82"/>
        <v>514.12048192771078</v>
      </c>
      <c r="V322" s="1146">
        <f t="shared" si="83"/>
        <v>5467.8992332968237</v>
      </c>
      <c r="W322" s="1146">
        <f t="shared" si="84"/>
        <v>6074.9176470588227</v>
      </c>
      <c r="X322" s="1146">
        <f t="shared" si="85"/>
        <v>-607.018413761999</v>
      </c>
      <c r="Y322" s="1146">
        <f t="shared" si="86"/>
        <v>3713.5690357247804</v>
      </c>
      <c r="Z322" s="1146">
        <f t="shared" si="87"/>
        <v>6074.9176470588227</v>
      </c>
      <c r="AA322" s="1146">
        <f t="shared" si="88"/>
        <v>-2361.3486113340423</v>
      </c>
      <c r="AB322" s="1146">
        <f t="shared" si="89"/>
        <v>9454.9090909090901</v>
      </c>
      <c r="AC322" s="1146">
        <f t="shared" si="90"/>
        <v>6074.9176470588227</v>
      </c>
      <c r="AD322" s="1146">
        <f t="shared" si="91"/>
        <v>3379.9914438502674</v>
      </c>
      <c r="AE322" s="1146">
        <f t="shared" si="92"/>
        <v>6421.3797909407667</v>
      </c>
      <c r="AF322" s="1146">
        <f t="shared" si="93"/>
        <v>6074.9176470588227</v>
      </c>
      <c r="AG322" s="1146">
        <f t="shared" si="94"/>
        <v>346.46214388194403</v>
      </c>
    </row>
    <row r="323" spans="2:33" ht="14.4">
      <c r="B323" s="1134">
        <v>2850790</v>
      </c>
      <c r="C323" s="1135"/>
      <c r="D323" s="1134">
        <v>285079</v>
      </c>
      <c r="E323" s="1136">
        <v>42139</v>
      </c>
      <c r="F323" s="1137">
        <v>36000</v>
      </c>
      <c r="G323" s="1134">
        <v>13</v>
      </c>
      <c r="H323" s="1137">
        <v>34800</v>
      </c>
      <c r="I323" s="1134">
        <v>15</v>
      </c>
      <c r="J323" s="1138">
        <v>5453</v>
      </c>
      <c r="K323" s="1139"/>
      <c r="L323" s="1140">
        <v>42170</v>
      </c>
      <c r="M323" s="269">
        <f t="shared" si="77"/>
        <v>2</v>
      </c>
      <c r="N323" s="1141">
        <v>175</v>
      </c>
      <c r="O323" s="1087">
        <f t="shared" si="78"/>
        <v>1234.4861538461535</v>
      </c>
      <c r="P323" s="269">
        <f t="shared" si="76"/>
        <v>1</v>
      </c>
      <c r="Q323" s="269" t="str">
        <f t="shared" si="79"/>
        <v/>
      </c>
      <c r="R323" s="1147"/>
      <c r="S323" s="1143" t="str">
        <f t="shared" si="80"/>
        <v>Downsize</v>
      </c>
      <c r="T323" s="1144">
        <f t="shared" si="81"/>
        <v>2304.8275862068967</v>
      </c>
      <c r="U323" s="1144">
        <f t="shared" si="82"/>
        <v>919.65517241379314</v>
      </c>
      <c r="V323" s="1146">
        <f t="shared" si="83"/>
        <v>10682.285989872196</v>
      </c>
      <c r="W323" s="1146">
        <f t="shared" si="84"/>
        <v>9112.376470588235</v>
      </c>
      <c r="X323" s="1146">
        <f t="shared" si="85"/>
        <v>1569.9095192839613</v>
      </c>
      <c r="Y323" s="1146">
        <f t="shared" si="86"/>
        <v>9964.2100204253293</v>
      </c>
      <c r="Z323" s="1146">
        <f t="shared" si="87"/>
        <v>9112.376470588235</v>
      </c>
      <c r="AA323" s="1146">
        <f t="shared" si="88"/>
        <v>851.83354983709432</v>
      </c>
      <c r="AB323" s="1146">
        <f t="shared" si="89"/>
        <v>10326.20979020979</v>
      </c>
      <c r="AC323" s="1146">
        <f t="shared" si="90"/>
        <v>9112.376470588235</v>
      </c>
      <c r="AD323" s="1146">
        <f t="shared" si="91"/>
        <v>1213.8333196215554</v>
      </c>
      <c r="AE323" s="1146">
        <f t="shared" si="92"/>
        <v>9632.0696864111505</v>
      </c>
      <c r="AF323" s="1146">
        <f t="shared" si="93"/>
        <v>9112.376470588235</v>
      </c>
      <c r="AG323" s="1146">
        <f t="shared" si="94"/>
        <v>519.69321582291559</v>
      </c>
    </row>
    <row r="324" spans="2:33" ht="14.4">
      <c r="B324" s="1134">
        <v>2468593</v>
      </c>
      <c r="C324" s="1135"/>
      <c r="D324" s="1134">
        <v>246859</v>
      </c>
      <c r="E324" s="1136">
        <v>42144</v>
      </c>
      <c r="F324" s="1137">
        <v>36000</v>
      </c>
      <c r="G324" s="1134">
        <v>10</v>
      </c>
      <c r="H324" s="1137">
        <v>47000</v>
      </c>
      <c r="I324" s="1134">
        <v>17.50</v>
      </c>
      <c r="J324" s="1138">
        <v>7200</v>
      </c>
      <c r="K324" s="1139"/>
      <c r="L324" s="1140">
        <v>42170</v>
      </c>
      <c r="M324" s="269">
        <f t="shared" si="77"/>
        <v>2</v>
      </c>
      <c r="N324" s="1141">
        <v>325</v>
      </c>
      <c r="O324" s="1087">
        <f t="shared" si="78"/>
        <v>2512.457142857143</v>
      </c>
      <c r="P324" s="269">
        <f t="shared" si="76"/>
        <v>1</v>
      </c>
      <c r="Q324" s="269" t="str">
        <f t="shared" si="79"/>
        <v/>
      </c>
      <c r="R324" s="1147"/>
      <c r="S324" s="1143" t="str">
        <f t="shared" si="80"/>
        <v>Upsize</v>
      </c>
      <c r="T324" s="1144">
        <f t="shared" si="81"/>
        <v>1706.5531914893618</v>
      </c>
      <c r="U324" s="1144">
        <f t="shared" si="82"/>
        <v>680.936170212766</v>
      </c>
      <c r="V324" s="1146">
        <f t="shared" si="83"/>
        <v>9327.1891682785281</v>
      </c>
      <c r="W324" s="1146">
        <f t="shared" si="84"/>
        <v>8348.4907563025208</v>
      </c>
      <c r="X324" s="1146">
        <f t="shared" si="85"/>
        <v>978.69841197600726</v>
      </c>
      <c r="Y324" s="1146">
        <f t="shared" si="86"/>
        <v>7377.755504485136</v>
      </c>
      <c r="Z324" s="1146">
        <f t="shared" si="87"/>
        <v>8348.4907563025208</v>
      </c>
      <c r="AA324" s="1146">
        <f t="shared" si="88"/>
        <v>-970.73525181738478</v>
      </c>
      <c r="AB324" s="1146">
        <f t="shared" si="89"/>
        <v>12177.163636363635</v>
      </c>
      <c r="AC324" s="1146">
        <f t="shared" si="90"/>
        <v>8348.4907563025208</v>
      </c>
      <c r="AD324" s="1146">
        <f t="shared" si="91"/>
        <v>3828.6728800611145</v>
      </c>
      <c r="AE324" s="1146">
        <f t="shared" si="92"/>
        <v>9632.0696864111505</v>
      </c>
      <c r="AF324" s="1146">
        <f t="shared" si="93"/>
        <v>8348.4907563025208</v>
      </c>
      <c r="AG324" s="1146">
        <f t="shared" si="94"/>
        <v>1283.5789301086297</v>
      </c>
    </row>
    <row r="325" spans="2:33" ht="14.4">
      <c r="B325" s="1134">
        <v>1468131</v>
      </c>
      <c r="C325" s="1135"/>
      <c r="D325" s="1134">
        <v>146813</v>
      </c>
      <c r="E325" s="1136">
        <v>42138</v>
      </c>
      <c r="F325" s="1137">
        <v>42000</v>
      </c>
      <c r="G325" s="1134">
        <v>10</v>
      </c>
      <c r="H325" s="1137">
        <v>39500</v>
      </c>
      <c r="I325" s="1134">
        <v>15</v>
      </c>
      <c r="J325" s="1138">
        <v>4000</v>
      </c>
      <c r="K325" s="1139"/>
      <c r="L325" s="1140">
        <v>42170</v>
      </c>
      <c r="M325" s="269">
        <f t="shared" si="77"/>
        <v>2</v>
      </c>
      <c r="N325" s="1141">
        <v>225</v>
      </c>
      <c r="O325" s="1087">
        <f t="shared" si="78"/>
        <v>4305.20</v>
      </c>
      <c r="P325" s="269">
        <f t="shared" si="76"/>
        <v>1</v>
      </c>
      <c r="Q325" s="269" t="str">
        <f t="shared" si="79"/>
        <v/>
      </c>
      <c r="R325" s="1147"/>
      <c r="S325" s="1143" t="str">
        <f t="shared" si="80"/>
        <v>Downsize</v>
      </c>
      <c r="T325" s="1144">
        <f t="shared" si="81"/>
        <v>2369.0126582278481</v>
      </c>
      <c r="U325" s="1144">
        <f t="shared" si="82"/>
        <v>945.26582278480998</v>
      </c>
      <c r="V325" s="1146">
        <f t="shared" si="83"/>
        <v>15105.848561565015</v>
      </c>
      <c r="W325" s="1146">
        <f t="shared" si="84"/>
        <v>10631.105882352938</v>
      </c>
      <c r="X325" s="1146">
        <f t="shared" si="85"/>
        <v>4474.7426792120768</v>
      </c>
      <c r="Y325" s="1146">
        <f t="shared" si="86"/>
        <v>11948.643408459402</v>
      </c>
      <c r="Z325" s="1146">
        <f t="shared" si="87"/>
        <v>10631.105882352938</v>
      </c>
      <c r="AA325" s="1146">
        <f t="shared" si="88"/>
        <v>1317.5375261064637</v>
      </c>
      <c r="AB325" s="1146">
        <f t="shared" si="89"/>
        <v>14206.690909090907</v>
      </c>
      <c r="AC325" s="1146">
        <f t="shared" si="90"/>
        <v>10631.105882352938</v>
      </c>
      <c r="AD325" s="1146">
        <f t="shared" si="91"/>
        <v>3575.5850267379683</v>
      </c>
      <c r="AE325" s="1146">
        <f t="shared" si="92"/>
        <v>11237.414634146342</v>
      </c>
      <c r="AF325" s="1146">
        <f t="shared" si="93"/>
        <v>10631.105882352938</v>
      </c>
      <c r="AG325" s="1146">
        <f t="shared" si="94"/>
        <v>606.30875179340364</v>
      </c>
    </row>
    <row r="326" spans="2:33" ht="14.4">
      <c r="B326" s="1134">
        <v>8208779</v>
      </c>
      <c r="C326" s="1135"/>
      <c r="D326" s="1134">
        <v>82975</v>
      </c>
      <c r="E326" s="1136">
        <v>42136</v>
      </c>
      <c r="F326" s="1137">
        <v>42000</v>
      </c>
      <c r="G326" s="1134">
        <v>10</v>
      </c>
      <c r="H326" s="1137">
        <v>41500</v>
      </c>
      <c r="I326" s="1134">
        <v>15</v>
      </c>
      <c r="J326" s="1138">
        <v>5289</v>
      </c>
      <c r="K326" s="1139"/>
      <c r="L326" s="1140">
        <v>42170</v>
      </c>
      <c r="M326" s="269">
        <f t="shared" si="77"/>
        <v>2</v>
      </c>
      <c r="N326" s="1141">
        <v>225</v>
      </c>
      <c r="O326" s="1087">
        <f t="shared" si="78"/>
        <v>3938.8000000000006</v>
      </c>
      <c r="P326" s="269">
        <f t="shared" si="76"/>
        <v>1</v>
      </c>
      <c r="Q326" s="269" t="str">
        <f t="shared" si="79"/>
        <v/>
      </c>
      <c r="R326" s="1147"/>
      <c r="S326" s="1143" t="str">
        <f t="shared" si="80"/>
        <v>Downsize</v>
      </c>
      <c r="T326" s="1144">
        <f t="shared" si="81"/>
        <v>2254.8433734939758</v>
      </c>
      <c r="U326" s="1144">
        <f t="shared" si="82"/>
        <v>899.71084337349396</v>
      </c>
      <c r="V326" s="1146">
        <f t="shared" si="83"/>
        <v>14377.855859802847</v>
      </c>
      <c r="W326" s="1146">
        <f t="shared" si="84"/>
        <v>10631.10588235294</v>
      </c>
      <c r="X326" s="1146">
        <f t="shared" si="85"/>
        <v>3746.7499774499065</v>
      </c>
      <c r="Y326" s="1146">
        <f t="shared" si="86"/>
        <v>11372.805171907141</v>
      </c>
      <c r="Z326" s="1146">
        <f t="shared" si="87"/>
        <v>10631.10588235294</v>
      </c>
      <c r="AA326" s="1146">
        <f t="shared" si="88"/>
        <v>741.69928955420073</v>
      </c>
      <c r="AB326" s="1146">
        <f t="shared" si="89"/>
        <v>14206.690909090907</v>
      </c>
      <c r="AC326" s="1146">
        <f t="shared" si="90"/>
        <v>10631.10588235294</v>
      </c>
      <c r="AD326" s="1146">
        <f t="shared" si="91"/>
        <v>3575.5850267379665</v>
      </c>
      <c r="AE326" s="1146">
        <f t="shared" si="92"/>
        <v>11237.414634146342</v>
      </c>
      <c r="AF326" s="1146">
        <f t="shared" si="93"/>
        <v>10631.10588235294</v>
      </c>
      <c r="AG326" s="1146">
        <f t="shared" si="94"/>
        <v>606.30875179340183</v>
      </c>
    </row>
    <row r="327" spans="2:33" ht="14.4">
      <c r="B327" s="1134">
        <v>3284239</v>
      </c>
      <c r="C327" s="1135"/>
      <c r="D327" s="1134">
        <v>261525</v>
      </c>
      <c r="E327" s="1136">
        <v>42136</v>
      </c>
      <c r="F327" s="1137">
        <v>36000</v>
      </c>
      <c r="G327" s="1134">
        <v>12</v>
      </c>
      <c r="H327" s="1137">
        <v>35000</v>
      </c>
      <c r="I327" s="1134">
        <v>20</v>
      </c>
      <c r="J327" s="1138">
        <v>8998</v>
      </c>
      <c r="K327" s="1139"/>
      <c r="L327" s="1140">
        <v>42170</v>
      </c>
      <c r="M327" s="269">
        <f t="shared" si="77"/>
        <v>2</v>
      </c>
      <c r="N327" s="1141">
        <v>300</v>
      </c>
      <c r="O327" s="1087">
        <f t="shared" si="78"/>
        <v>3435.0000000000005</v>
      </c>
      <c r="P327" s="269">
        <f t="shared" si="76"/>
        <v>1</v>
      </c>
      <c r="Q327" s="269" t="str">
        <f t="shared" si="79"/>
        <v/>
      </c>
      <c r="R327" s="1147"/>
      <c r="S327" s="1143" t="str">
        <f t="shared" si="80"/>
        <v>Downsize</v>
      </c>
      <c r="T327" s="1144">
        <f t="shared" si="81"/>
        <v>2291.6571428571428</v>
      </c>
      <c r="U327" s="1144">
        <f t="shared" si="82"/>
        <v>914.39999999999986</v>
      </c>
      <c r="V327" s="1146">
        <f t="shared" si="83"/>
        <v>11150.088311688311</v>
      </c>
      <c r="W327" s="1146">
        <f t="shared" si="84"/>
        <v>7775.5764705882348</v>
      </c>
      <c r="X327" s="1146">
        <f t="shared" si="85"/>
        <v>3374.5118411000758</v>
      </c>
      <c r="Y327" s="1146">
        <f t="shared" si="86"/>
        <v>9907.2716774514683</v>
      </c>
      <c r="Z327" s="1146">
        <f t="shared" si="87"/>
        <v>7775.5764705882348</v>
      </c>
      <c r="AA327" s="1146">
        <f t="shared" si="88"/>
        <v>2131.6952068632336</v>
      </c>
      <c r="AB327" s="1146">
        <f t="shared" si="89"/>
        <v>10840.363636363634</v>
      </c>
      <c r="AC327" s="1146">
        <f t="shared" si="90"/>
        <v>7775.5764705882348</v>
      </c>
      <c r="AD327" s="1146">
        <f t="shared" si="91"/>
        <v>3064.7871657753994</v>
      </c>
      <c r="AE327" s="1146">
        <f t="shared" si="92"/>
        <v>9632.0696864111487</v>
      </c>
      <c r="AF327" s="1146">
        <f t="shared" si="93"/>
        <v>7775.5764705882348</v>
      </c>
      <c r="AG327" s="1146">
        <f t="shared" si="94"/>
        <v>1856.493215822914</v>
      </c>
    </row>
    <row r="328" spans="2:33" ht="14.4">
      <c r="B328" s="1134">
        <v>1133891</v>
      </c>
      <c r="C328" s="1135"/>
      <c r="D328" s="1134">
        <v>113389</v>
      </c>
      <c r="E328" s="1136">
        <v>42107</v>
      </c>
      <c r="F328" s="1137">
        <v>36000</v>
      </c>
      <c r="G328" s="1134">
        <v>10</v>
      </c>
      <c r="H328" s="1137">
        <v>36000</v>
      </c>
      <c r="I328" s="1134">
        <v>15</v>
      </c>
      <c r="J328" s="1138">
        <v>5328</v>
      </c>
      <c r="K328" s="1139"/>
      <c r="L328" s="1140">
        <v>42170</v>
      </c>
      <c r="M328" s="269">
        <f t="shared" si="77"/>
        <v>2</v>
      </c>
      <c r="N328" s="1141">
        <v>175</v>
      </c>
      <c r="O328" s="1087">
        <f t="shared" si="78"/>
        <v>3297.6000000000004</v>
      </c>
      <c r="P328" s="269">
        <f t="shared" si="76"/>
        <v>1</v>
      </c>
      <c r="Q328" s="269" t="str">
        <f t="shared" si="79"/>
        <v/>
      </c>
      <c r="R328" s="1147"/>
      <c r="S328" s="1143" t="str">
        <f t="shared" si="80"/>
        <v>Same Size</v>
      </c>
      <c r="T328" s="1144">
        <f t="shared" si="81"/>
        <v>2228</v>
      </c>
      <c r="U328" s="1144">
        <f t="shared" si="82"/>
        <v>889</v>
      </c>
      <c r="V328" s="1146">
        <f t="shared" si="83"/>
        <v>12177.163636363635</v>
      </c>
      <c r="W328" s="1146">
        <f t="shared" si="84"/>
        <v>9112.376470588235</v>
      </c>
      <c r="X328" s="1146">
        <f t="shared" si="85"/>
        <v>3064.7871657754004</v>
      </c>
      <c r="Y328" s="1146">
        <f t="shared" si="86"/>
        <v>9632.0696864111487</v>
      </c>
      <c r="Z328" s="1146">
        <f t="shared" si="87"/>
        <v>9112.376470588235</v>
      </c>
      <c r="AA328" s="1146">
        <f t="shared" si="88"/>
        <v>519.69321582291377</v>
      </c>
      <c r="AB328" s="1146">
        <f t="shared" si="89"/>
        <v>12177.163636363635</v>
      </c>
      <c r="AC328" s="1146">
        <f t="shared" si="90"/>
        <v>9112.376470588235</v>
      </c>
      <c r="AD328" s="1146">
        <f t="shared" si="91"/>
        <v>3064.7871657754004</v>
      </c>
      <c r="AE328" s="1146">
        <f t="shared" si="92"/>
        <v>9632.0696864111487</v>
      </c>
      <c r="AF328" s="1146">
        <f t="shared" si="93"/>
        <v>9112.376470588235</v>
      </c>
      <c r="AG328" s="1146">
        <f t="shared" si="94"/>
        <v>519.69321582291377</v>
      </c>
    </row>
    <row r="329" spans="2:33" ht="14.4">
      <c r="B329" s="1134">
        <v>4247219</v>
      </c>
      <c r="C329" s="1135"/>
      <c r="D329" s="1134">
        <v>424721</v>
      </c>
      <c r="E329" s="1136">
        <v>42144</v>
      </c>
      <c r="F329" s="1137">
        <v>60000</v>
      </c>
      <c r="G329" s="1134">
        <v>8</v>
      </c>
      <c r="H329" s="1137">
        <v>46000</v>
      </c>
      <c r="I329" s="1134">
        <v>16</v>
      </c>
      <c r="J329" s="1138">
        <v>5100</v>
      </c>
      <c r="K329" s="1139"/>
      <c r="L329" s="1140">
        <v>42172</v>
      </c>
      <c r="M329" s="269">
        <f t="shared" si="77"/>
        <v>2</v>
      </c>
      <c r="N329" s="1141">
        <v>300</v>
      </c>
      <c r="O329" s="1087">
        <f t="shared" si="78"/>
        <v>12709.500000000002</v>
      </c>
      <c r="P329" s="269">
        <f t="shared" si="76"/>
        <v>1</v>
      </c>
      <c r="Q329" s="269" t="str">
        <f t="shared" si="79"/>
        <v/>
      </c>
      <c r="R329" s="1147"/>
      <c r="S329" s="1143" t="str">
        <f t="shared" si="80"/>
        <v>Downsize</v>
      </c>
      <c r="T329" s="1144">
        <f t="shared" si="81"/>
        <v>2906.086956521739</v>
      </c>
      <c r="U329" s="1144">
        <f t="shared" si="82"/>
        <v>1159.5652173913043</v>
      </c>
      <c r="V329" s="1146">
        <f t="shared" si="83"/>
        <v>30831.225296442688</v>
      </c>
      <c r="W329" s="1146">
        <f t="shared" si="84"/>
        <v>14630.29411764706</v>
      </c>
      <c r="X329" s="1146">
        <f t="shared" si="85"/>
        <v>16200.931178795629</v>
      </c>
      <c r="Y329" s="1146">
        <f t="shared" si="86"/>
        <v>20939.281926980759</v>
      </c>
      <c r="Z329" s="1146">
        <f t="shared" si="87"/>
        <v>14630.29411764706</v>
      </c>
      <c r="AA329" s="1146">
        <f t="shared" si="88"/>
        <v>6308.9878093336993</v>
      </c>
      <c r="AB329" s="1146">
        <f t="shared" si="89"/>
        <v>23637.272727272728</v>
      </c>
      <c r="AC329" s="1146">
        <f t="shared" si="90"/>
        <v>14630.29411764706</v>
      </c>
      <c r="AD329" s="1146">
        <f t="shared" si="91"/>
        <v>9006.9786096256685</v>
      </c>
      <c r="AE329" s="1146">
        <f t="shared" si="92"/>
        <v>16053.449477351916</v>
      </c>
      <c r="AF329" s="1146">
        <f t="shared" si="93"/>
        <v>14630.29411764706</v>
      </c>
      <c r="AG329" s="1146">
        <f t="shared" si="94"/>
        <v>1423.1553597048569</v>
      </c>
    </row>
    <row r="330" spans="2:33" ht="14.4">
      <c r="B330" s="1134">
        <v>8858474</v>
      </c>
      <c r="C330" s="1135"/>
      <c r="D330" s="1134">
        <v>187426</v>
      </c>
      <c r="E330" s="1136">
        <v>42121</v>
      </c>
      <c r="F330" s="1137">
        <v>30000</v>
      </c>
      <c r="G330" s="1134">
        <v>10</v>
      </c>
      <c r="H330" s="1137">
        <v>29000</v>
      </c>
      <c r="I330" s="1134">
        <v>15</v>
      </c>
      <c r="J330" s="1138">
        <v>4175</v>
      </c>
      <c r="K330" s="1139"/>
      <c r="L330" s="1140">
        <v>42173</v>
      </c>
      <c r="M330" s="269">
        <f t="shared" si="77"/>
        <v>2</v>
      </c>
      <c r="N330" s="1141">
        <v>150</v>
      </c>
      <c r="O330" s="1087">
        <f t="shared" si="78"/>
        <v>2931.2000000000003</v>
      </c>
      <c r="P330" s="269">
        <f t="shared" si="76"/>
        <v>1</v>
      </c>
      <c r="Q330" s="269" t="str">
        <f t="shared" si="79"/>
        <v/>
      </c>
      <c r="R330" s="1147"/>
      <c r="S330" s="1143" t="str">
        <f t="shared" si="80"/>
        <v>Downsize</v>
      </c>
      <c r="T330" s="1144">
        <f t="shared" si="81"/>
        <v>2304.8275862068967</v>
      </c>
      <c r="U330" s="1144">
        <f t="shared" si="82"/>
        <v>919.65517241379314</v>
      </c>
      <c r="V330" s="1146">
        <f t="shared" si="83"/>
        <v>10497.554858934169</v>
      </c>
      <c r="W330" s="1146">
        <f t="shared" si="84"/>
        <v>7593.6470588235297</v>
      </c>
      <c r="X330" s="1146">
        <f t="shared" si="85"/>
        <v>2903.9078001106391</v>
      </c>
      <c r="Y330" s="1146">
        <f t="shared" si="86"/>
        <v>8303.5083503544411</v>
      </c>
      <c r="Z330" s="1146">
        <f t="shared" si="87"/>
        <v>7593.6470588235297</v>
      </c>
      <c r="AA330" s="1146">
        <f t="shared" si="88"/>
        <v>709.86129153091133</v>
      </c>
      <c r="AB330" s="1146">
        <f t="shared" si="89"/>
        <v>10147.636363636364</v>
      </c>
      <c r="AC330" s="1146">
        <f t="shared" si="90"/>
        <v>7593.6470588235297</v>
      </c>
      <c r="AD330" s="1146">
        <f t="shared" si="91"/>
        <v>2553.9893048128342</v>
      </c>
      <c r="AE330" s="1146">
        <f t="shared" si="92"/>
        <v>8026.7247386759591</v>
      </c>
      <c r="AF330" s="1146">
        <f t="shared" si="93"/>
        <v>7593.6470588235297</v>
      </c>
      <c r="AG330" s="1146">
        <f t="shared" si="94"/>
        <v>433.07767985242936</v>
      </c>
    </row>
    <row r="331" spans="2:33" ht="14.4">
      <c r="B331" s="1134">
        <v>6990857</v>
      </c>
      <c r="C331" s="1135"/>
      <c r="D331" s="1134">
        <v>323701</v>
      </c>
      <c r="E331" s="1136">
        <v>42159</v>
      </c>
      <c r="F331" s="1137">
        <v>48000</v>
      </c>
      <c r="G331" s="1134">
        <v>10</v>
      </c>
      <c r="H331" s="1137">
        <v>47500</v>
      </c>
      <c r="I331" s="1134">
        <v>15</v>
      </c>
      <c r="J331" s="1138">
        <v>5340</v>
      </c>
      <c r="K331" s="1139"/>
      <c r="L331" s="1140">
        <v>42173</v>
      </c>
      <c r="M331" s="269">
        <f t="shared" si="77"/>
        <v>2</v>
      </c>
      <c r="N331" s="1141">
        <v>250</v>
      </c>
      <c r="O331" s="1087">
        <f t="shared" si="78"/>
        <v>4488.4000000000005</v>
      </c>
      <c r="P331" s="269">
        <f t="shared" si="76"/>
        <v>1</v>
      </c>
      <c r="Q331" s="269" t="str">
        <f t="shared" si="79"/>
        <v/>
      </c>
      <c r="R331" s="1147"/>
      <c r="S331" s="1143" t="str">
        <f t="shared" si="80"/>
        <v>Downsize</v>
      </c>
      <c r="T331" s="1144">
        <f t="shared" si="81"/>
        <v>2251.4526315789476</v>
      </c>
      <c r="U331" s="1144">
        <f t="shared" si="82"/>
        <v>898.35789473684213</v>
      </c>
      <c r="V331" s="1146">
        <f t="shared" si="83"/>
        <v>16407.125741626798</v>
      </c>
      <c r="W331" s="1146">
        <f t="shared" si="84"/>
        <v>12149.835294117649</v>
      </c>
      <c r="X331" s="1146">
        <f t="shared" si="85"/>
        <v>4257.2904475091491</v>
      </c>
      <c r="Y331" s="1146">
        <f t="shared" si="86"/>
        <v>12977.946524848709</v>
      </c>
      <c r="Z331" s="1146">
        <f t="shared" si="87"/>
        <v>12149.835294117649</v>
      </c>
      <c r="AA331" s="1146">
        <f t="shared" si="88"/>
        <v>828.11123073105955</v>
      </c>
      <c r="AB331" s="1146">
        <f t="shared" si="89"/>
        <v>16236.218181818183</v>
      </c>
      <c r="AC331" s="1146">
        <f t="shared" si="90"/>
        <v>12149.835294117649</v>
      </c>
      <c r="AD331" s="1146">
        <f t="shared" si="91"/>
        <v>4086.3828877005344</v>
      </c>
      <c r="AE331" s="1146">
        <f t="shared" si="92"/>
        <v>12842.759581881535</v>
      </c>
      <c r="AF331" s="1146">
        <f t="shared" si="93"/>
        <v>12149.835294117649</v>
      </c>
      <c r="AG331" s="1146">
        <f t="shared" si="94"/>
        <v>692.92428776388624</v>
      </c>
    </row>
    <row r="332" spans="2:33" ht="14.4">
      <c r="B332" s="1134">
        <v>8922704</v>
      </c>
      <c r="C332" s="1135"/>
      <c r="D332" s="1134">
        <v>149119</v>
      </c>
      <c r="E332" s="1136">
        <v>42118</v>
      </c>
      <c r="F332" s="1137">
        <v>36000</v>
      </c>
      <c r="G332" s="1134">
        <v>10</v>
      </c>
      <c r="H332" s="1137">
        <v>34200</v>
      </c>
      <c r="I332" s="1134">
        <v>15</v>
      </c>
      <c r="J332" s="1138">
        <v>5026</v>
      </c>
      <c r="K332" s="1139"/>
      <c r="L332" s="1140">
        <v>42173</v>
      </c>
      <c r="M332" s="269">
        <f t="shared" si="77"/>
        <v>2</v>
      </c>
      <c r="N332" s="1141">
        <v>175</v>
      </c>
      <c r="O332" s="1087">
        <f t="shared" si="78"/>
        <v>3627.36</v>
      </c>
      <c r="P332" s="269">
        <f t="shared" si="76"/>
        <v>1</v>
      </c>
      <c r="Q332" s="269" t="str">
        <f t="shared" si="79"/>
        <v/>
      </c>
      <c r="R332" s="1147"/>
      <c r="S332" s="1143" t="str">
        <f t="shared" si="80"/>
        <v>Downsize</v>
      </c>
      <c r="T332" s="1144">
        <f t="shared" si="81"/>
        <v>2345.2631578947367</v>
      </c>
      <c r="U332" s="1144">
        <f t="shared" si="82"/>
        <v>935.78947368421052</v>
      </c>
      <c r="V332" s="1146">
        <f t="shared" si="83"/>
        <v>12818.066985645934</v>
      </c>
      <c r="W332" s="1146">
        <f t="shared" si="84"/>
        <v>9112.3764705882368</v>
      </c>
      <c r="X332" s="1146">
        <f t="shared" si="85"/>
        <v>3705.6905150576968</v>
      </c>
      <c r="Y332" s="1146">
        <f t="shared" si="86"/>
        <v>10139.020722538051</v>
      </c>
      <c r="Z332" s="1146">
        <f t="shared" si="87"/>
        <v>9112.3764705882368</v>
      </c>
      <c r="AA332" s="1146">
        <f t="shared" si="88"/>
        <v>1026.6442519498141</v>
      </c>
      <c r="AB332" s="1146">
        <f t="shared" si="89"/>
        <v>12177.163636363637</v>
      </c>
      <c r="AC332" s="1146">
        <f t="shared" si="90"/>
        <v>9112.3764705882368</v>
      </c>
      <c r="AD332" s="1146">
        <f t="shared" si="91"/>
        <v>3064.7871657754004</v>
      </c>
      <c r="AE332" s="1146">
        <f t="shared" si="92"/>
        <v>9632.0696864111487</v>
      </c>
      <c r="AF332" s="1146">
        <f t="shared" si="93"/>
        <v>9112.3764705882368</v>
      </c>
      <c r="AG332" s="1146">
        <f t="shared" si="94"/>
        <v>519.69321582291195</v>
      </c>
    </row>
    <row r="333" spans="2:33" ht="14.4">
      <c r="B333" s="1134">
        <v>1903558</v>
      </c>
      <c r="C333" s="1135"/>
      <c r="D333" s="1134">
        <v>190355</v>
      </c>
      <c r="E333" s="1136">
        <v>42144</v>
      </c>
      <c r="F333" s="1137">
        <v>36000</v>
      </c>
      <c r="G333" s="1134">
        <v>8</v>
      </c>
      <c r="H333" s="1137">
        <v>41500</v>
      </c>
      <c r="I333" s="1134">
        <v>15</v>
      </c>
      <c r="J333" s="1138">
        <v>4375</v>
      </c>
      <c r="K333" s="1139"/>
      <c r="L333" s="1140">
        <v>42173</v>
      </c>
      <c r="M333" s="269">
        <f t="shared" si="77"/>
        <v>2</v>
      </c>
      <c r="N333" s="1141">
        <v>225</v>
      </c>
      <c r="O333" s="1087">
        <f t="shared" si="78"/>
        <v>4763.2000000000007</v>
      </c>
      <c r="P333" s="269">
        <f t="shared" si="76"/>
        <v>1</v>
      </c>
      <c r="Q333" s="269" t="str">
        <f t="shared" si="79"/>
        <v/>
      </c>
      <c r="R333" s="1147"/>
      <c r="S333" s="1143" t="str">
        <f t="shared" si="80"/>
        <v>Upsize</v>
      </c>
      <c r="T333" s="1144">
        <f t="shared" si="81"/>
        <v>1932.7228915662652</v>
      </c>
      <c r="U333" s="1144">
        <f t="shared" si="82"/>
        <v>771.18072289156623</v>
      </c>
      <c r="V333" s="1146">
        <f t="shared" si="83"/>
        <v>12302.773274917854</v>
      </c>
      <c r="W333" s="1146">
        <f t="shared" si="84"/>
        <v>9112.376470588235</v>
      </c>
      <c r="X333" s="1146">
        <f t="shared" si="85"/>
        <v>3190.396804329619</v>
      </c>
      <c r="Y333" s="1146">
        <f t="shared" si="86"/>
        <v>8355.5303303807577</v>
      </c>
      <c r="Z333" s="1146">
        <f t="shared" si="87"/>
        <v>9112.376470588235</v>
      </c>
      <c r="AA333" s="1146">
        <f t="shared" si="88"/>
        <v>-756.84614020747722</v>
      </c>
      <c r="AB333" s="1146">
        <f t="shared" si="89"/>
        <v>14182.363636363636</v>
      </c>
      <c r="AC333" s="1146">
        <f t="shared" si="90"/>
        <v>9112.376470588235</v>
      </c>
      <c r="AD333" s="1146">
        <f t="shared" si="91"/>
        <v>5069.9871657754011</v>
      </c>
      <c r="AE333" s="1146">
        <f t="shared" si="92"/>
        <v>9632.0696864111524</v>
      </c>
      <c r="AF333" s="1146">
        <f t="shared" si="93"/>
        <v>9112.376470588235</v>
      </c>
      <c r="AG333" s="1146">
        <f t="shared" si="94"/>
        <v>519.69321582291741</v>
      </c>
    </row>
    <row r="334" spans="2:33" ht="14.4">
      <c r="B334" s="1134">
        <v>5787643</v>
      </c>
      <c r="C334" s="1135"/>
      <c r="D334" s="1134">
        <v>578739</v>
      </c>
      <c r="E334" s="1136">
        <v>42145</v>
      </c>
      <c r="F334" s="1137">
        <v>42000</v>
      </c>
      <c r="G334" s="1134">
        <v>10</v>
      </c>
      <c r="H334" s="1137">
        <v>47500</v>
      </c>
      <c r="I334" s="1134">
        <v>15</v>
      </c>
      <c r="J334" s="1138">
        <v>5185</v>
      </c>
      <c r="K334" s="1139"/>
      <c r="L334" s="1140">
        <v>42173</v>
      </c>
      <c r="M334" s="269">
        <f t="shared" si="77"/>
        <v>2</v>
      </c>
      <c r="N334" s="1141">
        <v>250</v>
      </c>
      <c r="O334" s="1087">
        <f t="shared" si="78"/>
        <v>2839.6000000000008</v>
      </c>
      <c r="P334" s="269">
        <f t="shared" si="76"/>
        <v>1</v>
      </c>
      <c r="Q334" s="269" t="str">
        <f t="shared" si="79"/>
        <v/>
      </c>
      <c r="R334" s="1147"/>
      <c r="S334" s="1143" t="str">
        <f t="shared" si="80"/>
        <v>Upsize</v>
      </c>
      <c r="T334" s="1144">
        <f t="shared" si="81"/>
        <v>1970.0210526315789</v>
      </c>
      <c r="U334" s="1144">
        <f t="shared" si="82"/>
        <v>786.06315789473683</v>
      </c>
      <c r="V334" s="1146">
        <f t="shared" si="83"/>
        <v>12561.705645933014</v>
      </c>
      <c r="W334" s="1146">
        <f t="shared" si="84"/>
        <v>10631.10588235294</v>
      </c>
      <c r="X334" s="1146">
        <f t="shared" si="85"/>
        <v>1930.5997635800741</v>
      </c>
      <c r="Y334" s="1146">
        <f t="shared" si="86"/>
        <v>9936.24030808729</v>
      </c>
      <c r="Z334" s="1146">
        <f t="shared" si="87"/>
        <v>10631.10588235294</v>
      </c>
      <c r="AA334" s="1146">
        <f t="shared" si="88"/>
        <v>-694.86557426565014</v>
      </c>
      <c r="AB334" s="1146">
        <f t="shared" si="89"/>
        <v>14206.690909090909</v>
      </c>
      <c r="AC334" s="1146">
        <f t="shared" si="90"/>
        <v>10631.10588235294</v>
      </c>
      <c r="AD334" s="1146">
        <f t="shared" si="91"/>
        <v>3575.5850267379683</v>
      </c>
      <c r="AE334" s="1146">
        <f t="shared" si="92"/>
        <v>11237.41463414634</v>
      </c>
      <c r="AF334" s="1146">
        <f t="shared" si="93"/>
        <v>10631.10588235294</v>
      </c>
      <c r="AG334" s="1146">
        <f t="shared" si="94"/>
        <v>606.30875179340001</v>
      </c>
    </row>
    <row r="335" spans="2:33" ht="14.4">
      <c r="B335" s="1134">
        <v>4828448</v>
      </c>
      <c r="C335" s="1135"/>
      <c r="D335" s="1134">
        <v>474883</v>
      </c>
      <c r="E335" s="1136">
        <v>42156</v>
      </c>
      <c r="F335" s="1137">
        <v>48000</v>
      </c>
      <c r="G335" s="1134">
        <v>10</v>
      </c>
      <c r="H335" s="1137">
        <v>57500</v>
      </c>
      <c r="I335" s="1134">
        <v>15</v>
      </c>
      <c r="J335" s="1138">
        <v>5930</v>
      </c>
      <c r="K335" s="1139"/>
      <c r="L335" s="1140">
        <v>42173</v>
      </c>
      <c r="M335" s="269">
        <f t="shared" si="77"/>
        <v>2</v>
      </c>
      <c r="N335" s="1141">
        <v>325</v>
      </c>
      <c r="O335" s="1087">
        <f t="shared" si="78"/>
        <v>2656.3999999999996</v>
      </c>
      <c r="P335" s="269">
        <f t="shared" si="76"/>
        <v>1</v>
      </c>
      <c r="Q335" s="269" t="str">
        <f t="shared" si="79"/>
        <v/>
      </c>
      <c r="R335" s="1147"/>
      <c r="S335" s="1143" t="str">
        <f t="shared" si="80"/>
        <v>Upsize</v>
      </c>
      <c r="T335" s="1144">
        <f t="shared" si="81"/>
        <v>1859.8956521739131</v>
      </c>
      <c r="U335" s="1144">
        <f t="shared" si="82"/>
        <v>742.12173913043478</v>
      </c>
      <c r="V335" s="1146">
        <f t="shared" si="83"/>
        <v>13553.71256916996</v>
      </c>
      <c r="W335" s="1146">
        <f t="shared" si="84"/>
        <v>12149.835294117647</v>
      </c>
      <c r="X335" s="1146">
        <f t="shared" si="85"/>
        <v>1403.8772750523131</v>
      </c>
      <c r="Y335" s="1146">
        <f t="shared" si="86"/>
        <v>10720.91234661415</v>
      </c>
      <c r="Z335" s="1146">
        <f t="shared" si="87"/>
        <v>12149.835294117647</v>
      </c>
      <c r="AA335" s="1146">
        <f t="shared" si="88"/>
        <v>-1428.9229475034972</v>
      </c>
      <c r="AB335" s="1146">
        <f t="shared" si="89"/>
        <v>16236.218181818182</v>
      </c>
      <c r="AC335" s="1146">
        <f t="shared" si="90"/>
        <v>12149.835294117647</v>
      </c>
      <c r="AD335" s="1146">
        <f t="shared" si="91"/>
        <v>4086.3828877005344</v>
      </c>
      <c r="AE335" s="1146">
        <f t="shared" si="92"/>
        <v>12842.759581881533</v>
      </c>
      <c r="AF335" s="1146">
        <f t="shared" si="93"/>
        <v>12149.835294117647</v>
      </c>
      <c r="AG335" s="1146">
        <f t="shared" si="94"/>
        <v>692.92428776388624</v>
      </c>
    </row>
    <row r="336" spans="2:33" ht="14.4">
      <c r="B336" s="1134">
        <v>5917331</v>
      </c>
      <c r="C336" s="1135"/>
      <c r="D336" s="1134">
        <v>581337</v>
      </c>
      <c r="E336" s="1136">
        <v>42138</v>
      </c>
      <c r="F336" s="1137">
        <v>42000</v>
      </c>
      <c r="G336" s="1134">
        <v>10</v>
      </c>
      <c r="H336" s="1137">
        <v>43500</v>
      </c>
      <c r="I336" s="1134">
        <v>15.50</v>
      </c>
      <c r="J336" s="1138">
        <v>6407</v>
      </c>
      <c r="K336" s="1139"/>
      <c r="L336" s="1140">
        <v>42173</v>
      </c>
      <c r="M336" s="269">
        <f t="shared" si="77"/>
        <v>2</v>
      </c>
      <c r="N336" s="1141">
        <v>225</v>
      </c>
      <c r="O336" s="1087">
        <f t="shared" si="78"/>
        <v>3829.4709677419355</v>
      </c>
      <c r="P336" s="269">
        <f t="shared" si="76"/>
        <v>1</v>
      </c>
      <c r="Q336" s="269" t="str">
        <f t="shared" si="79"/>
        <v/>
      </c>
      <c r="R336" s="1147"/>
      <c r="S336" s="1143" t="str">
        <f t="shared" si="80"/>
        <v>Upsize</v>
      </c>
      <c r="T336" s="1144">
        <f t="shared" si="81"/>
        <v>2151.1724137931037</v>
      </c>
      <c r="U336" s="1144">
        <f t="shared" si="82"/>
        <v>858.34482758620697</v>
      </c>
      <c r="V336" s="1146">
        <f t="shared" si="83"/>
        <v>13716.805015673981</v>
      </c>
      <c r="W336" s="1146">
        <f t="shared" si="84"/>
        <v>10429.867172675524</v>
      </c>
      <c r="X336" s="1146">
        <f t="shared" si="85"/>
        <v>3286.9378429984572</v>
      </c>
      <c r="Y336" s="1146">
        <f t="shared" si="86"/>
        <v>10849.917577796468</v>
      </c>
      <c r="Z336" s="1146">
        <f t="shared" si="87"/>
        <v>10429.867172675524</v>
      </c>
      <c r="AA336" s="1146">
        <f t="shared" si="88"/>
        <v>420.05040512094456</v>
      </c>
      <c r="AB336" s="1146">
        <f t="shared" si="89"/>
        <v>14206.690909090909</v>
      </c>
      <c r="AC336" s="1146">
        <f t="shared" si="90"/>
        <v>10429.867172675524</v>
      </c>
      <c r="AD336" s="1146">
        <f t="shared" si="91"/>
        <v>3776.8237364153847</v>
      </c>
      <c r="AE336" s="1146">
        <f t="shared" si="92"/>
        <v>11237.414634146342</v>
      </c>
      <c r="AF336" s="1146">
        <f t="shared" si="93"/>
        <v>10429.867172675524</v>
      </c>
      <c r="AG336" s="1146">
        <f t="shared" si="94"/>
        <v>807.54746147081823</v>
      </c>
    </row>
    <row r="337" spans="2:33" ht="14.4">
      <c r="B337" s="1134">
        <v>6527188</v>
      </c>
      <c r="C337" s="1135"/>
      <c r="D337" s="1134">
        <v>474298</v>
      </c>
      <c r="E337" s="1136">
        <v>42111</v>
      </c>
      <c r="F337" s="1137">
        <v>36000</v>
      </c>
      <c r="G337" s="1134">
        <v>10</v>
      </c>
      <c r="H337" s="1137">
        <v>46500</v>
      </c>
      <c r="I337" s="1134">
        <v>15</v>
      </c>
      <c r="J337" s="1138">
        <v>5768</v>
      </c>
      <c r="K337" s="1139"/>
      <c r="L337" s="1140">
        <v>42173</v>
      </c>
      <c r="M337" s="269">
        <f t="shared" si="77"/>
        <v>2</v>
      </c>
      <c r="N337" s="1141">
        <v>250</v>
      </c>
      <c r="O337" s="1087">
        <f t="shared" si="78"/>
        <v>1374</v>
      </c>
      <c r="P337" s="269">
        <f t="shared" si="76"/>
        <v>1</v>
      </c>
      <c r="Q337" s="269" t="str">
        <f t="shared" si="79"/>
        <v/>
      </c>
      <c r="R337" s="1147"/>
      <c r="S337" s="1143" t="str">
        <f t="shared" si="80"/>
        <v>Upsize</v>
      </c>
      <c r="T337" s="1144">
        <f t="shared" si="81"/>
        <v>1724.9032258064515</v>
      </c>
      <c r="U337" s="1144">
        <f t="shared" si="82"/>
        <v>688.25806451612902</v>
      </c>
      <c r="V337" s="1146">
        <f t="shared" si="83"/>
        <v>9427.4815249266867</v>
      </c>
      <c r="W337" s="1146">
        <f t="shared" si="84"/>
        <v>9112.376470588235</v>
      </c>
      <c r="X337" s="1146">
        <f t="shared" si="85"/>
        <v>315.10505433845174</v>
      </c>
      <c r="Y337" s="1146">
        <f t="shared" si="86"/>
        <v>7457.0862088344384</v>
      </c>
      <c r="Z337" s="1146">
        <f t="shared" si="87"/>
        <v>9112.376470588235</v>
      </c>
      <c r="AA337" s="1146">
        <f t="shared" si="88"/>
        <v>-1655.2902617537966</v>
      </c>
      <c r="AB337" s="1146">
        <f t="shared" si="89"/>
        <v>12177.163636363637</v>
      </c>
      <c r="AC337" s="1146">
        <f t="shared" si="90"/>
        <v>9112.376470588235</v>
      </c>
      <c r="AD337" s="1146">
        <f t="shared" si="91"/>
        <v>3064.7871657754022</v>
      </c>
      <c r="AE337" s="1146">
        <f t="shared" si="92"/>
        <v>9632.0696864111505</v>
      </c>
      <c r="AF337" s="1146">
        <f t="shared" si="93"/>
        <v>9112.376470588235</v>
      </c>
      <c r="AG337" s="1146">
        <f t="shared" si="94"/>
        <v>519.69321582291559</v>
      </c>
    </row>
    <row r="338" spans="2:33" ht="14.4">
      <c r="B338" s="1134">
        <v>8881574</v>
      </c>
      <c r="C338" s="1135"/>
      <c r="D338" s="1134">
        <v>476783</v>
      </c>
      <c r="E338" s="1136">
        <v>42101</v>
      </c>
      <c r="F338" s="1137">
        <v>60000</v>
      </c>
      <c r="G338" s="1134">
        <v>13</v>
      </c>
      <c r="H338" s="1137">
        <v>56500</v>
      </c>
      <c r="I338" s="1134">
        <v>16</v>
      </c>
      <c r="J338" s="1138">
        <v>11445</v>
      </c>
      <c r="K338" s="1139"/>
      <c r="L338" s="1140">
        <v>42173</v>
      </c>
      <c r="M338" s="269">
        <f t="shared" si="77"/>
        <v>2</v>
      </c>
      <c r="N338" s="1141">
        <v>375</v>
      </c>
      <c r="O338" s="1087">
        <f t="shared" si="78"/>
        <v>2979.2019230769229</v>
      </c>
      <c r="P338" s="269">
        <f t="shared" si="76"/>
        <v>1</v>
      </c>
      <c r="Q338" s="269" t="str">
        <f t="shared" si="79"/>
        <v/>
      </c>
      <c r="R338" s="1147"/>
      <c r="S338" s="1143" t="str">
        <f t="shared" si="80"/>
        <v>Downsize</v>
      </c>
      <c r="T338" s="1144">
        <f t="shared" si="81"/>
        <v>2366.0176991150443</v>
      </c>
      <c r="U338" s="1144">
        <f t="shared" si="82"/>
        <v>944.07079646017712</v>
      </c>
      <c r="V338" s="1146">
        <f t="shared" si="83"/>
        <v>18276.47750479609</v>
      </c>
      <c r="W338" s="1146">
        <f t="shared" si="84"/>
        <v>14630.29411764706</v>
      </c>
      <c r="X338" s="1146">
        <f t="shared" si="85"/>
        <v>3646.1833871490308</v>
      </c>
      <c r="Y338" s="1146">
        <f t="shared" si="86"/>
        <v>17047.91094940027</v>
      </c>
      <c r="Z338" s="1146">
        <f t="shared" si="87"/>
        <v>14630.29411764706</v>
      </c>
      <c r="AA338" s="1146">
        <f t="shared" si="88"/>
        <v>2417.6168317532101</v>
      </c>
      <c r="AB338" s="1146">
        <f t="shared" si="89"/>
        <v>17210.349650349654</v>
      </c>
      <c r="AC338" s="1146">
        <f t="shared" si="90"/>
        <v>14630.29411764706</v>
      </c>
      <c r="AD338" s="1146">
        <f t="shared" si="91"/>
        <v>2580.0555327025941</v>
      </c>
      <c r="AE338" s="1146">
        <f t="shared" si="92"/>
        <v>16053.44947735192</v>
      </c>
      <c r="AF338" s="1146">
        <f t="shared" si="93"/>
        <v>14630.29411764706</v>
      </c>
      <c r="AG338" s="1146">
        <f t="shared" si="94"/>
        <v>1423.1553597048605</v>
      </c>
    </row>
    <row r="339" spans="2:33" ht="14.4">
      <c r="B339" s="1134">
        <v>1457134</v>
      </c>
      <c r="C339" s="1135"/>
      <c r="D339" s="1134">
        <v>145713</v>
      </c>
      <c r="E339" s="1136">
        <v>42118</v>
      </c>
      <c r="F339" s="1137">
        <v>42000</v>
      </c>
      <c r="G339" s="1134">
        <v>10</v>
      </c>
      <c r="H339" s="1137">
        <v>47500</v>
      </c>
      <c r="I339" s="1134">
        <v>15</v>
      </c>
      <c r="J339" s="1138">
        <v>5455</v>
      </c>
      <c r="K339" s="1139"/>
      <c r="L339" s="1140">
        <v>42173</v>
      </c>
      <c r="M339" s="269">
        <f t="shared" si="77"/>
        <v>2</v>
      </c>
      <c r="N339" s="1141">
        <v>250</v>
      </c>
      <c r="O339" s="1087">
        <f t="shared" si="78"/>
        <v>2839.6000000000008</v>
      </c>
      <c r="P339" s="269">
        <f t="shared" si="76"/>
        <v>1</v>
      </c>
      <c r="Q339" s="269" t="str">
        <f t="shared" si="79"/>
        <v/>
      </c>
      <c r="R339" s="1147"/>
      <c r="S339" s="1143" t="str">
        <f t="shared" si="80"/>
        <v>Upsize</v>
      </c>
      <c r="T339" s="1144">
        <f t="shared" si="81"/>
        <v>1970.0210526315789</v>
      </c>
      <c r="U339" s="1144">
        <f t="shared" si="82"/>
        <v>786.06315789473683</v>
      </c>
      <c r="V339" s="1146">
        <f t="shared" si="83"/>
        <v>12561.705645933014</v>
      </c>
      <c r="W339" s="1146">
        <f t="shared" si="84"/>
        <v>10631.10588235294</v>
      </c>
      <c r="X339" s="1146">
        <f t="shared" si="85"/>
        <v>1930.5997635800741</v>
      </c>
      <c r="Y339" s="1146">
        <f t="shared" si="86"/>
        <v>9936.24030808729</v>
      </c>
      <c r="Z339" s="1146">
        <f t="shared" si="87"/>
        <v>10631.10588235294</v>
      </c>
      <c r="AA339" s="1146">
        <f t="shared" si="88"/>
        <v>-694.86557426565014</v>
      </c>
      <c r="AB339" s="1146">
        <f t="shared" si="89"/>
        <v>14206.690909090909</v>
      </c>
      <c r="AC339" s="1146">
        <f t="shared" si="90"/>
        <v>10631.10588235294</v>
      </c>
      <c r="AD339" s="1146">
        <f t="shared" si="91"/>
        <v>3575.5850267379683</v>
      </c>
      <c r="AE339" s="1146">
        <f t="shared" si="92"/>
        <v>11237.41463414634</v>
      </c>
      <c r="AF339" s="1146">
        <f t="shared" si="93"/>
        <v>10631.10588235294</v>
      </c>
      <c r="AG339" s="1146">
        <f t="shared" si="94"/>
        <v>606.30875179340001</v>
      </c>
    </row>
    <row r="340" spans="2:33" ht="14.4">
      <c r="B340" s="1134">
        <v>1734789</v>
      </c>
      <c r="C340" s="1135"/>
      <c r="D340" s="1134">
        <v>173478</v>
      </c>
      <c r="E340" s="1136">
        <v>42107</v>
      </c>
      <c r="F340" s="1137">
        <v>60000</v>
      </c>
      <c r="G340" s="1134">
        <v>12</v>
      </c>
      <c r="H340" s="1137">
        <v>60000</v>
      </c>
      <c r="I340" s="1134">
        <v>16</v>
      </c>
      <c r="J340" s="1138">
        <v>9750</v>
      </c>
      <c r="K340" s="1139"/>
      <c r="L340" s="1140">
        <v>42173</v>
      </c>
      <c r="M340" s="269">
        <f t="shared" si="77"/>
        <v>2</v>
      </c>
      <c r="N340" s="1141">
        <v>375</v>
      </c>
      <c r="O340" s="1087">
        <f t="shared" si="78"/>
        <v>3435.0000000000005</v>
      </c>
      <c r="P340" s="269">
        <f t="shared" si="76"/>
        <v>1</v>
      </c>
      <c r="Q340" s="269" t="str">
        <f t="shared" si="79"/>
        <v/>
      </c>
      <c r="R340" s="1147"/>
      <c r="S340" s="1143" t="str">
        <f t="shared" si="80"/>
        <v>Same Size</v>
      </c>
      <c r="T340" s="1144">
        <f t="shared" si="81"/>
        <v>2228</v>
      </c>
      <c r="U340" s="1144">
        <f t="shared" si="82"/>
        <v>889</v>
      </c>
      <c r="V340" s="1146">
        <f t="shared" si="83"/>
        <v>18067.272727272728</v>
      </c>
      <c r="W340" s="1146">
        <f t="shared" si="84"/>
        <v>14630.29411764706</v>
      </c>
      <c r="X340" s="1146">
        <f t="shared" si="85"/>
        <v>3436.9786096256685</v>
      </c>
      <c r="Y340" s="1146">
        <f t="shared" si="86"/>
        <v>16053.449477351916</v>
      </c>
      <c r="Z340" s="1146">
        <f t="shared" si="87"/>
        <v>14630.29411764706</v>
      </c>
      <c r="AA340" s="1146">
        <f t="shared" si="88"/>
        <v>1423.1553597048569</v>
      </c>
      <c r="AB340" s="1146">
        <f t="shared" si="89"/>
        <v>18067.272727272728</v>
      </c>
      <c r="AC340" s="1146">
        <f t="shared" si="90"/>
        <v>14630.29411764706</v>
      </c>
      <c r="AD340" s="1146">
        <f t="shared" si="91"/>
        <v>3436.9786096256685</v>
      </c>
      <c r="AE340" s="1146">
        <f t="shared" si="92"/>
        <v>16053.449477351916</v>
      </c>
      <c r="AF340" s="1146">
        <f t="shared" si="93"/>
        <v>14630.29411764706</v>
      </c>
      <c r="AG340" s="1146">
        <f t="shared" si="94"/>
        <v>1423.1553597048569</v>
      </c>
    </row>
    <row r="341" spans="2:33" ht="14.4">
      <c r="B341" s="1134">
        <v>3236205</v>
      </c>
      <c r="C341" s="1135"/>
      <c r="D341" s="1134">
        <v>323620</v>
      </c>
      <c r="E341" s="1136">
        <v>42111</v>
      </c>
      <c r="F341" s="1137">
        <v>48000</v>
      </c>
      <c r="G341" s="1134">
        <v>8</v>
      </c>
      <c r="H341" s="1137">
        <v>47500</v>
      </c>
      <c r="I341" s="1134">
        <v>15</v>
      </c>
      <c r="J341" s="1138">
        <v>6249</v>
      </c>
      <c r="K341" s="1139"/>
      <c r="L341" s="1140">
        <v>42173</v>
      </c>
      <c r="M341" s="269">
        <f t="shared" si="77"/>
        <v>2</v>
      </c>
      <c r="N341" s="1141">
        <v>250</v>
      </c>
      <c r="O341" s="1087">
        <f t="shared" si="78"/>
        <v>7786.0000000000009</v>
      </c>
      <c r="P341" s="269">
        <f t="shared" si="76"/>
        <v>1</v>
      </c>
      <c r="Q341" s="269" t="str">
        <f t="shared" si="79"/>
        <v/>
      </c>
      <c r="R341" s="1147"/>
      <c r="S341" s="1143" t="str">
        <f t="shared" si="80"/>
        <v>Downsize</v>
      </c>
      <c r="T341" s="1144">
        <f t="shared" si="81"/>
        <v>2251.4526315789476</v>
      </c>
      <c r="U341" s="1144">
        <f t="shared" si="82"/>
        <v>898.35789473684213</v>
      </c>
      <c r="V341" s="1146">
        <f t="shared" si="83"/>
        <v>19108.868899521534</v>
      </c>
      <c r="W341" s="1146">
        <f t="shared" si="84"/>
        <v>12149.835294117649</v>
      </c>
      <c r="X341" s="1146">
        <f t="shared" si="85"/>
        <v>6959.0336054038853</v>
      </c>
      <c r="Y341" s="1146">
        <f t="shared" si="86"/>
        <v>12977.946524848709</v>
      </c>
      <c r="Z341" s="1146">
        <f t="shared" si="87"/>
        <v>12149.835294117649</v>
      </c>
      <c r="AA341" s="1146">
        <f t="shared" si="88"/>
        <v>828.11123073105955</v>
      </c>
      <c r="AB341" s="1146">
        <f t="shared" si="89"/>
        <v>18909.818181818184</v>
      </c>
      <c r="AC341" s="1146">
        <f t="shared" si="90"/>
        <v>12149.835294117649</v>
      </c>
      <c r="AD341" s="1146">
        <f t="shared" si="91"/>
        <v>6759.9828877005348</v>
      </c>
      <c r="AE341" s="1146">
        <f t="shared" si="92"/>
        <v>12842.759581881535</v>
      </c>
      <c r="AF341" s="1146">
        <f t="shared" si="93"/>
        <v>12149.835294117649</v>
      </c>
      <c r="AG341" s="1146">
        <f t="shared" si="94"/>
        <v>692.92428776388624</v>
      </c>
    </row>
    <row r="342" spans="2:33" ht="14.4">
      <c r="B342" s="1134">
        <v>5370366</v>
      </c>
      <c r="C342" s="1135"/>
      <c r="D342" s="1134">
        <v>537036</v>
      </c>
      <c r="E342" s="1136">
        <v>42069</v>
      </c>
      <c r="F342" s="1137">
        <v>60000</v>
      </c>
      <c r="G342" s="1134">
        <v>10</v>
      </c>
      <c r="H342" s="1137">
        <v>57000</v>
      </c>
      <c r="I342" s="1134">
        <v>15</v>
      </c>
      <c r="J342" s="1138">
        <v>6632</v>
      </c>
      <c r="K342" s="1139"/>
      <c r="L342" s="1140">
        <v>42173</v>
      </c>
      <c r="M342" s="269">
        <f t="shared" si="77"/>
        <v>2</v>
      </c>
      <c r="N342" s="1141">
        <v>325</v>
      </c>
      <c r="O342" s="1087">
        <f t="shared" si="78"/>
        <v>6045.60</v>
      </c>
      <c r="P342" s="269">
        <f t="shared" si="76"/>
        <v>1</v>
      </c>
      <c r="Q342" s="269" t="str">
        <f t="shared" si="79"/>
        <v/>
      </c>
      <c r="R342" s="1147"/>
      <c r="S342" s="1143" t="str">
        <f t="shared" si="80"/>
        <v>Downsize</v>
      </c>
      <c r="T342" s="1144">
        <f t="shared" si="81"/>
        <v>2345.2631578947367</v>
      </c>
      <c r="U342" s="1144">
        <f t="shared" si="82"/>
        <v>935.78947368421052</v>
      </c>
      <c r="V342" s="1146">
        <f t="shared" si="83"/>
        <v>21363.444976076556</v>
      </c>
      <c r="W342" s="1146">
        <f t="shared" si="84"/>
        <v>15187.29411764706</v>
      </c>
      <c r="X342" s="1146">
        <f t="shared" si="85"/>
        <v>6176.150858429497</v>
      </c>
      <c r="Y342" s="1146">
        <f t="shared" si="86"/>
        <v>16898.367870896753</v>
      </c>
      <c r="Z342" s="1146">
        <f t="shared" si="87"/>
        <v>15187.29411764706</v>
      </c>
      <c r="AA342" s="1146">
        <f t="shared" si="88"/>
        <v>1711.0737532496933</v>
      </c>
      <c r="AB342" s="1146">
        <f t="shared" si="89"/>
        <v>20295.272727272728</v>
      </c>
      <c r="AC342" s="1146">
        <f t="shared" si="90"/>
        <v>15187.29411764706</v>
      </c>
      <c r="AD342" s="1146">
        <f t="shared" si="91"/>
        <v>5107.9786096256685</v>
      </c>
      <c r="AE342" s="1146">
        <f t="shared" si="92"/>
        <v>16053.449477351915</v>
      </c>
      <c r="AF342" s="1146">
        <f t="shared" si="93"/>
        <v>15187.29411764706</v>
      </c>
      <c r="AG342" s="1146">
        <f t="shared" si="94"/>
        <v>866.15535970485507</v>
      </c>
    </row>
    <row r="343" spans="2:33" ht="14.4">
      <c r="B343" s="1134">
        <v>4387973</v>
      </c>
      <c r="C343" s="1135"/>
      <c r="D343" s="1134">
        <v>437949</v>
      </c>
      <c r="E343" s="1136">
        <v>42146</v>
      </c>
      <c r="F343" s="1137">
        <v>60000</v>
      </c>
      <c r="G343" s="1134">
        <v>13</v>
      </c>
      <c r="H343" s="1137">
        <v>56500</v>
      </c>
      <c r="I343" s="1134">
        <v>16</v>
      </c>
      <c r="J343" s="1138">
        <v>8500</v>
      </c>
      <c r="K343" s="1139"/>
      <c r="L343" s="1140">
        <v>42173</v>
      </c>
      <c r="M343" s="269">
        <f t="shared" si="77"/>
        <v>2</v>
      </c>
      <c r="N343" s="1141">
        <v>375</v>
      </c>
      <c r="O343" s="1087">
        <f t="shared" si="78"/>
        <v>2979.2019230769229</v>
      </c>
      <c r="P343" s="269">
        <f t="shared" si="76"/>
        <v>1</v>
      </c>
      <c r="Q343" s="269" t="str">
        <f t="shared" si="79"/>
        <v/>
      </c>
      <c r="R343" s="1147"/>
      <c r="S343" s="1143" t="str">
        <f t="shared" si="80"/>
        <v>Downsize</v>
      </c>
      <c r="T343" s="1144">
        <f t="shared" si="81"/>
        <v>2366.0176991150443</v>
      </c>
      <c r="U343" s="1144">
        <f t="shared" si="82"/>
        <v>944.07079646017712</v>
      </c>
      <c r="V343" s="1146">
        <f t="shared" si="83"/>
        <v>18276.47750479609</v>
      </c>
      <c r="W343" s="1146">
        <f t="shared" si="84"/>
        <v>14630.29411764706</v>
      </c>
      <c r="X343" s="1146">
        <f t="shared" si="85"/>
        <v>3646.1833871490308</v>
      </c>
      <c r="Y343" s="1146">
        <f t="shared" si="86"/>
        <v>17047.91094940027</v>
      </c>
      <c r="Z343" s="1146">
        <f t="shared" si="87"/>
        <v>14630.29411764706</v>
      </c>
      <c r="AA343" s="1146">
        <f t="shared" si="88"/>
        <v>2417.6168317532101</v>
      </c>
      <c r="AB343" s="1146">
        <f t="shared" si="89"/>
        <v>17210.349650349654</v>
      </c>
      <c r="AC343" s="1146">
        <f t="shared" si="90"/>
        <v>14630.29411764706</v>
      </c>
      <c r="AD343" s="1146">
        <f t="shared" si="91"/>
        <v>2580.0555327025941</v>
      </c>
      <c r="AE343" s="1146">
        <f t="shared" si="92"/>
        <v>16053.44947735192</v>
      </c>
      <c r="AF343" s="1146">
        <f t="shared" si="93"/>
        <v>14630.29411764706</v>
      </c>
      <c r="AG343" s="1146">
        <f t="shared" si="94"/>
        <v>1423.1553597048605</v>
      </c>
    </row>
    <row r="344" spans="2:33" ht="14.4">
      <c r="B344" s="1134">
        <v>1853332</v>
      </c>
      <c r="C344" s="1135"/>
      <c r="D344" s="1134">
        <v>185333</v>
      </c>
      <c r="E344" s="1136">
        <v>42137</v>
      </c>
      <c r="F344" s="1137">
        <v>48000</v>
      </c>
      <c r="G344" s="1134">
        <v>11</v>
      </c>
      <c r="H344" s="1137">
        <v>48500</v>
      </c>
      <c r="I344" s="1134">
        <v>15</v>
      </c>
      <c r="J344" s="1138">
        <v>5600</v>
      </c>
      <c r="K344" s="1139"/>
      <c r="L344" s="1140">
        <v>42173</v>
      </c>
      <c r="M344" s="269">
        <f t="shared" si="77"/>
        <v>2</v>
      </c>
      <c r="N344" s="1141">
        <v>250</v>
      </c>
      <c r="O344" s="1087">
        <f t="shared" si="78"/>
        <v>3106.0727272727281</v>
      </c>
      <c r="P344" s="269">
        <f t="shared" si="76"/>
        <v>1</v>
      </c>
      <c r="Q344" s="269" t="str">
        <f t="shared" si="79"/>
        <v/>
      </c>
      <c r="R344" s="1147"/>
      <c r="S344" s="1143" t="str">
        <f t="shared" si="80"/>
        <v>Upsize</v>
      </c>
      <c r="T344" s="1144">
        <f t="shared" si="81"/>
        <v>2205.0309278350514</v>
      </c>
      <c r="U344" s="1144">
        <f t="shared" si="82"/>
        <v>879.83505154639181</v>
      </c>
      <c r="V344" s="1146">
        <f t="shared" si="83"/>
        <v>15106.639175257733</v>
      </c>
      <c r="W344" s="1146">
        <f t="shared" si="84"/>
        <v>12149.835294117647</v>
      </c>
      <c r="X344" s="1146">
        <f t="shared" si="85"/>
        <v>2956.8038811400857</v>
      </c>
      <c r="Y344" s="1146">
        <f t="shared" si="86"/>
        <v>12710.359998563166</v>
      </c>
      <c r="Z344" s="1146">
        <f t="shared" si="87"/>
        <v>12149.835294117647</v>
      </c>
      <c r="AA344" s="1146">
        <f t="shared" si="88"/>
        <v>560.52470444551909</v>
      </c>
      <c r="AB344" s="1146">
        <f t="shared" si="89"/>
        <v>15264</v>
      </c>
      <c r="AC344" s="1146">
        <f t="shared" si="90"/>
        <v>12149.835294117647</v>
      </c>
      <c r="AD344" s="1146">
        <f t="shared" si="91"/>
        <v>3114.1647058823528</v>
      </c>
      <c r="AE344" s="1146">
        <f t="shared" si="92"/>
        <v>12842.759581881533</v>
      </c>
      <c r="AF344" s="1146">
        <f t="shared" si="93"/>
        <v>12149.835294117647</v>
      </c>
      <c r="AG344" s="1146">
        <f t="shared" si="94"/>
        <v>692.92428776388624</v>
      </c>
    </row>
    <row r="345" spans="2:33" ht="14.4">
      <c r="B345" s="1134">
        <v>1244037</v>
      </c>
      <c r="C345" s="1135"/>
      <c r="D345" s="1134">
        <v>124403</v>
      </c>
      <c r="E345" s="1136">
        <v>42131</v>
      </c>
      <c r="F345" s="1137">
        <v>41500</v>
      </c>
      <c r="G345" s="1134">
        <v>10</v>
      </c>
      <c r="H345" s="1137">
        <v>40000</v>
      </c>
      <c r="I345" s="1134">
        <v>15</v>
      </c>
      <c r="J345" s="1138">
        <v>5400</v>
      </c>
      <c r="K345" s="1139"/>
      <c r="L345" s="1140">
        <v>42174</v>
      </c>
      <c r="M345" s="269">
        <f t="shared" si="77"/>
        <v>2</v>
      </c>
      <c r="N345" s="1141">
        <v>225</v>
      </c>
      <c r="O345" s="1087">
        <f t="shared" si="78"/>
        <v>4076.2000000000007</v>
      </c>
      <c r="P345" s="269">
        <f t="shared" si="76"/>
        <v>1</v>
      </c>
      <c r="Q345" s="269" t="str">
        <f t="shared" si="79"/>
        <v/>
      </c>
      <c r="R345" s="1147"/>
      <c r="S345" s="1143" t="str">
        <f t="shared" si="80"/>
        <v>Downsize</v>
      </c>
      <c r="T345" s="1144">
        <f t="shared" si="81"/>
        <v>2311.5500000000002</v>
      </c>
      <c r="U345" s="1144">
        <f t="shared" si="82"/>
        <v>922.33750000000009</v>
      </c>
      <c r="V345" s="1146">
        <f t="shared" si="83"/>
        <v>14563.972272727275</v>
      </c>
      <c r="W345" s="1146">
        <f t="shared" si="84"/>
        <v>10504.545098039216</v>
      </c>
      <c r="X345" s="1146">
        <f t="shared" si="85"/>
        <v>4059.4271746880586</v>
      </c>
      <c r="Y345" s="1146">
        <f t="shared" si="86"/>
        <v>11520.022234320561</v>
      </c>
      <c r="Z345" s="1146">
        <f t="shared" si="87"/>
        <v>10504.545098039216</v>
      </c>
      <c r="AA345" s="1146">
        <f t="shared" si="88"/>
        <v>1015.4771362813444</v>
      </c>
      <c r="AB345" s="1146">
        <f t="shared" si="89"/>
        <v>14037.563636363639</v>
      </c>
      <c r="AC345" s="1146">
        <f t="shared" si="90"/>
        <v>10504.545098039216</v>
      </c>
      <c r="AD345" s="1146">
        <f t="shared" si="91"/>
        <v>3533.0185383244225</v>
      </c>
      <c r="AE345" s="1146">
        <f t="shared" si="92"/>
        <v>11103.635888501744</v>
      </c>
      <c r="AF345" s="1146">
        <f t="shared" si="93"/>
        <v>10504.545098039216</v>
      </c>
      <c r="AG345" s="1146">
        <f t="shared" si="94"/>
        <v>599.09079046252737</v>
      </c>
    </row>
    <row r="346" spans="2:33" ht="14.4">
      <c r="B346" s="1134">
        <v>4638912</v>
      </c>
      <c r="C346" s="1135"/>
      <c r="D346" s="1134">
        <v>462036</v>
      </c>
      <c r="E346" s="1136">
        <v>42117</v>
      </c>
      <c r="F346" s="1137">
        <v>48000</v>
      </c>
      <c r="G346" s="1134">
        <v>10</v>
      </c>
      <c r="H346" s="1137">
        <v>47000</v>
      </c>
      <c r="I346" s="1134">
        <v>15</v>
      </c>
      <c r="J346" s="1138">
        <v>5569</v>
      </c>
      <c r="K346" s="1139"/>
      <c r="L346" s="1140">
        <v>42178</v>
      </c>
      <c r="M346" s="269">
        <f t="shared" si="77"/>
        <v>2</v>
      </c>
      <c r="N346" s="1141">
        <v>250</v>
      </c>
      <c r="O346" s="1087">
        <f t="shared" si="78"/>
        <v>4580</v>
      </c>
      <c r="P346" s="269">
        <f t="shared" si="76"/>
        <v>1</v>
      </c>
      <c r="Q346" s="269" t="str">
        <f t="shared" si="79"/>
        <v/>
      </c>
      <c r="R346" s="1147"/>
      <c r="S346" s="1143" t="str">
        <f t="shared" si="80"/>
        <v>Downsize</v>
      </c>
      <c r="T346" s="1144">
        <f t="shared" si="81"/>
        <v>2275.4042553191489</v>
      </c>
      <c r="U346" s="1144">
        <f t="shared" si="82"/>
        <v>907.91489361702122</v>
      </c>
      <c r="V346" s="1146">
        <f t="shared" si="83"/>
        <v>16581.669632495163</v>
      </c>
      <c r="W346" s="1146">
        <f t="shared" si="84"/>
        <v>12149.835294117647</v>
      </c>
      <c r="X346" s="1146">
        <f t="shared" si="85"/>
        <v>4431.8343383775155</v>
      </c>
      <c r="Y346" s="1146">
        <f t="shared" si="86"/>
        <v>13116.009785751354</v>
      </c>
      <c r="Z346" s="1146">
        <f t="shared" si="87"/>
        <v>12149.835294117647</v>
      </c>
      <c r="AA346" s="1146">
        <f t="shared" si="88"/>
        <v>966.17449163370657</v>
      </c>
      <c r="AB346" s="1146">
        <f t="shared" si="89"/>
        <v>16236.218181818182</v>
      </c>
      <c r="AC346" s="1146">
        <f t="shared" si="90"/>
        <v>12149.835294117647</v>
      </c>
      <c r="AD346" s="1146">
        <f t="shared" si="91"/>
        <v>4086.3828877005344</v>
      </c>
      <c r="AE346" s="1146">
        <f t="shared" si="92"/>
        <v>12842.759581881533</v>
      </c>
      <c r="AF346" s="1146">
        <f t="shared" si="93"/>
        <v>12149.835294117647</v>
      </c>
      <c r="AG346" s="1146">
        <f t="shared" si="94"/>
        <v>692.92428776388624</v>
      </c>
    </row>
    <row r="347" spans="2:33" ht="14.4">
      <c r="B347" s="1134">
        <v>6657233</v>
      </c>
      <c r="C347" s="1135"/>
      <c r="D347" s="1134">
        <v>665723</v>
      </c>
      <c r="E347" s="1136">
        <v>42118</v>
      </c>
      <c r="F347" s="1137">
        <v>36000</v>
      </c>
      <c r="G347" s="1134">
        <v>10</v>
      </c>
      <c r="H347" s="1137">
        <v>36400</v>
      </c>
      <c r="I347" s="1134">
        <v>16.50</v>
      </c>
      <c r="J347" s="1138">
        <v>6795</v>
      </c>
      <c r="K347" s="1139"/>
      <c r="L347" s="1140">
        <v>42178</v>
      </c>
      <c r="M347" s="269">
        <f t="shared" si="77"/>
        <v>2</v>
      </c>
      <c r="N347" s="1141">
        <v>225</v>
      </c>
      <c r="O347" s="1087">
        <f t="shared" si="78"/>
        <v>3830.545454545455</v>
      </c>
      <c r="P347" s="269">
        <f t="shared" si="95" ref="P347:P410">IF(L347&gt;0,1,"")</f>
        <v>1</v>
      </c>
      <c r="Q347" s="269" t="str">
        <f t="shared" si="79"/>
        <v/>
      </c>
      <c r="R347" s="1147"/>
      <c r="S347" s="1143" t="str">
        <f t="shared" si="80"/>
        <v>Upsize</v>
      </c>
      <c r="T347" s="1144">
        <f t="shared" si="81"/>
        <v>2203.5164835164837</v>
      </c>
      <c r="U347" s="1144">
        <f t="shared" si="82"/>
        <v>879.23076923076928</v>
      </c>
      <c r="V347" s="1146">
        <f t="shared" si="83"/>
        <v>12043.348651348653</v>
      </c>
      <c r="W347" s="1146">
        <f t="shared" si="84"/>
        <v>8626.267379679146</v>
      </c>
      <c r="X347" s="1146">
        <f t="shared" si="85"/>
        <v>3417.0812716695073</v>
      </c>
      <c r="Y347" s="1146">
        <f t="shared" si="86"/>
        <v>9526.2227667802581</v>
      </c>
      <c r="Z347" s="1146">
        <f t="shared" si="87"/>
        <v>8626.267379679146</v>
      </c>
      <c r="AA347" s="1146">
        <f t="shared" si="88"/>
        <v>899.95538710111214</v>
      </c>
      <c r="AB347" s="1146">
        <f t="shared" si="89"/>
        <v>12177.163636363639</v>
      </c>
      <c r="AC347" s="1146">
        <f t="shared" si="90"/>
        <v>8626.267379679146</v>
      </c>
      <c r="AD347" s="1146">
        <f t="shared" si="91"/>
        <v>3550.896256684493</v>
      </c>
      <c r="AE347" s="1146">
        <f t="shared" si="92"/>
        <v>9632.0696864111505</v>
      </c>
      <c r="AF347" s="1146">
        <f t="shared" si="93"/>
        <v>8626.267379679146</v>
      </c>
      <c r="AG347" s="1146">
        <f t="shared" si="94"/>
        <v>1005.8023067320046</v>
      </c>
    </row>
    <row r="348" spans="2:33" ht="14.4">
      <c r="B348" s="1134">
        <v>3795283</v>
      </c>
      <c r="C348" s="1135"/>
      <c r="D348" s="1134">
        <v>138631</v>
      </c>
      <c r="E348" s="1136">
        <v>42157</v>
      </c>
      <c r="F348" s="1137">
        <v>30000</v>
      </c>
      <c r="G348" s="1134">
        <v>10</v>
      </c>
      <c r="H348" s="1137">
        <v>30000</v>
      </c>
      <c r="I348" s="1134">
        <v>15</v>
      </c>
      <c r="J348" s="1138">
        <v>5909</v>
      </c>
      <c r="K348" s="1139"/>
      <c r="L348" s="1140">
        <v>42178</v>
      </c>
      <c r="M348" s="269">
        <f t="shared" si="77"/>
        <v>2</v>
      </c>
      <c r="N348" s="1141">
        <v>150</v>
      </c>
      <c r="O348" s="1087">
        <f t="shared" si="78"/>
        <v>2748</v>
      </c>
      <c r="P348" s="269">
        <f t="shared" si="95"/>
        <v>1</v>
      </c>
      <c r="Q348" s="269" t="str">
        <f t="shared" si="79"/>
        <v/>
      </c>
      <c r="R348" s="1147"/>
      <c r="S348" s="1143" t="str">
        <f t="shared" si="80"/>
        <v>Same Size</v>
      </c>
      <c r="T348" s="1144">
        <f t="shared" si="81"/>
        <v>2228</v>
      </c>
      <c r="U348" s="1144">
        <f t="shared" si="82"/>
        <v>889</v>
      </c>
      <c r="V348" s="1146">
        <f t="shared" si="83"/>
        <v>10147.636363636364</v>
      </c>
      <c r="W348" s="1146">
        <f t="shared" si="84"/>
        <v>7593.6470588235297</v>
      </c>
      <c r="X348" s="1146">
        <f t="shared" si="85"/>
        <v>2553.9893048128342</v>
      </c>
      <c r="Y348" s="1146">
        <f t="shared" si="86"/>
        <v>8026.7247386759582</v>
      </c>
      <c r="Z348" s="1146">
        <f t="shared" si="87"/>
        <v>7593.6470588235297</v>
      </c>
      <c r="AA348" s="1146">
        <f t="shared" si="88"/>
        <v>433.07767985242845</v>
      </c>
      <c r="AB348" s="1146">
        <f t="shared" si="89"/>
        <v>10147.636363636364</v>
      </c>
      <c r="AC348" s="1146">
        <f t="shared" si="90"/>
        <v>7593.6470588235297</v>
      </c>
      <c r="AD348" s="1146">
        <f t="shared" si="91"/>
        <v>2553.9893048128342</v>
      </c>
      <c r="AE348" s="1146">
        <f t="shared" si="92"/>
        <v>8026.7247386759582</v>
      </c>
      <c r="AF348" s="1146">
        <f t="shared" si="93"/>
        <v>7593.6470588235297</v>
      </c>
      <c r="AG348" s="1146">
        <f t="shared" si="94"/>
        <v>433.07767985242845</v>
      </c>
    </row>
    <row r="349" spans="2:33" ht="14.4">
      <c r="B349" s="1134">
        <v>5171566</v>
      </c>
      <c r="C349" s="1135"/>
      <c r="D349" s="1134">
        <v>511557</v>
      </c>
      <c r="E349" s="1136">
        <v>42063</v>
      </c>
      <c r="F349" s="1137">
        <v>47000</v>
      </c>
      <c r="G349" s="1134">
        <v>10</v>
      </c>
      <c r="H349" s="1137">
        <v>47500</v>
      </c>
      <c r="I349" s="1134">
        <v>18.30</v>
      </c>
      <c r="J349" s="1138">
        <v>11300</v>
      </c>
      <c r="K349" s="1139"/>
      <c r="L349" s="1140">
        <v>42178</v>
      </c>
      <c r="M349" s="269">
        <f t="shared" si="77"/>
        <v>2</v>
      </c>
      <c r="N349" s="1141">
        <v>350</v>
      </c>
      <c r="O349" s="1087">
        <f t="shared" si="78"/>
        <v>5782.8131147540989</v>
      </c>
      <c r="P349" s="269">
        <f t="shared" si="95"/>
        <v>1</v>
      </c>
      <c r="Q349" s="269" t="str">
        <f t="shared" si="79"/>
        <v/>
      </c>
      <c r="R349" s="1147"/>
      <c r="S349" s="1143" t="str">
        <f t="shared" si="80"/>
        <v>Upsize</v>
      </c>
      <c r="T349" s="1144">
        <f t="shared" si="81"/>
        <v>2204.5473684210524</v>
      </c>
      <c r="U349" s="1144">
        <f t="shared" si="82"/>
        <v>879.64210526315787</v>
      </c>
      <c r="V349" s="1146">
        <f t="shared" si="83"/>
        <v>15730.6166507177</v>
      </c>
      <c r="W349" s="1146">
        <f t="shared" si="84"/>
        <v>10637.832851173256</v>
      </c>
      <c r="X349" s="1146">
        <f t="shared" si="85"/>
        <v>5092.7837995444443</v>
      </c>
      <c r="Y349" s="1146">
        <f t="shared" si="86"/>
        <v>12442.831542270311</v>
      </c>
      <c r="Z349" s="1146">
        <f t="shared" si="87"/>
        <v>10637.832851173256</v>
      </c>
      <c r="AA349" s="1146">
        <f t="shared" si="88"/>
        <v>1804.9986910970547</v>
      </c>
      <c r="AB349" s="1146">
        <f t="shared" si="89"/>
        <v>15897.963636363635</v>
      </c>
      <c r="AC349" s="1146">
        <f t="shared" si="90"/>
        <v>10637.832851173256</v>
      </c>
      <c r="AD349" s="1146">
        <f t="shared" si="91"/>
        <v>5260.1307851903784</v>
      </c>
      <c r="AE349" s="1146">
        <f t="shared" si="92"/>
        <v>12575.202090592335</v>
      </c>
      <c r="AF349" s="1146">
        <f t="shared" si="93"/>
        <v>10637.832851173256</v>
      </c>
      <c r="AG349" s="1146">
        <f t="shared" si="94"/>
        <v>1937.3692394190784</v>
      </c>
    </row>
    <row r="350" spans="2:33" ht="14.4">
      <c r="B350" s="1134">
        <v>2917920</v>
      </c>
      <c r="C350" s="1135"/>
      <c r="D350" s="1134">
        <v>282167</v>
      </c>
      <c r="E350" s="1136">
        <v>42156</v>
      </c>
      <c r="F350" s="1137">
        <v>47000</v>
      </c>
      <c r="G350" s="1134">
        <v>10</v>
      </c>
      <c r="H350" s="1137">
        <v>47000</v>
      </c>
      <c r="I350" s="1134">
        <v>17.50</v>
      </c>
      <c r="J350" s="1138">
        <v>8058</v>
      </c>
      <c r="K350" s="1139"/>
      <c r="L350" s="1140">
        <v>42178</v>
      </c>
      <c r="M350" s="269">
        <f t="shared" si="77"/>
        <v>2</v>
      </c>
      <c r="N350" s="1141">
        <v>325</v>
      </c>
      <c r="O350" s="1087">
        <f t="shared" si="78"/>
        <v>5535.2571428571428</v>
      </c>
      <c r="P350" s="269">
        <f t="shared" si="95"/>
        <v>1</v>
      </c>
      <c r="Q350" s="269" t="str">
        <f t="shared" si="79"/>
        <v/>
      </c>
      <c r="R350" s="1147"/>
      <c r="S350" s="1143" t="str">
        <f t="shared" si="80"/>
        <v>Same Size</v>
      </c>
      <c r="T350" s="1144">
        <f t="shared" si="81"/>
        <v>2228</v>
      </c>
      <c r="U350" s="1144">
        <f t="shared" si="82"/>
        <v>889</v>
      </c>
      <c r="V350" s="1146">
        <f t="shared" si="83"/>
        <v>15897.963636363636</v>
      </c>
      <c r="W350" s="1146">
        <f t="shared" si="84"/>
        <v>10899.418487394958</v>
      </c>
      <c r="X350" s="1146">
        <f t="shared" si="85"/>
        <v>4998.5451489686784</v>
      </c>
      <c r="Y350" s="1146">
        <f t="shared" si="86"/>
        <v>12575.202090592335</v>
      </c>
      <c r="Z350" s="1146">
        <f t="shared" si="87"/>
        <v>10899.418487394958</v>
      </c>
      <c r="AA350" s="1146">
        <f t="shared" si="88"/>
        <v>1675.7836031973766</v>
      </c>
      <c r="AB350" s="1146">
        <f t="shared" si="89"/>
        <v>15897.963636363636</v>
      </c>
      <c r="AC350" s="1146">
        <f t="shared" si="90"/>
        <v>10899.418487394958</v>
      </c>
      <c r="AD350" s="1146">
        <f t="shared" si="91"/>
        <v>4998.5451489686784</v>
      </c>
      <c r="AE350" s="1146">
        <f t="shared" si="92"/>
        <v>12575.202090592335</v>
      </c>
      <c r="AF350" s="1146">
        <f t="shared" si="93"/>
        <v>10899.418487394958</v>
      </c>
      <c r="AG350" s="1146">
        <f t="shared" si="94"/>
        <v>1675.7836031973766</v>
      </c>
    </row>
    <row r="351" spans="2:33" ht="14.4">
      <c r="B351" s="1134">
        <v>8851842</v>
      </c>
      <c r="C351" s="1135"/>
      <c r="D351" s="1134">
        <v>184309</v>
      </c>
      <c r="E351" s="1136">
        <v>42158</v>
      </c>
      <c r="F351" s="1137">
        <v>36000</v>
      </c>
      <c r="G351" s="1134">
        <v>14</v>
      </c>
      <c r="H351" s="1137">
        <v>48000</v>
      </c>
      <c r="I351" s="1134">
        <v>16</v>
      </c>
      <c r="J351" s="1138">
        <v>7539</v>
      </c>
      <c r="K351" s="1139"/>
      <c r="L351" s="1140">
        <v>42178</v>
      </c>
      <c r="M351" s="269">
        <f t="shared" si="77"/>
        <v>2</v>
      </c>
      <c r="N351" s="1141">
        <v>300</v>
      </c>
      <c r="O351" s="1087">
        <f t="shared" si="78"/>
        <v>-1177.7142857142856</v>
      </c>
      <c r="P351" s="269">
        <f t="shared" si="95"/>
        <v>1</v>
      </c>
      <c r="Q351" s="269" t="str">
        <f t="shared" si="79"/>
        <v/>
      </c>
      <c r="R351" s="1147"/>
      <c r="S351" s="1143" t="str">
        <f t="shared" si="80"/>
        <v>Upsize</v>
      </c>
      <c r="T351" s="1144">
        <f t="shared" si="81"/>
        <v>1671</v>
      </c>
      <c r="U351" s="1144">
        <f t="shared" si="82"/>
        <v>666.75</v>
      </c>
      <c r="V351" s="1146">
        <f t="shared" si="83"/>
        <v>7414.1298701298701</v>
      </c>
      <c r="W351" s="1146">
        <f t="shared" si="84"/>
        <v>8778.1764705882342</v>
      </c>
      <c r="X351" s="1146">
        <f t="shared" si="85"/>
        <v>-1364.0466004583641</v>
      </c>
      <c r="Y351" s="1146">
        <f t="shared" si="86"/>
        <v>7224.0522648083625</v>
      </c>
      <c r="Z351" s="1146">
        <f t="shared" si="87"/>
        <v>8778.1764705882342</v>
      </c>
      <c r="AA351" s="1146">
        <f t="shared" si="88"/>
        <v>-1554.1242057798718</v>
      </c>
      <c r="AB351" s="1146">
        <f t="shared" si="89"/>
        <v>9885.5064935064947</v>
      </c>
      <c r="AC351" s="1146">
        <f t="shared" si="90"/>
        <v>8778.1764705882342</v>
      </c>
      <c r="AD351" s="1146">
        <f t="shared" si="91"/>
        <v>1107.3300229182605</v>
      </c>
      <c r="AE351" s="1146">
        <f t="shared" si="92"/>
        <v>9632.0696864111505</v>
      </c>
      <c r="AF351" s="1146">
        <f t="shared" si="93"/>
        <v>8778.1764705882342</v>
      </c>
      <c r="AG351" s="1146">
        <f t="shared" si="94"/>
        <v>853.89321582291632</v>
      </c>
    </row>
    <row r="352" spans="2:33" ht="14.4">
      <c r="B352" s="1134">
        <v>1474949</v>
      </c>
      <c r="C352" s="1135"/>
      <c r="D352" s="1134">
        <v>147494</v>
      </c>
      <c r="E352" s="1136">
        <v>42163</v>
      </c>
      <c r="F352" s="1137">
        <v>48000</v>
      </c>
      <c r="G352" s="1134">
        <v>11</v>
      </c>
      <c r="H352" s="1137">
        <v>47000</v>
      </c>
      <c r="I352" s="1134">
        <v>16</v>
      </c>
      <c r="J352" s="1138">
        <v>6200</v>
      </c>
      <c r="K352" s="1139"/>
      <c r="L352" s="1140">
        <v>42178</v>
      </c>
      <c r="M352" s="269">
        <f t="shared" si="77"/>
        <v>2</v>
      </c>
      <c r="N352" s="1141">
        <v>300</v>
      </c>
      <c r="O352" s="1087">
        <f t="shared" si="78"/>
        <v>3919.0227272727284</v>
      </c>
      <c r="P352" s="269">
        <f t="shared" si="95"/>
        <v>1</v>
      </c>
      <c r="Q352" s="269" t="str">
        <f t="shared" si="79"/>
        <v/>
      </c>
      <c r="R352" s="1147"/>
      <c r="S352" s="1143" t="str">
        <f t="shared" si="80"/>
        <v>Downsize</v>
      </c>
      <c r="T352" s="1144">
        <f t="shared" si="81"/>
        <v>2275.4042553191489</v>
      </c>
      <c r="U352" s="1144">
        <f t="shared" si="82"/>
        <v>907.91489361702122</v>
      </c>
      <c r="V352" s="1146">
        <f t="shared" si="83"/>
        <v>15588.765957446809</v>
      </c>
      <c r="W352" s="1146">
        <f t="shared" si="84"/>
        <v>11704.235294117647</v>
      </c>
      <c r="X352" s="1146">
        <f t="shared" si="85"/>
        <v>3884.5306633291621</v>
      </c>
      <c r="Y352" s="1146">
        <f t="shared" si="86"/>
        <v>13116.009785751354</v>
      </c>
      <c r="Z352" s="1146">
        <f t="shared" si="87"/>
        <v>11704.235294117647</v>
      </c>
      <c r="AA352" s="1146">
        <f t="shared" si="88"/>
        <v>1411.7744916337069</v>
      </c>
      <c r="AB352" s="1146">
        <f t="shared" si="89"/>
        <v>15264</v>
      </c>
      <c r="AC352" s="1146">
        <f t="shared" si="90"/>
        <v>11704.235294117647</v>
      </c>
      <c r="AD352" s="1146">
        <f t="shared" si="91"/>
        <v>3559.7647058823532</v>
      </c>
      <c r="AE352" s="1146">
        <f t="shared" si="92"/>
        <v>12842.759581881533</v>
      </c>
      <c r="AF352" s="1146">
        <f t="shared" si="93"/>
        <v>11704.235294117647</v>
      </c>
      <c r="AG352" s="1146">
        <f t="shared" si="94"/>
        <v>1138.5242877638866</v>
      </c>
    </row>
    <row r="353" spans="2:33" ht="14.4">
      <c r="B353" s="1134">
        <v>1900851</v>
      </c>
      <c r="C353" s="1135"/>
      <c r="D353" s="1134">
        <v>190085</v>
      </c>
      <c r="E353" s="1136">
        <v>42154</v>
      </c>
      <c r="F353" s="1137">
        <v>36000</v>
      </c>
      <c r="G353" s="1134">
        <v>10</v>
      </c>
      <c r="H353" s="1137">
        <v>34800</v>
      </c>
      <c r="I353" s="1134">
        <v>15</v>
      </c>
      <c r="J353" s="1138">
        <v>4700</v>
      </c>
      <c r="K353" s="1139"/>
      <c r="L353" s="1140">
        <v>42178</v>
      </c>
      <c r="M353" s="269">
        <f t="shared" si="77"/>
        <v>2</v>
      </c>
      <c r="N353" s="1141">
        <v>175</v>
      </c>
      <c r="O353" s="1087">
        <f t="shared" si="78"/>
        <v>3517.4400000000005</v>
      </c>
      <c r="P353" s="269">
        <f t="shared" si="95"/>
        <v>1</v>
      </c>
      <c r="Q353" s="269" t="str">
        <f t="shared" si="79"/>
        <v/>
      </c>
      <c r="R353" s="1147"/>
      <c r="S353" s="1143" t="str">
        <f t="shared" si="80"/>
        <v>Downsize</v>
      </c>
      <c r="T353" s="1144">
        <f t="shared" si="81"/>
        <v>2304.8275862068967</v>
      </c>
      <c r="U353" s="1144">
        <f t="shared" si="82"/>
        <v>919.65517241379314</v>
      </c>
      <c r="V353" s="1146">
        <f t="shared" si="83"/>
        <v>12597.065830721003</v>
      </c>
      <c r="W353" s="1146">
        <f t="shared" si="84"/>
        <v>9112.376470588235</v>
      </c>
      <c r="X353" s="1146">
        <f t="shared" si="85"/>
        <v>3484.6893601327683</v>
      </c>
      <c r="Y353" s="1146">
        <f t="shared" si="86"/>
        <v>9964.2100204253293</v>
      </c>
      <c r="Z353" s="1146">
        <f t="shared" si="87"/>
        <v>9112.376470588235</v>
      </c>
      <c r="AA353" s="1146">
        <f t="shared" si="88"/>
        <v>851.83354983709432</v>
      </c>
      <c r="AB353" s="1146">
        <f t="shared" si="89"/>
        <v>12177.163636363635</v>
      </c>
      <c r="AC353" s="1146">
        <f t="shared" si="90"/>
        <v>9112.376470588235</v>
      </c>
      <c r="AD353" s="1146">
        <f t="shared" si="91"/>
        <v>3064.7871657754004</v>
      </c>
      <c r="AE353" s="1146">
        <f t="shared" si="92"/>
        <v>9632.0696864111505</v>
      </c>
      <c r="AF353" s="1146">
        <f t="shared" si="93"/>
        <v>9112.376470588235</v>
      </c>
      <c r="AG353" s="1146">
        <f t="shared" si="94"/>
        <v>519.69321582291559</v>
      </c>
    </row>
    <row r="354" spans="2:33" ht="14.4">
      <c r="B354" s="1134">
        <v>8875128</v>
      </c>
      <c r="C354" s="1135"/>
      <c r="D354" s="1134">
        <v>495811</v>
      </c>
      <c r="E354" s="1136">
        <v>42004</v>
      </c>
      <c r="F354" s="1137">
        <v>42000</v>
      </c>
      <c r="G354" s="1134">
        <v>11</v>
      </c>
      <c r="H354" s="1137">
        <v>43500</v>
      </c>
      <c r="I354" s="1134">
        <v>15.50</v>
      </c>
      <c r="J354" s="1138">
        <v>5950</v>
      </c>
      <c r="K354" s="1139"/>
      <c r="L354" s="1140">
        <v>42178</v>
      </c>
      <c r="M354" s="269">
        <f t="shared" si="77"/>
        <v>2</v>
      </c>
      <c r="N354" s="1141">
        <v>225</v>
      </c>
      <c r="O354" s="1087">
        <f t="shared" si="78"/>
        <v>2780.2346041055716</v>
      </c>
      <c r="P354" s="269">
        <f t="shared" si="95"/>
        <v>1</v>
      </c>
      <c r="Q354" s="269" t="str">
        <f t="shared" si="79"/>
        <v/>
      </c>
      <c r="R354" s="1147"/>
      <c r="S354" s="1143" t="str">
        <f t="shared" si="80"/>
        <v>Upsize</v>
      </c>
      <c r="T354" s="1144">
        <f t="shared" si="81"/>
        <v>2151.1724137931037</v>
      </c>
      <c r="U354" s="1144">
        <f t="shared" si="82"/>
        <v>858.34482758620697</v>
      </c>
      <c r="V354" s="1146">
        <f t="shared" si="83"/>
        <v>12895.448275862069</v>
      </c>
      <c r="W354" s="1146">
        <f t="shared" si="84"/>
        <v>10429.867172675524</v>
      </c>
      <c r="X354" s="1146">
        <f t="shared" si="85"/>
        <v>2465.5811031865451</v>
      </c>
      <c r="Y354" s="1146">
        <f t="shared" si="86"/>
        <v>10849.917577796468</v>
      </c>
      <c r="Z354" s="1146">
        <f t="shared" si="87"/>
        <v>10429.867172675524</v>
      </c>
      <c r="AA354" s="1146">
        <f t="shared" si="88"/>
        <v>420.05040512094456</v>
      </c>
      <c r="AB354" s="1146">
        <f t="shared" si="89"/>
        <v>13356</v>
      </c>
      <c r="AC354" s="1146">
        <f t="shared" si="90"/>
        <v>10429.867172675524</v>
      </c>
      <c r="AD354" s="1146">
        <f t="shared" si="91"/>
        <v>2926.1328273244762</v>
      </c>
      <c r="AE354" s="1146">
        <f t="shared" si="92"/>
        <v>11237.414634146342</v>
      </c>
      <c r="AF354" s="1146">
        <f t="shared" si="93"/>
        <v>10429.867172675524</v>
      </c>
      <c r="AG354" s="1146">
        <f t="shared" si="94"/>
        <v>807.54746147081823</v>
      </c>
    </row>
    <row r="355" spans="2:33" ht="14.4">
      <c r="B355" s="1134">
        <v>8875128</v>
      </c>
      <c r="C355" s="1135"/>
      <c r="D355" s="1134">
        <v>495811</v>
      </c>
      <c r="E355" s="1136">
        <v>42004</v>
      </c>
      <c r="F355" s="1137">
        <v>36000</v>
      </c>
      <c r="G355" s="1134">
        <v>11</v>
      </c>
      <c r="H355" s="1137">
        <v>43500</v>
      </c>
      <c r="I355" s="1134">
        <v>15.50</v>
      </c>
      <c r="J355" s="1138">
        <v>5950</v>
      </c>
      <c r="K355" s="1139"/>
      <c r="L355" s="1140">
        <v>42178</v>
      </c>
      <c r="M355" s="269">
        <f t="shared" si="77"/>
        <v>2</v>
      </c>
      <c r="N355" s="1141">
        <v>225</v>
      </c>
      <c r="O355" s="1087">
        <f t="shared" si="78"/>
        <v>1281.3255131964804</v>
      </c>
      <c r="P355" s="269">
        <f t="shared" si="95"/>
        <v>1</v>
      </c>
      <c r="Q355" s="269" t="str">
        <f t="shared" si="79"/>
        <v/>
      </c>
      <c r="R355" s="1147"/>
      <c r="S355" s="1143" t="str">
        <f t="shared" si="80"/>
        <v>Upsize</v>
      </c>
      <c r="T355" s="1144">
        <f t="shared" si="81"/>
        <v>1843.8620689655172</v>
      </c>
      <c r="U355" s="1144">
        <f t="shared" si="82"/>
        <v>735.72413793103442</v>
      </c>
      <c r="V355" s="1146">
        <f t="shared" si="83"/>
        <v>9474.2068965517228</v>
      </c>
      <c r="W355" s="1146">
        <f t="shared" si="84"/>
        <v>8939.8861480075884</v>
      </c>
      <c r="X355" s="1146">
        <f t="shared" si="85"/>
        <v>534.3207485441344</v>
      </c>
      <c r="Y355" s="1146">
        <f t="shared" si="86"/>
        <v>7971.3680163402614</v>
      </c>
      <c r="Z355" s="1146">
        <f t="shared" si="87"/>
        <v>8939.8861480075884</v>
      </c>
      <c r="AA355" s="1146">
        <f t="shared" si="88"/>
        <v>-968.518131667327</v>
      </c>
      <c r="AB355" s="1146">
        <f t="shared" si="89"/>
        <v>11448</v>
      </c>
      <c r="AC355" s="1146">
        <f t="shared" si="90"/>
        <v>8939.8861480075884</v>
      </c>
      <c r="AD355" s="1146">
        <f t="shared" si="91"/>
        <v>2508.1138519924116</v>
      </c>
      <c r="AE355" s="1146">
        <f t="shared" si="92"/>
        <v>9632.0696864111487</v>
      </c>
      <c r="AF355" s="1146">
        <f t="shared" si="93"/>
        <v>8939.8861480075884</v>
      </c>
      <c r="AG355" s="1146">
        <f t="shared" si="94"/>
        <v>692.18353840356031</v>
      </c>
    </row>
    <row r="356" spans="2:33" ht="14.4">
      <c r="B356" s="1134">
        <v>8881252</v>
      </c>
      <c r="C356" s="1135"/>
      <c r="D356" s="1134">
        <v>637847</v>
      </c>
      <c r="E356" s="1136">
        <v>42156</v>
      </c>
      <c r="F356" s="1137">
        <v>30000</v>
      </c>
      <c r="G356" s="1134">
        <v>10</v>
      </c>
      <c r="H356" s="1137">
        <v>30000</v>
      </c>
      <c r="I356" s="1134">
        <v>15</v>
      </c>
      <c r="J356" s="1138">
        <v>6899</v>
      </c>
      <c r="K356" s="1139"/>
      <c r="L356" s="1140">
        <v>42178</v>
      </c>
      <c r="M356" s="269">
        <f t="shared" si="77"/>
        <v>2</v>
      </c>
      <c r="N356" s="1141">
        <v>150</v>
      </c>
      <c r="O356" s="1087">
        <f t="shared" si="78"/>
        <v>2748</v>
      </c>
      <c r="P356" s="269">
        <f t="shared" si="95"/>
        <v>1</v>
      </c>
      <c r="Q356" s="269" t="str">
        <f t="shared" si="79"/>
        <v/>
      </c>
      <c r="R356" s="1147"/>
      <c r="S356" s="1143" t="str">
        <f t="shared" si="80"/>
        <v>Same Size</v>
      </c>
      <c r="T356" s="1144">
        <f t="shared" si="81"/>
        <v>2228</v>
      </c>
      <c r="U356" s="1144">
        <f t="shared" si="82"/>
        <v>889</v>
      </c>
      <c r="V356" s="1146">
        <f t="shared" si="83"/>
        <v>10147.636363636364</v>
      </c>
      <c r="W356" s="1146">
        <f t="shared" si="84"/>
        <v>7593.6470588235297</v>
      </c>
      <c r="X356" s="1146">
        <f t="shared" si="85"/>
        <v>2553.9893048128342</v>
      </c>
      <c r="Y356" s="1146">
        <f t="shared" si="86"/>
        <v>8026.7247386759582</v>
      </c>
      <c r="Z356" s="1146">
        <f t="shared" si="87"/>
        <v>7593.6470588235297</v>
      </c>
      <c r="AA356" s="1146">
        <f t="shared" si="88"/>
        <v>433.07767985242845</v>
      </c>
      <c r="AB356" s="1146">
        <f t="shared" si="89"/>
        <v>10147.636363636364</v>
      </c>
      <c r="AC356" s="1146">
        <f t="shared" si="90"/>
        <v>7593.6470588235297</v>
      </c>
      <c r="AD356" s="1146">
        <f t="shared" si="91"/>
        <v>2553.9893048128342</v>
      </c>
      <c r="AE356" s="1146">
        <f t="shared" si="92"/>
        <v>8026.7247386759582</v>
      </c>
      <c r="AF356" s="1146">
        <f t="shared" si="93"/>
        <v>7593.6470588235297</v>
      </c>
      <c r="AG356" s="1146">
        <f t="shared" si="94"/>
        <v>433.07767985242845</v>
      </c>
    </row>
    <row r="357" spans="2:33" ht="14.4">
      <c r="B357" s="1134">
        <v>8908544</v>
      </c>
      <c r="C357" s="1135"/>
      <c r="D357" s="1134">
        <v>8770142</v>
      </c>
      <c r="E357" s="1136">
        <v>42131</v>
      </c>
      <c r="F357" s="1137">
        <v>48000</v>
      </c>
      <c r="G357" s="1134">
        <v>10</v>
      </c>
      <c r="H357" s="1137">
        <v>45500</v>
      </c>
      <c r="I357" s="1134">
        <v>17.75</v>
      </c>
      <c r="J357" s="1138">
        <v>10150</v>
      </c>
      <c r="K357" s="1139"/>
      <c r="L357" s="1140">
        <v>42187</v>
      </c>
      <c r="M357" s="269">
        <f t="shared" si="77"/>
        <v>3</v>
      </c>
      <c r="N357" s="1141">
        <v>250</v>
      </c>
      <c r="O357" s="1087">
        <f t="shared" si="78"/>
        <v>6146.2309859154939</v>
      </c>
      <c r="P357" s="269">
        <f t="shared" si="95"/>
        <v>1</v>
      </c>
      <c r="Q357" s="269" t="str">
        <f t="shared" si="79"/>
        <v/>
      </c>
      <c r="R357" s="1147"/>
      <c r="S357" s="1143" t="str">
        <f t="shared" si="80"/>
        <v>Downsize</v>
      </c>
      <c r="T357" s="1144">
        <f t="shared" si="81"/>
        <v>2350.4175824175823</v>
      </c>
      <c r="U357" s="1144">
        <f t="shared" si="82"/>
        <v>937.84615384615392</v>
      </c>
      <c r="V357" s="1146">
        <f t="shared" si="83"/>
        <v>17128.318081918082</v>
      </c>
      <c r="W357" s="1146">
        <f t="shared" si="84"/>
        <v>11045.249378624689</v>
      </c>
      <c r="X357" s="1146">
        <f t="shared" si="85"/>
        <v>6083.0687032933929</v>
      </c>
      <c r="Y357" s="1146">
        <f t="shared" si="86"/>
        <v>13548.405712754144</v>
      </c>
      <c r="Z357" s="1146">
        <f t="shared" si="87"/>
        <v>11045.249378624689</v>
      </c>
      <c r="AA357" s="1146">
        <f t="shared" si="88"/>
        <v>2503.156334129455</v>
      </c>
      <c r="AB357" s="1146">
        <f t="shared" si="89"/>
        <v>16236.218181818182</v>
      </c>
      <c r="AC357" s="1146">
        <f t="shared" si="90"/>
        <v>11045.249378624689</v>
      </c>
      <c r="AD357" s="1146">
        <f t="shared" si="91"/>
        <v>5190.9688031934929</v>
      </c>
      <c r="AE357" s="1146">
        <f t="shared" si="92"/>
        <v>12842.759581881532</v>
      </c>
      <c r="AF357" s="1146">
        <f t="shared" si="93"/>
        <v>11045.249378624689</v>
      </c>
      <c r="AG357" s="1146">
        <f t="shared" si="94"/>
        <v>1797.5102032568429</v>
      </c>
    </row>
    <row r="358" spans="2:33" ht="14.4">
      <c r="B358" s="1134">
        <v>4292827</v>
      </c>
      <c r="C358" s="1135"/>
      <c r="D358" s="1134">
        <v>411418</v>
      </c>
      <c r="E358" s="1136">
        <v>42080</v>
      </c>
      <c r="F358" s="1137">
        <v>36000</v>
      </c>
      <c r="G358" s="1134">
        <v>10</v>
      </c>
      <c r="H358" s="1137">
        <v>36000</v>
      </c>
      <c r="I358" s="1134">
        <v>15</v>
      </c>
      <c r="J358" s="1138">
        <v>6433</v>
      </c>
      <c r="K358" s="1139"/>
      <c r="L358" s="1140">
        <v>42187</v>
      </c>
      <c r="M358" s="269">
        <f t="shared" si="77"/>
        <v>3</v>
      </c>
      <c r="N358" s="1141">
        <v>175</v>
      </c>
      <c r="O358" s="1087">
        <f t="shared" si="78"/>
        <v>3297.6000000000004</v>
      </c>
      <c r="P358" s="269">
        <f t="shared" si="95"/>
        <v>1</v>
      </c>
      <c r="Q358" s="269" t="str">
        <f t="shared" si="79"/>
        <v/>
      </c>
      <c r="R358" s="1147"/>
      <c r="S358" s="1143" t="str">
        <f t="shared" si="80"/>
        <v>Same Size</v>
      </c>
      <c r="T358" s="1144">
        <f t="shared" si="81"/>
        <v>2228</v>
      </c>
      <c r="U358" s="1144">
        <f t="shared" si="82"/>
        <v>889</v>
      </c>
      <c r="V358" s="1146">
        <f t="shared" si="83"/>
        <v>12177.163636363635</v>
      </c>
      <c r="W358" s="1146">
        <f t="shared" si="84"/>
        <v>9112.376470588235</v>
      </c>
      <c r="X358" s="1146">
        <f t="shared" si="85"/>
        <v>3064.7871657754004</v>
      </c>
      <c r="Y358" s="1146">
        <f t="shared" si="86"/>
        <v>9632.0696864111487</v>
      </c>
      <c r="Z358" s="1146">
        <f t="shared" si="87"/>
        <v>9112.376470588235</v>
      </c>
      <c r="AA358" s="1146">
        <f t="shared" si="88"/>
        <v>519.69321582291377</v>
      </c>
      <c r="AB358" s="1146">
        <f t="shared" si="89"/>
        <v>12177.163636363635</v>
      </c>
      <c r="AC358" s="1146">
        <f t="shared" si="90"/>
        <v>9112.376470588235</v>
      </c>
      <c r="AD358" s="1146">
        <f t="shared" si="91"/>
        <v>3064.7871657754004</v>
      </c>
      <c r="AE358" s="1146">
        <f t="shared" si="92"/>
        <v>9632.0696864111487</v>
      </c>
      <c r="AF358" s="1146">
        <f t="shared" si="93"/>
        <v>9112.376470588235</v>
      </c>
      <c r="AG358" s="1146">
        <f t="shared" si="94"/>
        <v>519.69321582291377</v>
      </c>
    </row>
    <row r="359" spans="2:33" ht="14.4">
      <c r="B359" s="1134">
        <v>8838247</v>
      </c>
      <c r="C359" s="1135"/>
      <c r="D359" s="1134">
        <v>479863</v>
      </c>
      <c r="E359" s="1136">
        <v>42089</v>
      </c>
      <c r="F359" s="1137">
        <v>42000</v>
      </c>
      <c r="G359" s="1134">
        <v>12</v>
      </c>
      <c r="H359" s="1137">
        <v>47500</v>
      </c>
      <c r="I359" s="1134">
        <v>15</v>
      </c>
      <c r="J359" s="1138">
        <v>3678</v>
      </c>
      <c r="K359" s="1139"/>
      <c r="L359" s="1140">
        <v>42190</v>
      </c>
      <c r="M359" s="269">
        <f t="shared" si="77"/>
        <v>3</v>
      </c>
      <c r="N359" s="1141">
        <v>250</v>
      </c>
      <c r="O359" s="1087">
        <f t="shared" si="78"/>
        <v>916.00000000000045</v>
      </c>
      <c r="P359" s="269">
        <f t="shared" si="95"/>
        <v>1</v>
      </c>
      <c r="Q359" s="269" t="str">
        <f t="shared" si="79"/>
        <v/>
      </c>
      <c r="R359" s="1147"/>
      <c r="S359" s="1143" t="str">
        <f t="shared" si="80"/>
        <v>Upsize</v>
      </c>
      <c r="T359" s="1144">
        <f t="shared" si="81"/>
        <v>1970.0210526315789</v>
      </c>
      <c r="U359" s="1144">
        <f t="shared" si="82"/>
        <v>786.06315789473683</v>
      </c>
      <c r="V359" s="1146">
        <f t="shared" si="83"/>
        <v>11182.690909090909</v>
      </c>
      <c r="W359" s="1146">
        <f t="shared" si="84"/>
        <v>10631.10588235294</v>
      </c>
      <c r="X359" s="1146">
        <f t="shared" si="85"/>
        <v>551.58502673796829</v>
      </c>
      <c r="Y359" s="1146">
        <f t="shared" si="86"/>
        <v>9936.24030808729</v>
      </c>
      <c r="Z359" s="1146">
        <f t="shared" si="87"/>
        <v>10631.10588235294</v>
      </c>
      <c r="AA359" s="1146">
        <f t="shared" si="88"/>
        <v>-694.86557426565014</v>
      </c>
      <c r="AB359" s="1146">
        <f t="shared" si="89"/>
        <v>12647.090909090908</v>
      </c>
      <c r="AC359" s="1146">
        <f t="shared" si="90"/>
        <v>10631.10588235294</v>
      </c>
      <c r="AD359" s="1146">
        <f t="shared" si="91"/>
        <v>2015.9850267379679</v>
      </c>
      <c r="AE359" s="1146">
        <f t="shared" si="92"/>
        <v>11237.41463414634</v>
      </c>
      <c r="AF359" s="1146">
        <f t="shared" si="93"/>
        <v>10631.10588235294</v>
      </c>
      <c r="AG359" s="1146">
        <f t="shared" si="94"/>
        <v>606.30875179340001</v>
      </c>
    </row>
    <row r="360" spans="2:33" ht="14.4">
      <c r="B360" s="1134">
        <v>836601</v>
      </c>
      <c r="C360" s="1135"/>
      <c r="D360" s="1134">
        <v>83660</v>
      </c>
      <c r="E360" s="1136">
        <v>42177</v>
      </c>
      <c r="F360" s="1137">
        <v>48000</v>
      </c>
      <c r="G360" s="1134">
        <v>12</v>
      </c>
      <c r="H360" s="1137">
        <v>46500</v>
      </c>
      <c r="I360" s="1134">
        <v>15</v>
      </c>
      <c r="J360" s="1138">
        <v>5470</v>
      </c>
      <c r="K360" s="1139"/>
      <c r="L360" s="1140">
        <v>42192</v>
      </c>
      <c r="M360" s="269">
        <f t="shared" si="77"/>
        <v>3</v>
      </c>
      <c r="N360" s="1141">
        <v>250</v>
      </c>
      <c r="O360" s="1087">
        <f t="shared" si="78"/>
        <v>2473.2000000000003</v>
      </c>
      <c r="P360" s="269">
        <f t="shared" si="95"/>
        <v>1</v>
      </c>
      <c r="Q360" s="269" t="str">
        <f t="shared" si="79"/>
        <v/>
      </c>
      <c r="R360" s="1147"/>
      <c r="S360" s="1143" t="str">
        <f t="shared" si="80"/>
        <v>Downsize</v>
      </c>
      <c r="T360" s="1144">
        <f t="shared" si="81"/>
        <v>2299.8709677419356</v>
      </c>
      <c r="U360" s="1144">
        <f t="shared" si="82"/>
        <v>917.67741935483866</v>
      </c>
      <c r="V360" s="1146">
        <f t="shared" si="83"/>
        <v>14920.070381231672</v>
      </c>
      <c r="W360" s="1146">
        <f t="shared" si="84"/>
        <v>12149.835294117649</v>
      </c>
      <c r="X360" s="1146">
        <f t="shared" si="85"/>
        <v>2770.2350871140225</v>
      </c>
      <c r="Y360" s="1146">
        <f t="shared" si="86"/>
        <v>13257.042149039004</v>
      </c>
      <c r="Z360" s="1146">
        <f t="shared" si="87"/>
        <v>12149.835294117649</v>
      </c>
      <c r="AA360" s="1146">
        <f t="shared" si="88"/>
        <v>1107.2068549213545</v>
      </c>
      <c r="AB360" s="1146">
        <f t="shared" si="89"/>
        <v>14453.81818181818</v>
      </c>
      <c r="AC360" s="1146">
        <f t="shared" si="90"/>
        <v>12149.835294117649</v>
      </c>
      <c r="AD360" s="1146">
        <f t="shared" si="91"/>
        <v>2303.9828877005311</v>
      </c>
      <c r="AE360" s="1146">
        <f t="shared" si="92"/>
        <v>12842.759581881533</v>
      </c>
      <c r="AF360" s="1146">
        <f t="shared" si="93"/>
        <v>12149.835294117649</v>
      </c>
      <c r="AG360" s="1146">
        <f t="shared" si="94"/>
        <v>692.92428776388442</v>
      </c>
    </row>
    <row r="361" spans="2:33" ht="14.4">
      <c r="B361" s="1134">
        <v>8862278</v>
      </c>
      <c r="C361" s="1135"/>
      <c r="D361" s="1134">
        <v>637849</v>
      </c>
      <c r="E361" s="1136">
        <v>42142</v>
      </c>
      <c r="F361" s="1137">
        <v>24000</v>
      </c>
      <c r="G361" s="1134">
        <v>10</v>
      </c>
      <c r="H361" s="1137">
        <v>22600</v>
      </c>
      <c r="I361" s="1134">
        <v>15</v>
      </c>
      <c r="J361" s="1138">
        <v>4087</v>
      </c>
      <c r="K361" s="1139"/>
      <c r="L361" s="1140">
        <v>42193</v>
      </c>
      <c r="M361" s="269">
        <f t="shared" si="77"/>
        <v>3</v>
      </c>
      <c r="N361" s="1141">
        <v>125</v>
      </c>
      <c r="O361" s="1087">
        <f t="shared" si="78"/>
        <v>2454.88</v>
      </c>
      <c r="P361" s="269">
        <f t="shared" si="95"/>
        <v>1</v>
      </c>
      <c r="Q361" s="269" t="str">
        <f t="shared" si="79"/>
        <v/>
      </c>
      <c r="R361" s="1147"/>
      <c r="S361" s="1143" t="str">
        <f t="shared" si="80"/>
        <v>Downsize</v>
      </c>
      <c r="T361" s="1144">
        <f t="shared" si="81"/>
        <v>2366.0176991150443</v>
      </c>
      <c r="U361" s="1144">
        <f t="shared" si="82"/>
        <v>944.07079646017712</v>
      </c>
      <c r="V361" s="1146">
        <f t="shared" si="83"/>
        <v>8621.0008045052291</v>
      </c>
      <c r="W361" s="1146">
        <f t="shared" si="84"/>
        <v>6074.9176470588245</v>
      </c>
      <c r="X361" s="1146">
        <f t="shared" si="85"/>
        <v>2546.0831574464046</v>
      </c>
      <c r="Y361" s="1146">
        <f t="shared" si="86"/>
        <v>6819.1643797601073</v>
      </c>
      <c r="Z361" s="1146">
        <f t="shared" si="87"/>
        <v>6074.9176470588245</v>
      </c>
      <c r="AA361" s="1146">
        <f t="shared" si="88"/>
        <v>744.24673270128278</v>
      </c>
      <c r="AB361" s="1146">
        <f t="shared" si="89"/>
        <v>8118.1090909090917</v>
      </c>
      <c r="AC361" s="1146">
        <f t="shared" si="90"/>
        <v>6074.9176470588245</v>
      </c>
      <c r="AD361" s="1146">
        <f t="shared" si="91"/>
        <v>2043.1914438502672</v>
      </c>
      <c r="AE361" s="1146">
        <f t="shared" si="92"/>
        <v>6421.3797909407685</v>
      </c>
      <c r="AF361" s="1146">
        <f t="shared" si="93"/>
        <v>6074.9176470588245</v>
      </c>
      <c r="AG361" s="1146">
        <f t="shared" si="94"/>
        <v>346.46214388194403</v>
      </c>
    </row>
    <row r="362" spans="2:33" ht="14.4">
      <c r="B362" s="1134">
        <v>1069442</v>
      </c>
      <c r="C362" s="1135"/>
      <c r="D362" s="1134">
        <v>106944</v>
      </c>
      <c r="E362" s="1136">
        <v>42146</v>
      </c>
      <c r="F362" s="1137">
        <v>48000</v>
      </c>
      <c r="G362" s="1134">
        <v>8</v>
      </c>
      <c r="H362" s="1137">
        <v>46500</v>
      </c>
      <c r="I362" s="1134">
        <v>15</v>
      </c>
      <c r="J362" s="1138">
        <v>8680</v>
      </c>
      <c r="K362" s="1139"/>
      <c r="L362" s="1140">
        <v>42193</v>
      </c>
      <c r="M362" s="269">
        <f t="shared" si="77"/>
        <v>3</v>
      </c>
      <c r="N362" s="1141">
        <v>250</v>
      </c>
      <c r="O362" s="1087">
        <f t="shared" si="78"/>
        <v>7969.2000000000007</v>
      </c>
      <c r="P362" s="269">
        <f t="shared" si="95"/>
        <v>1</v>
      </c>
      <c r="Q362" s="269" t="str">
        <f t="shared" si="79"/>
        <v/>
      </c>
      <c r="R362" s="1147"/>
      <c r="S362" s="1143" t="str">
        <f t="shared" si="80"/>
        <v>Downsize</v>
      </c>
      <c r="T362" s="1144">
        <f t="shared" si="81"/>
        <v>2299.8709677419356</v>
      </c>
      <c r="U362" s="1144">
        <f t="shared" si="82"/>
        <v>917.67741935483866</v>
      </c>
      <c r="V362" s="1146">
        <f t="shared" si="83"/>
        <v>19519.812316715543</v>
      </c>
      <c r="W362" s="1146">
        <f t="shared" si="84"/>
        <v>12149.835294117649</v>
      </c>
      <c r="X362" s="1146">
        <f t="shared" si="85"/>
        <v>7369.9770225978937</v>
      </c>
      <c r="Y362" s="1146">
        <f t="shared" si="86"/>
        <v>13257.042149039004</v>
      </c>
      <c r="Z362" s="1146">
        <f t="shared" si="87"/>
        <v>12149.835294117649</v>
      </c>
      <c r="AA362" s="1146">
        <f t="shared" si="88"/>
        <v>1107.2068549213545</v>
      </c>
      <c r="AB362" s="1146">
        <f t="shared" si="89"/>
        <v>18909.818181818184</v>
      </c>
      <c r="AC362" s="1146">
        <f t="shared" si="90"/>
        <v>12149.835294117649</v>
      </c>
      <c r="AD362" s="1146">
        <f t="shared" si="91"/>
        <v>6759.9828877005348</v>
      </c>
      <c r="AE362" s="1146">
        <f t="shared" si="92"/>
        <v>12842.759581881533</v>
      </c>
      <c r="AF362" s="1146">
        <f t="shared" si="93"/>
        <v>12149.835294117649</v>
      </c>
      <c r="AG362" s="1146">
        <f t="shared" si="94"/>
        <v>692.92428776388442</v>
      </c>
    </row>
    <row r="363" spans="2:33" ht="14.4">
      <c r="B363" s="1134">
        <v>8882187</v>
      </c>
      <c r="C363" s="1135"/>
      <c r="D363" s="1134">
        <v>158213</v>
      </c>
      <c r="E363" s="1136">
        <v>42152</v>
      </c>
      <c r="F363" s="1137">
        <v>48000</v>
      </c>
      <c r="G363" s="1134">
        <v>10</v>
      </c>
      <c r="H363" s="1137">
        <v>47500</v>
      </c>
      <c r="I363" s="1134">
        <v>15</v>
      </c>
      <c r="J363" s="1138">
        <v>6050</v>
      </c>
      <c r="K363" s="1139"/>
      <c r="L363" s="1140">
        <v>42193</v>
      </c>
      <c r="M363" s="269">
        <f t="shared" si="77"/>
        <v>3</v>
      </c>
      <c r="N363" s="1141">
        <v>250</v>
      </c>
      <c r="O363" s="1087">
        <f t="shared" si="78"/>
        <v>4488.4000000000005</v>
      </c>
      <c r="P363" s="269">
        <f t="shared" si="95"/>
        <v>1</v>
      </c>
      <c r="Q363" s="269" t="str">
        <f t="shared" si="79"/>
        <v/>
      </c>
      <c r="R363" s="1147"/>
      <c r="S363" s="1143" t="str">
        <f t="shared" si="80"/>
        <v>Downsize</v>
      </c>
      <c r="T363" s="1144">
        <f t="shared" si="81"/>
        <v>2251.4526315789476</v>
      </c>
      <c r="U363" s="1144">
        <f t="shared" si="82"/>
        <v>898.35789473684213</v>
      </c>
      <c r="V363" s="1146">
        <f t="shared" si="83"/>
        <v>16407.125741626798</v>
      </c>
      <c r="W363" s="1146">
        <f t="shared" si="84"/>
        <v>12149.835294117649</v>
      </c>
      <c r="X363" s="1146">
        <f t="shared" si="85"/>
        <v>4257.2904475091491</v>
      </c>
      <c r="Y363" s="1146">
        <f t="shared" si="86"/>
        <v>12977.946524848709</v>
      </c>
      <c r="Z363" s="1146">
        <f t="shared" si="87"/>
        <v>12149.835294117649</v>
      </c>
      <c r="AA363" s="1146">
        <f t="shared" si="88"/>
        <v>828.11123073105955</v>
      </c>
      <c r="AB363" s="1146">
        <f t="shared" si="89"/>
        <v>16236.218181818183</v>
      </c>
      <c r="AC363" s="1146">
        <f t="shared" si="90"/>
        <v>12149.835294117649</v>
      </c>
      <c r="AD363" s="1146">
        <f t="shared" si="91"/>
        <v>4086.3828877005344</v>
      </c>
      <c r="AE363" s="1146">
        <f t="shared" si="92"/>
        <v>12842.759581881535</v>
      </c>
      <c r="AF363" s="1146">
        <f t="shared" si="93"/>
        <v>12149.835294117649</v>
      </c>
      <c r="AG363" s="1146">
        <f t="shared" si="94"/>
        <v>692.92428776388624</v>
      </c>
    </row>
    <row r="364" spans="2:33" ht="14.4">
      <c r="B364" s="1134">
        <v>2212835</v>
      </c>
      <c r="C364" s="1135"/>
      <c r="D364" s="1134">
        <v>121708</v>
      </c>
      <c r="E364" s="1136">
        <v>42160</v>
      </c>
      <c r="F364" s="1137">
        <v>60000</v>
      </c>
      <c r="G364" s="1134">
        <v>10</v>
      </c>
      <c r="H364" s="1137">
        <v>34600</v>
      </c>
      <c r="I364" s="1134">
        <v>15</v>
      </c>
      <c r="J364" s="1138">
        <v>5255</v>
      </c>
      <c r="K364" s="1139"/>
      <c r="L364" s="1140">
        <v>42193</v>
      </c>
      <c r="M364" s="269">
        <f t="shared" si="77"/>
        <v>3</v>
      </c>
      <c r="N364" s="1141">
        <v>175</v>
      </c>
      <c r="O364" s="1087">
        <f t="shared" si="78"/>
        <v>10149.280000000001</v>
      </c>
      <c r="P364" s="269">
        <f t="shared" si="95"/>
        <v>1</v>
      </c>
      <c r="Q364" s="269" t="str">
        <f t="shared" si="79"/>
        <v/>
      </c>
      <c r="R364" s="1147"/>
      <c r="S364" s="1143" t="str">
        <f t="shared" si="80"/>
        <v>Downsize</v>
      </c>
      <c r="T364" s="1144">
        <f t="shared" si="81"/>
        <v>3863.5838150289019</v>
      </c>
      <c r="U364" s="1144">
        <f t="shared" si="82"/>
        <v>1541.6184971098267</v>
      </c>
      <c r="V364" s="1146">
        <f t="shared" si="83"/>
        <v>35194.114555964268</v>
      </c>
      <c r="W364" s="1146">
        <f t="shared" si="84"/>
        <v>15187.29411764706</v>
      </c>
      <c r="X364" s="1146">
        <f t="shared" si="85"/>
        <v>20006.820438317209</v>
      </c>
      <c r="Y364" s="1146">
        <f t="shared" si="86"/>
        <v>27838.351694829911</v>
      </c>
      <c r="Z364" s="1146">
        <f t="shared" si="87"/>
        <v>15187.29411764706</v>
      </c>
      <c r="AA364" s="1146">
        <f t="shared" si="88"/>
        <v>12651.057577182852</v>
      </c>
      <c r="AB364" s="1146">
        <f t="shared" si="89"/>
        <v>20295.272727272728</v>
      </c>
      <c r="AC364" s="1146">
        <f t="shared" si="90"/>
        <v>15187.29411764706</v>
      </c>
      <c r="AD364" s="1146">
        <f t="shared" si="91"/>
        <v>5107.9786096256685</v>
      </c>
      <c r="AE364" s="1146">
        <f t="shared" si="92"/>
        <v>16053.449477351916</v>
      </c>
      <c r="AF364" s="1146">
        <f t="shared" si="93"/>
        <v>15187.29411764706</v>
      </c>
      <c r="AG364" s="1146">
        <f t="shared" si="94"/>
        <v>866.15535970485689</v>
      </c>
    </row>
    <row r="365" spans="2:33" ht="14.4">
      <c r="B365" s="1134">
        <v>6798425</v>
      </c>
      <c r="C365" s="1135"/>
      <c r="D365" s="1134">
        <v>647297</v>
      </c>
      <c r="E365" s="1136">
        <v>42150</v>
      </c>
      <c r="F365" s="1137">
        <v>36000</v>
      </c>
      <c r="G365" s="1134">
        <v>10</v>
      </c>
      <c r="H365" s="1137">
        <v>34800</v>
      </c>
      <c r="I365" s="1134">
        <v>15</v>
      </c>
      <c r="J365" s="1138">
        <v>6000</v>
      </c>
      <c r="K365" s="1139"/>
      <c r="L365" s="1140">
        <v>42193</v>
      </c>
      <c r="M365" s="269">
        <f t="shared" si="77"/>
        <v>3</v>
      </c>
      <c r="N365" s="1141">
        <v>175</v>
      </c>
      <c r="O365" s="1087">
        <f t="shared" si="78"/>
        <v>3517.4400000000005</v>
      </c>
      <c r="P365" s="269">
        <f t="shared" si="95"/>
        <v>1</v>
      </c>
      <c r="Q365" s="269" t="str">
        <f t="shared" si="79"/>
        <v/>
      </c>
      <c r="R365" s="1147"/>
      <c r="S365" s="1143" t="str">
        <f t="shared" si="80"/>
        <v>Downsize</v>
      </c>
      <c r="T365" s="1144">
        <f t="shared" si="81"/>
        <v>2304.8275862068967</v>
      </c>
      <c r="U365" s="1144">
        <f t="shared" si="82"/>
        <v>919.65517241379314</v>
      </c>
      <c r="V365" s="1146">
        <f t="shared" si="83"/>
        <v>12597.065830721003</v>
      </c>
      <c r="W365" s="1146">
        <f t="shared" si="84"/>
        <v>9112.376470588235</v>
      </c>
      <c r="X365" s="1146">
        <f t="shared" si="85"/>
        <v>3484.6893601327683</v>
      </c>
      <c r="Y365" s="1146">
        <f t="shared" si="86"/>
        <v>9964.2100204253293</v>
      </c>
      <c r="Z365" s="1146">
        <f t="shared" si="87"/>
        <v>9112.376470588235</v>
      </c>
      <c r="AA365" s="1146">
        <f t="shared" si="88"/>
        <v>851.83354983709432</v>
      </c>
      <c r="AB365" s="1146">
        <f t="shared" si="89"/>
        <v>12177.163636363635</v>
      </c>
      <c r="AC365" s="1146">
        <f t="shared" si="90"/>
        <v>9112.376470588235</v>
      </c>
      <c r="AD365" s="1146">
        <f t="shared" si="91"/>
        <v>3064.7871657754004</v>
      </c>
      <c r="AE365" s="1146">
        <f t="shared" si="92"/>
        <v>9632.0696864111505</v>
      </c>
      <c r="AF365" s="1146">
        <f t="shared" si="93"/>
        <v>9112.376470588235</v>
      </c>
      <c r="AG365" s="1146">
        <f t="shared" si="94"/>
        <v>519.69321582291559</v>
      </c>
    </row>
    <row r="366" spans="2:33" ht="14.4">
      <c r="B366" s="1134">
        <v>1906064</v>
      </c>
      <c r="C366" s="1135"/>
      <c r="D366" s="1134">
        <v>190606</v>
      </c>
      <c r="E366" s="1136">
        <v>42166</v>
      </c>
      <c r="F366" s="1137">
        <v>48000</v>
      </c>
      <c r="G366" s="1134">
        <v>10</v>
      </c>
      <c r="H366" s="1137">
        <v>47500</v>
      </c>
      <c r="I366" s="1134">
        <v>15</v>
      </c>
      <c r="J366" s="1138">
        <v>4461</v>
      </c>
      <c r="K366" s="1139"/>
      <c r="L366" s="1140">
        <v>42193</v>
      </c>
      <c r="M366" s="269">
        <f t="shared" si="77"/>
        <v>3</v>
      </c>
      <c r="N366" s="1141">
        <v>250</v>
      </c>
      <c r="O366" s="1087">
        <f t="shared" si="78"/>
        <v>4488.4000000000005</v>
      </c>
      <c r="P366" s="269">
        <f t="shared" si="95"/>
        <v>1</v>
      </c>
      <c r="Q366" s="269" t="str">
        <f t="shared" si="79"/>
        <v/>
      </c>
      <c r="R366" s="1147"/>
      <c r="S366" s="1143" t="str">
        <f t="shared" si="80"/>
        <v>Downsize</v>
      </c>
      <c r="T366" s="1144">
        <f t="shared" si="81"/>
        <v>2251.4526315789476</v>
      </c>
      <c r="U366" s="1144">
        <f t="shared" si="82"/>
        <v>898.35789473684213</v>
      </c>
      <c r="V366" s="1146">
        <f t="shared" si="83"/>
        <v>16407.125741626798</v>
      </c>
      <c r="W366" s="1146">
        <f t="shared" si="84"/>
        <v>12149.835294117649</v>
      </c>
      <c r="X366" s="1146">
        <f t="shared" si="85"/>
        <v>4257.2904475091491</v>
      </c>
      <c r="Y366" s="1146">
        <f t="shared" si="86"/>
        <v>12977.946524848709</v>
      </c>
      <c r="Z366" s="1146">
        <f t="shared" si="87"/>
        <v>12149.835294117649</v>
      </c>
      <c r="AA366" s="1146">
        <f t="shared" si="88"/>
        <v>828.11123073105955</v>
      </c>
      <c r="AB366" s="1146">
        <f t="shared" si="89"/>
        <v>16236.218181818183</v>
      </c>
      <c r="AC366" s="1146">
        <f t="shared" si="90"/>
        <v>12149.835294117649</v>
      </c>
      <c r="AD366" s="1146">
        <f t="shared" si="91"/>
        <v>4086.3828877005344</v>
      </c>
      <c r="AE366" s="1146">
        <f t="shared" si="92"/>
        <v>12842.759581881535</v>
      </c>
      <c r="AF366" s="1146">
        <f t="shared" si="93"/>
        <v>12149.835294117649</v>
      </c>
      <c r="AG366" s="1146">
        <f t="shared" si="94"/>
        <v>692.92428776388624</v>
      </c>
    </row>
    <row r="367" spans="2:33" ht="14.4">
      <c r="B367" s="1134">
        <v>4725032</v>
      </c>
      <c r="C367" s="1135"/>
      <c r="D367" s="1134">
        <v>305106</v>
      </c>
      <c r="E367" s="1136">
        <v>42163</v>
      </c>
      <c r="F367" s="1137">
        <v>36000</v>
      </c>
      <c r="G367" s="1134">
        <v>10</v>
      </c>
      <c r="H367" s="1137">
        <v>34400</v>
      </c>
      <c r="I367" s="1134">
        <v>15</v>
      </c>
      <c r="J367" s="1138">
        <v>4955</v>
      </c>
      <c r="K367" s="1139"/>
      <c r="L367" s="1140">
        <v>42193</v>
      </c>
      <c r="M367" s="269">
        <f t="shared" si="77"/>
        <v>3</v>
      </c>
      <c r="N367" s="1141">
        <v>175</v>
      </c>
      <c r="O367" s="1087">
        <f t="shared" si="78"/>
        <v>3590.72</v>
      </c>
      <c r="P367" s="269">
        <f t="shared" si="95"/>
        <v>1</v>
      </c>
      <c r="Q367" s="269" t="str">
        <f t="shared" si="79"/>
        <v/>
      </c>
      <c r="R367" s="1147"/>
      <c r="S367" s="1143" t="str">
        <f t="shared" si="80"/>
        <v>Downsize</v>
      </c>
      <c r="T367" s="1144">
        <f t="shared" si="81"/>
        <v>2331.6279069767443</v>
      </c>
      <c r="U367" s="1144">
        <f t="shared" si="82"/>
        <v>930.34883720930236</v>
      </c>
      <c r="V367" s="1146">
        <f t="shared" si="83"/>
        <v>12743.543340380551</v>
      </c>
      <c r="W367" s="1146">
        <f t="shared" si="84"/>
        <v>9112.376470588235</v>
      </c>
      <c r="X367" s="1146">
        <f t="shared" si="85"/>
        <v>3631.166869792316</v>
      </c>
      <c r="Y367" s="1146">
        <f t="shared" si="86"/>
        <v>10080.072927639576</v>
      </c>
      <c r="Z367" s="1146">
        <f t="shared" si="87"/>
        <v>9112.376470588235</v>
      </c>
      <c r="AA367" s="1146">
        <f t="shared" si="88"/>
        <v>967.69645705134099</v>
      </c>
      <c r="AB367" s="1146">
        <f t="shared" si="89"/>
        <v>12177.163636363637</v>
      </c>
      <c r="AC367" s="1146">
        <f t="shared" si="90"/>
        <v>9112.376470588235</v>
      </c>
      <c r="AD367" s="1146">
        <f t="shared" si="91"/>
        <v>3064.7871657754022</v>
      </c>
      <c r="AE367" s="1146">
        <f t="shared" si="92"/>
        <v>9632.0696864111487</v>
      </c>
      <c r="AF367" s="1146">
        <f t="shared" si="93"/>
        <v>9112.376470588235</v>
      </c>
      <c r="AG367" s="1146">
        <f t="shared" si="94"/>
        <v>519.69321582291377</v>
      </c>
    </row>
    <row r="368" spans="2:33" ht="14.4">
      <c r="B368" s="1134">
        <v>8821344</v>
      </c>
      <c r="C368" s="1135"/>
      <c r="D368" s="1134">
        <v>454159</v>
      </c>
      <c r="E368" s="1136">
        <v>42116</v>
      </c>
      <c r="F368" s="1137">
        <v>60000</v>
      </c>
      <c r="G368" s="1134">
        <v>10</v>
      </c>
      <c r="H368" s="1137">
        <v>57000</v>
      </c>
      <c r="I368" s="1134">
        <v>15</v>
      </c>
      <c r="J368" s="1138">
        <v>5869</v>
      </c>
      <c r="K368" s="1139"/>
      <c r="L368" s="1140">
        <v>42193</v>
      </c>
      <c r="M368" s="269">
        <f t="shared" si="77"/>
        <v>3</v>
      </c>
      <c r="N368" s="1141">
        <v>325</v>
      </c>
      <c r="O368" s="1087">
        <f t="shared" si="78"/>
        <v>6045.60</v>
      </c>
      <c r="P368" s="269">
        <f t="shared" si="95"/>
        <v>1</v>
      </c>
      <c r="Q368" s="269" t="str">
        <f t="shared" si="79"/>
        <v/>
      </c>
      <c r="R368" s="1147"/>
      <c r="S368" s="1143" t="str">
        <f t="shared" si="80"/>
        <v>Downsize</v>
      </c>
      <c r="T368" s="1144">
        <f t="shared" si="81"/>
        <v>2345.2631578947367</v>
      </c>
      <c r="U368" s="1144">
        <f t="shared" si="82"/>
        <v>935.78947368421052</v>
      </c>
      <c r="V368" s="1146">
        <f t="shared" si="83"/>
        <v>21363.444976076556</v>
      </c>
      <c r="W368" s="1146">
        <f t="shared" si="84"/>
        <v>15187.29411764706</v>
      </c>
      <c r="X368" s="1146">
        <f t="shared" si="85"/>
        <v>6176.150858429497</v>
      </c>
      <c r="Y368" s="1146">
        <f t="shared" si="86"/>
        <v>16898.367870896753</v>
      </c>
      <c r="Z368" s="1146">
        <f t="shared" si="87"/>
        <v>15187.29411764706</v>
      </c>
      <c r="AA368" s="1146">
        <f t="shared" si="88"/>
        <v>1711.0737532496933</v>
      </c>
      <c r="AB368" s="1146">
        <f t="shared" si="89"/>
        <v>20295.272727272728</v>
      </c>
      <c r="AC368" s="1146">
        <f t="shared" si="90"/>
        <v>15187.29411764706</v>
      </c>
      <c r="AD368" s="1146">
        <f t="shared" si="91"/>
        <v>5107.9786096256685</v>
      </c>
      <c r="AE368" s="1146">
        <f t="shared" si="92"/>
        <v>16053.449477351915</v>
      </c>
      <c r="AF368" s="1146">
        <f t="shared" si="93"/>
        <v>15187.29411764706</v>
      </c>
      <c r="AG368" s="1146">
        <f t="shared" si="94"/>
        <v>866.15535970485507</v>
      </c>
    </row>
    <row r="369" spans="2:33" ht="14.4">
      <c r="B369" s="1134">
        <v>5171566</v>
      </c>
      <c r="C369" s="1135"/>
      <c r="D369" s="1134">
        <v>511557</v>
      </c>
      <c r="E369" s="1136">
        <v>42063</v>
      </c>
      <c r="F369" s="1137">
        <v>47000</v>
      </c>
      <c r="G369" s="1134">
        <v>10</v>
      </c>
      <c r="H369" s="1137">
        <v>47500</v>
      </c>
      <c r="I369" s="1134">
        <v>18.30</v>
      </c>
      <c r="J369" s="1138">
        <v>11300</v>
      </c>
      <c r="K369" s="1139"/>
      <c r="L369" s="1140">
        <v>42193</v>
      </c>
      <c r="M369" s="269">
        <f t="shared" si="77"/>
        <v>3</v>
      </c>
      <c r="N369" s="1141">
        <v>350</v>
      </c>
      <c r="O369" s="1087">
        <f t="shared" si="78"/>
        <v>5782.8131147540989</v>
      </c>
      <c r="P369" s="269">
        <f t="shared" si="95"/>
        <v>1</v>
      </c>
      <c r="Q369" s="269" t="str">
        <f t="shared" si="79"/>
        <v/>
      </c>
      <c r="R369" s="1147"/>
      <c r="S369" s="1143" t="str">
        <f t="shared" si="80"/>
        <v>Upsize</v>
      </c>
      <c r="T369" s="1144">
        <f t="shared" si="81"/>
        <v>2204.5473684210524</v>
      </c>
      <c r="U369" s="1144">
        <f t="shared" si="82"/>
        <v>879.64210526315787</v>
      </c>
      <c r="V369" s="1146">
        <f t="shared" si="83"/>
        <v>15730.6166507177</v>
      </c>
      <c r="W369" s="1146">
        <f t="shared" si="84"/>
        <v>10637.832851173256</v>
      </c>
      <c r="X369" s="1146">
        <f t="shared" si="85"/>
        <v>5092.7837995444443</v>
      </c>
      <c r="Y369" s="1146">
        <f t="shared" si="86"/>
        <v>12442.831542270311</v>
      </c>
      <c r="Z369" s="1146">
        <f t="shared" si="87"/>
        <v>10637.832851173256</v>
      </c>
      <c r="AA369" s="1146">
        <f t="shared" si="88"/>
        <v>1804.9986910970547</v>
      </c>
      <c r="AB369" s="1146">
        <f t="shared" si="89"/>
        <v>15897.963636363635</v>
      </c>
      <c r="AC369" s="1146">
        <f t="shared" si="90"/>
        <v>10637.832851173256</v>
      </c>
      <c r="AD369" s="1146">
        <f t="shared" si="91"/>
        <v>5260.1307851903784</v>
      </c>
      <c r="AE369" s="1146">
        <f t="shared" si="92"/>
        <v>12575.202090592335</v>
      </c>
      <c r="AF369" s="1146">
        <f t="shared" si="93"/>
        <v>10637.832851173256</v>
      </c>
      <c r="AG369" s="1146">
        <f t="shared" si="94"/>
        <v>1937.3692394190784</v>
      </c>
    </row>
    <row r="370" spans="2:33" ht="14.4">
      <c r="B370" s="1134">
        <v>8927386</v>
      </c>
      <c r="C370" s="1135"/>
      <c r="D370" s="1134">
        <v>543477</v>
      </c>
      <c r="E370" s="1136">
        <v>42158</v>
      </c>
      <c r="F370" s="1137">
        <v>36000</v>
      </c>
      <c r="G370" s="1134">
        <v>10</v>
      </c>
      <c r="H370" s="1137">
        <v>35600</v>
      </c>
      <c r="I370" s="1134">
        <v>15</v>
      </c>
      <c r="J370" s="1138">
        <v>3775</v>
      </c>
      <c r="K370" s="1139"/>
      <c r="L370" s="1140">
        <v>42193</v>
      </c>
      <c r="M370" s="269">
        <f t="shared" si="77"/>
        <v>3</v>
      </c>
      <c r="N370" s="1141">
        <v>175</v>
      </c>
      <c r="O370" s="1087">
        <f t="shared" si="78"/>
        <v>3370.8799999999997</v>
      </c>
      <c r="P370" s="269">
        <f t="shared" si="95"/>
        <v>1</v>
      </c>
      <c r="Q370" s="269" t="str">
        <f t="shared" si="79"/>
        <v/>
      </c>
      <c r="R370" s="1147"/>
      <c r="S370" s="1143" t="str">
        <f t="shared" si="80"/>
        <v>Downsize</v>
      </c>
      <c r="T370" s="1144">
        <f t="shared" si="81"/>
        <v>2253.0337078651687</v>
      </c>
      <c r="U370" s="1144">
        <f t="shared" si="82"/>
        <v>898.98876404494388</v>
      </c>
      <c r="V370" s="1146">
        <f t="shared" si="83"/>
        <v>12313.985699693565</v>
      </c>
      <c r="W370" s="1146">
        <f t="shared" si="84"/>
        <v>9112.3764705882368</v>
      </c>
      <c r="X370" s="1146">
        <f t="shared" si="85"/>
        <v>3201.6092291053283</v>
      </c>
      <c r="Y370" s="1146">
        <f t="shared" si="86"/>
        <v>9740.2951885056591</v>
      </c>
      <c r="Z370" s="1146">
        <f t="shared" si="87"/>
        <v>9112.3764705882368</v>
      </c>
      <c r="AA370" s="1146">
        <f t="shared" si="88"/>
        <v>627.91871791742233</v>
      </c>
      <c r="AB370" s="1146">
        <f t="shared" si="89"/>
        <v>12177.163636363637</v>
      </c>
      <c r="AC370" s="1146">
        <f t="shared" si="90"/>
        <v>9112.3764705882368</v>
      </c>
      <c r="AD370" s="1146">
        <f t="shared" si="91"/>
        <v>3064.7871657754004</v>
      </c>
      <c r="AE370" s="1146">
        <f t="shared" si="92"/>
        <v>9632.0696864111524</v>
      </c>
      <c r="AF370" s="1146">
        <f t="shared" si="93"/>
        <v>9112.3764705882368</v>
      </c>
      <c r="AG370" s="1146">
        <f t="shared" si="94"/>
        <v>519.69321582291559</v>
      </c>
    </row>
    <row r="371" spans="2:33" ht="14.4">
      <c r="B371" s="1134">
        <v>6719546</v>
      </c>
      <c r="C371" s="1135"/>
      <c r="D371" s="1134">
        <v>660091</v>
      </c>
      <c r="E371" s="1136">
        <v>42163</v>
      </c>
      <c r="F371" s="1137">
        <v>36000</v>
      </c>
      <c r="G371" s="1134">
        <v>9</v>
      </c>
      <c r="H371" s="1137">
        <v>34800</v>
      </c>
      <c r="I371" s="1134">
        <v>15</v>
      </c>
      <c r="J371" s="1138">
        <v>5100</v>
      </c>
      <c r="K371" s="1139"/>
      <c r="L371" s="1140">
        <v>42204</v>
      </c>
      <c r="M371" s="269">
        <f t="shared" si="77"/>
        <v>3</v>
      </c>
      <c r="N371" s="1141">
        <v>175</v>
      </c>
      <c r="O371" s="1087">
        <f t="shared" si="78"/>
        <v>4616.6400000000003</v>
      </c>
      <c r="P371" s="269">
        <f t="shared" si="95"/>
        <v>1</v>
      </c>
      <c r="Q371" s="269" t="str">
        <f t="shared" si="79"/>
        <v/>
      </c>
      <c r="R371" s="1147"/>
      <c r="S371" s="1143" t="str">
        <f t="shared" si="80"/>
        <v>Downsize</v>
      </c>
      <c r="T371" s="1144">
        <f t="shared" si="81"/>
        <v>2304.8275862068967</v>
      </c>
      <c r="U371" s="1144">
        <f t="shared" si="82"/>
        <v>919.65517241379314</v>
      </c>
      <c r="V371" s="1146">
        <f t="shared" si="83"/>
        <v>13518.996865203762</v>
      </c>
      <c r="W371" s="1146">
        <f t="shared" si="84"/>
        <v>9112.376470588235</v>
      </c>
      <c r="X371" s="1146">
        <f t="shared" si="85"/>
        <v>4406.6203946155274</v>
      </c>
      <c r="Y371" s="1146">
        <f t="shared" si="86"/>
        <v>9964.2100204253293</v>
      </c>
      <c r="Z371" s="1146">
        <f t="shared" si="87"/>
        <v>9112.376470588235</v>
      </c>
      <c r="AA371" s="1146">
        <f t="shared" si="88"/>
        <v>851.83354983709432</v>
      </c>
      <c r="AB371" s="1146">
        <f t="shared" si="89"/>
        <v>13068.363636363636</v>
      </c>
      <c r="AC371" s="1146">
        <f t="shared" si="90"/>
        <v>9112.376470588235</v>
      </c>
      <c r="AD371" s="1146">
        <f t="shared" si="91"/>
        <v>3955.9871657754011</v>
      </c>
      <c r="AE371" s="1146">
        <f t="shared" si="92"/>
        <v>9632.0696864111505</v>
      </c>
      <c r="AF371" s="1146">
        <f t="shared" si="93"/>
        <v>9112.376470588235</v>
      </c>
      <c r="AG371" s="1146">
        <f t="shared" si="94"/>
        <v>519.69321582291559</v>
      </c>
    </row>
    <row r="372" spans="2:33" ht="14.4">
      <c r="B372" s="1134">
        <v>1547736</v>
      </c>
      <c r="C372" s="1135"/>
      <c r="D372" s="1134">
        <v>154773</v>
      </c>
      <c r="E372" s="1136">
        <v>42090</v>
      </c>
      <c r="F372" s="1137">
        <v>23500</v>
      </c>
      <c r="G372" s="1134">
        <v>7</v>
      </c>
      <c r="H372" s="1137">
        <v>28200</v>
      </c>
      <c r="I372" s="1134">
        <v>15</v>
      </c>
      <c r="J372" s="1138">
        <v>6800</v>
      </c>
      <c r="K372" s="1139"/>
      <c r="L372" s="1140">
        <v>42204</v>
      </c>
      <c r="M372" s="269">
        <f t="shared" si="77"/>
        <v>3</v>
      </c>
      <c r="N372" s="1141">
        <v>150</v>
      </c>
      <c r="O372" s="1087">
        <f t="shared" si="78"/>
        <v>4059.1885714285722</v>
      </c>
      <c r="P372" s="269">
        <f t="shared" si="95"/>
        <v>1</v>
      </c>
      <c r="Q372" s="269" t="str">
        <f t="shared" si="79"/>
        <v/>
      </c>
      <c r="R372" s="1147"/>
      <c r="S372" s="1143" t="str">
        <f t="shared" si="80"/>
        <v>Upsize</v>
      </c>
      <c r="T372" s="1144">
        <f t="shared" si="81"/>
        <v>1856.6666666666667</v>
      </c>
      <c r="U372" s="1144">
        <f t="shared" si="82"/>
        <v>740.83333333333337</v>
      </c>
      <c r="V372" s="1146">
        <f t="shared" si="83"/>
        <v>8494.0800865800866</v>
      </c>
      <c r="W372" s="1146">
        <f t="shared" si="84"/>
        <v>5948.3568627450986</v>
      </c>
      <c r="X372" s="1146">
        <f t="shared" si="85"/>
        <v>2545.7232238349879</v>
      </c>
      <c r="Y372" s="1146">
        <f t="shared" si="86"/>
        <v>5239.6675377468064</v>
      </c>
      <c r="Z372" s="1146">
        <f t="shared" si="87"/>
        <v>5948.3568627450986</v>
      </c>
      <c r="AA372" s="1146">
        <f t="shared" si="88"/>
        <v>-708.68932499829225</v>
      </c>
      <c r="AB372" s="1146">
        <f t="shared" si="89"/>
        <v>10192.896103896102</v>
      </c>
      <c r="AC372" s="1146">
        <f t="shared" si="90"/>
        <v>5948.3568627450986</v>
      </c>
      <c r="AD372" s="1146">
        <f t="shared" si="91"/>
        <v>4244.5392411510038</v>
      </c>
      <c r="AE372" s="1146">
        <f t="shared" si="92"/>
        <v>6287.6010452961673</v>
      </c>
      <c r="AF372" s="1146">
        <f t="shared" si="93"/>
        <v>5948.3568627450986</v>
      </c>
      <c r="AG372" s="1146">
        <f t="shared" si="94"/>
        <v>339.24418255106866</v>
      </c>
    </row>
    <row r="373" spans="2:33" ht="14.4">
      <c r="B373" s="1134">
        <v>936260</v>
      </c>
      <c r="C373" s="1135"/>
      <c r="D373" s="1134">
        <v>93626</v>
      </c>
      <c r="E373" s="1136">
        <v>42137</v>
      </c>
      <c r="F373" s="1137">
        <v>42000</v>
      </c>
      <c r="G373" s="1134">
        <v>10</v>
      </c>
      <c r="H373" s="1137">
        <v>41500</v>
      </c>
      <c r="I373" s="1134">
        <v>15</v>
      </c>
      <c r="J373" s="1138">
        <v>6000</v>
      </c>
      <c r="K373" s="1139"/>
      <c r="L373" s="1140">
        <v>42204</v>
      </c>
      <c r="M373" s="269">
        <f t="shared" si="77"/>
        <v>3</v>
      </c>
      <c r="N373" s="1141">
        <v>225</v>
      </c>
      <c r="O373" s="1087">
        <f t="shared" si="78"/>
        <v>3938.8000000000006</v>
      </c>
      <c r="P373" s="269">
        <f t="shared" si="95"/>
        <v>1</v>
      </c>
      <c r="Q373" s="269" t="str">
        <f t="shared" si="79"/>
        <v/>
      </c>
      <c r="R373" s="1147"/>
      <c r="S373" s="1143" t="str">
        <f t="shared" si="80"/>
        <v>Downsize</v>
      </c>
      <c r="T373" s="1144">
        <f t="shared" si="81"/>
        <v>2254.8433734939758</v>
      </c>
      <c r="U373" s="1144">
        <f t="shared" si="82"/>
        <v>899.71084337349396</v>
      </c>
      <c r="V373" s="1146">
        <f t="shared" si="83"/>
        <v>14377.855859802847</v>
      </c>
      <c r="W373" s="1146">
        <f t="shared" si="84"/>
        <v>10631.10588235294</v>
      </c>
      <c r="X373" s="1146">
        <f t="shared" si="85"/>
        <v>3746.7499774499065</v>
      </c>
      <c r="Y373" s="1146">
        <f t="shared" si="86"/>
        <v>11372.805171907141</v>
      </c>
      <c r="Z373" s="1146">
        <f t="shared" si="87"/>
        <v>10631.10588235294</v>
      </c>
      <c r="AA373" s="1146">
        <f t="shared" si="88"/>
        <v>741.69928955420073</v>
      </c>
      <c r="AB373" s="1146">
        <f t="shared" si="89"/>
        <v>14206.690909090907</v>
      </c>
      <c r="AC373" s="1146">
        <f t="shared" si="90"/>
        <v>10631.10588235294</v>
      </c>
      <c r="AD373" s="1146">
        <f t="shared" si="91"/>
        <v>3575.5850267379665</v>
      </c>
      <c r="AE373" s="1146">
        <f t="shared" si="92"/>
        <v>11237.414634146342</v>
      </c>
      <c r="AF373" s="1146">
        <f t="shared" si="93"/>
        <v>10631.10588235294</v>
      </c>
      <c r="AG373" s="1146">
        <f t="shared" si="94"/>
        <v>606.30875179340183</v>
      </c>
    </row>
    <row r="374" spans="2:33" ht="14.4">
      <c r="B374" s="1134">
        <v>4814109</v>
      </c>
      <c r="C374" s="1135"/>
      <c r="D374" s="1134">
        <v>478413</v>
      </c>
      <c r="E374" s="1136">
        <v>42103</v>
      </c>
      <c r="F374" s="1137">
        <v>42000</v>
      </c>
      <c r="G374" s="1134">
        <v>10</v>
      </c>
      <c r="H374" s="1137">
        <v>49500</v>
      </c>
      <c r="I374" s="1134">
        <v>15</v>
      </c>
      <c r="J374" s="1138">
        <v>6120</v>
      </c>
      <c r="K374" s="1139"/>
      <c r="L374" s="1140">
        <v>42204</v>
      </c>
      <c r="M374" s="269">
        <f t="shared" si="77"/>
        <v>3</v>
      </c>
      <c r="N374" s="1141">
        <v>250</v>
      </c>
      <c r="O374" s="1087">
        <f t="shared" si="78"/>
        <v>2473.2000000000003</v>
      </c>
      <c r="P374" s="269">
        <f t="shared" si="95"/>
        <v>1</v>
      </c>
      <c r="Q374" s="269" t="str">
        <f t="shared" si="79"/>
        <v/>
      </c>
      <c r="R374" s="1147"/>
      <c r="S374" s="1143" t="str">
        <f t="shared" si="80"/>
        <v>Upsize</v>
      </c>
      <c r="T374" s="1144">
        <f t="shared" si="81"/>
        <v>1890.4242424242425</v>
      </c>
      <c r="U374" s="1144">
        <f t="shared" si="82"/>
        <v>754.30303030303037</v>
      </c>
      <c r="V374" s="1146">
        <f t="shared" si="83"/>
        <v>12054.161983471076</v>
      </c>
      <c r="W374" s="1146">
        <f t="shared" si="84"/>
        <v>10631.105882352942</v>
      </c>
      <c r="X374" s="1146">
        <f t="shared" si="85"/>
        <v>1423.0561011181344</v>
      </c>
      <c r="Y374" s="1146">
        <f t="shared" si="86"/>
        <v>9534.7760532150787</v>
      </c>
      <c r="Z374" s="1146">
        <f t="shared" si="87"/>
        <v>10631.105882352942</v>
      </c>
      <c r="AA374" s="1146">
        <f t="shared" si="88"/>
        <v>-1096.3298291378633</v>
      </c>
      <c r="AB374" s="1146">
        <f t="shared" si="89"/>
        <v>14206.690909090912</v>
      </c>
      <c r="AC374" s="1146">
        <f t="shared" si="90"/>
        <v>10631.105882352942</v>
      </c>
      <c r="AD374" s="1146">
        <f t="shared" si="91"/>
        <v>3575.5850267379701</v>
      </c>
      <c r="AE374" s="1146">
        <f t="shared" si="92"/>
        <v>11237.414634146342</v>
      </c>
      <c r="AF374" s="1146">
        <f t="shared" si="93"/>
        <v>10631.105882352942</v>
      </c>
      <c r="AG374" s="1146">
        <f t="shared" si="94"/>
        <v>606.30875179340001</v>
      </c>
    </row>
    <row r="375" spans="2:33" ht="14.4">
      <c r="B375" s="1134">
        <v>4814109</v>
      </c>
      <c r="C375" s="1135"/>
      <c r="D375" s="1134">
        <v>478413</v>
      </c>
      <c r="E375" s="1136">
        <v>42103</v>
      </c>
      <c r="F375" s="1137">
        <v>24000</v>
      </c>
      <c r="G375" s="1134">
        <v>10</v>
      </c>
      <c r="H375" s="1137">
        <v>25200</v>
      </c>
      <c r="I375" s="1134">
        <v>16</v>
      </c>
      <c r="J375" s="1138">
        <v>6120</v>
      </c>
      <c r="K375" s="1139"/>
      <c r="L375" s="1140">
        <v>42204</v>
      </c>
      <c r="M375" s="269">
        <f t="shared" si="77"/>
        <v>3</v>
      </c>
      <c r="N375" s="1141">
        <v>150</v>
      </c>
      <c r="O375" s="1087">
        <f t="shared" si="78"/>
        <v>2267.1000000000004</v>
      </c>
      <c r="P375" s="269">
        <f t="shared" si="95"/>
        <v>1</v>
      </c>
      <c r="Q375" s="269" t="str">
        <f t="shared" si="79"/>
        <v/>
      </c>
      <c r="R375" s="1147"/>
      <c r="S375" s="1143" t="str">
        <f t="shared" si="80"/>
        <v>Upsize</v>
      </c>
      <c r="T375" s="1144">
        <f t="shared" si="81"/>
        <v>2121.9047619047619</v>
      </c>
      <c r="U375" s="1144">
        <f t="shared" si="82"/>
        <v>846.66666666666663</v>
      </c>
      <c r="V375" s="1146">
        <f t="shared" si="83"/>
        <v>7731.5324675324682</v>
      </c>
      <c r="W375" s="1146">
        <f t="shared" si="84"/>
        <v>5852.1176470588234</v>
      </c>
      <c r="X375" s="1146">
        <f t="shared" si="85"/>
        <v>1879.4148204736448</v>
      </c>
      <c r="Y375" s="1146">
        <f t="shared" si="86"/>
        <v>6115.5998008959687</v>
      </c>
      <c r="Z375" s="1146">
        <f t="shared" si="87"/>
        <v>5852.1176470588234</v>
      </c>
      <c r="AA375" s="1146">
        <f t="shared" si="88"/>
        <v>263.48215383714523</v>
      </c>
      <c r="AB375" s="1146">
        <f t="shared" si="89"/>
        <v>8118.1090909090917</v>
      </c>
      <c r="AC375" s="1146">
        <f t="shared" si="90"/>
        <v>5852.1176470588234</v>
      </c>
      <c r="AD375" s="1146">
        <f t="shared" si="91"/>
        <v>2265.9914438502683</v>
      </c>
      <c r="AE375" s="1146">
        <f t="shared" si="92"/>
        <v>6421.3797909407667</v>
      </c>
      <c r="AF375" s="1146">
        <f t="shared" si="93"/>
        <v>5852.1176470588234</v>
      </c>
      <c r="AG375" s="1146">
        <f t="shared" si="94"/>
        <v>569.2621438819433</v>
      </c>
    </row>
    <row r="376" spans="2:33" ht="14.4">
      <c r="B376" s="1134">
        <v>4800199</v>
      </c>
      <c r="C376" s="1135"/>
      <c r="D376" s="1134">
        <v>401977</v>
      </c>
      <c r="E376" s="1136">
        <v>42165</v>
      </c>
      <c r="F376" s="1137">
        <v>48000</v>
      </c>
      <c r="G376" s="1134">
        <v>10</v>
      </c>
      <c r="H376" s="1137">
        <v>49000</v>
      </c>
      <c r="I376" s="1134">
        <v>15</v>
      </c>
      <c r="J376" s="1138">
        <v>5225</v>
      </c>
      <c r="K376" s="1139"/>
      <c r="L376" s="1140">
        <v>42204</v>
      </c>
      <c r="M376" s="269">
        <f t="shared" si="77"/>
        <v>3</v>
      </c>
      <c r="N376" s="1141">
        <v>250</v>
      </c>
      <c r="O376" s="1087">
        <f t="shared" si="78"/>
        <v>4213.6000000000004</v>
      </c>
      <c r="P376" s="269">
        <f t="shared" si="95"/>
        <v>1</v>
      </c>
      <c r="Q376" s="269" t="str">
        <f t="shared" si="79"/>
        <v/>
      </c>
      <c r="R376" s="1147"/>
      <c r="S376" s="1143" t="str">
        <f t="shared" si="80"/>
        <v>Upsize</v>
      </c>
      <c r="T376" s="1144">
        <f t="shared" si="81"/>
        <v>2182.5306122448978</v>
      </c>
      <c r="U376" s="1144">
        <f t="shared" si="82"/>
        <v>870.85714285714289</v>
      </c>
      <c r="V376" s="1146">
        <f t="shared" si="83"/>
        <v>15904.866790352506</v>
      </c>
      <c r="W376" s="1146">
        <f t="shared" si="84"/>
        <v>12149.835294117647</v>
      </c>
      <c r="X376" s="1146">
        <f t="shared" si="85"/>
        <v>3755.0314962348584</v>
      </c>
      <c r="Y376" s="1146">
        <f t="shared" si="86"/>
        <v>12580.662447557423</v>
      </c>
      <c r="Z376" s="1146">
        <f t="shared" si="87"/>
        <v>12149.835294117647</v>
      </c>
      <c r="AA376" s="1146">
        <f t="shared" si="88"/>
        <v>430.82715343977543</v>
      </c>
      <c r="AB376" s="1146">
        <f t="shared" si="89"/>
        <v>16236.218181818182</v>
      </c>
      <c r="AC376" s="1146">
        <f t="shared" si="90"/>
        <v>12149.835294117647</v>
      </c>
      <c r="AD376" s="1146">
        <f t="shared" si="91"/>
        <v>4086.3828877005344</v>
      </c>
      <c r="AE376" s="1146">
        <f t="shared" si="92"/>
        <v>12842.759581881535</v>
      </c>
      <c r="AF376" s="1146">
        <f t="shared" si="93"/>
        <v>12149.835294117647</v>
      </c>
      <c r="AG376" s="1146">
        <f t="shared" si="94"/>
        <v>692.92428776388806</v>
      </c>
    </row>
    <row r="377" spans="2:33" ht="14.4">
      <c r="B377" s="1134">
        <v>8864364</v>
      </c>
      <c r="C377" s="1135"/>
      <c r="D377" s="1134">
        <v>117866</v>
      </c>
      <c r="E377" s="1136">
        <v>42173</v>
      </c>
      <c r="F377" s="1137">
        <v>30000</v>
      </c>
      <c r="G377" s="1134">
        <v>13</v>
      </c>
      <c r="H377" s="1137">
        <v>28800</v>
      </c>
      <c r="I377" s="1134">
        <v>15</v>
      </c>
      <c r="J377" s="1138">
        <v>2198</v>
      </c>
      <c r="K377" s="1139"/>
      <c r="L377" s="1140">
        <v>42204</v>
      </c>
      <c r="M377" s="269">
        <f t="shared" si="77"/>
        <v>3</v>
      </c>
      <c r="N377" s="1141">
        <v>150</v>
      </c>
      <c r="O377" s="1087">
        <f t="shared" si="78"/>
        <v>1065.3784615384614</v>
      </c>
      <c r="P377" s="269">
        <f t="shared" si="95"/>
        <v>1</v>
      </c>
      <c r="Q377" s="269" t="str">
        <f t="shared" si="79"/>
        <v/>
      </c>
      <c r="R377" s="1147"/>
      <c r="S377" s="1143" t="str">
        <f t="shared" si="80"/>
        <v>Downsize</v>
      </c>
      <c r="T377" s="1144">
        <f t="shared" si="81"/>
        <v>2320.8333333333335</v>
      </c>
      <c r="U377" s="1144">
        <f t="shared" si="82"/>
        <v>926.04166666666674</v>
      </c>
      <c r="V377" s="1146">
        <f t="shared" si="83"/>
        <v>8963.7237762237764</v>
      </c>
      <c r="W377" s="1146">
        <f t="shared" si="84"/>
        <v>7593.6470588235297</v>
      </c>
      <c r="X377" s="1146">
        <f t="shared" si="85"/>
        <v>1370.0767174002467</v>
      </c>
      <c r="Y377" s="1146">
        <f t="shared" si="86"/>
        <v>8361.1716027874572</v>
      </c>
      <c r="Z377" s="1146">
        <f t="shared" si="87"/>
        <v>7593.6470588235297</v>
      </c>
      <c r="AA377" s="1146">
        <f t="shared" si="88"/>
        <v>767.5245439639275</v>
      </c>
      <c r="AB377" s="1146">
        <f t="shared" si="89"/>
        <v>8605.1748251748249</v>
      </c>
      <c r="AC377" s="1146">
        <f t="shared" si="90"/>
        <v>7593.6470588235297</v>
      </c>
      <c r="AD377" s="1146">
        <f t="shared" si="91"/>
        <v>1011.5277663512952</v>
      </c>
      <c r="AE377" s="1146">
        <f t="shared" si="92"/>
        <v>8026.72473867596</v>
      </c>
      <c r="AF377" s="1146">
        <f t="shared" si="93"/>
        <v>7593.6470588235297</v>
      </c>
      <c r="AG377" s="1146">
        <f t="shared" si="94"/>
        <v>433.07767985243026</v>
      </c>
    </row>
    <row r="378" spans="2:33" ht="14.4">
      <c r="B378" s="1134">
        <v>2321644</v>
      </c>
      <c r="C378" s="1135"/>
      <c r="D378" s="1134">
        <v>232164</v>
      </c>
      <c r="E378" s="1136">
        <v>42172</v>
      </c>
      <c r="F378" s="1137">
        <v>42000</v>
      </c>
      <c r="G378" s="1134">
        <v>10</v>
      </c>
      <c r="H378" s="1137">
        <v>41000</v>
      </c>
      <c r="I378" s="1134">
        <v>15</v>
      </c>
      <c r="J378" s="1138">
        <v>4800</v>
      </c>
      <c r="K378" s="1139"/>
      <c r="L378" s="1140">
        <v>42204</v>
      </c>
      <c r="M378" s="269">
        <f t="shared" si="77"/>
        <v>3</v>
      </c>
      <c r="N378" s="1141">
        <v>225</v>
      </c>
      <c r="O378" s="1087">
        <f t="shared" si="78"/>
        <v>4030.40</v>
      </c>
      <c r="P378" s="269">
        <f t="shared" si="95"/>
        <v>1</v>
      </c>
      <c r="Q378" s="269" t="str">
        <f t="shared" si="79"/>
        <v/>
      </c>
      <c r="R378" s="1147"/>
      <c r="S378" s="1143" t="str">
        <f t="shared" si="80"/>
        <v>Downsize</v>
      </c>
      <c r="T378" s="1144">
        <f t="shared" si="81"/>
        <v>2282.3414634146343</v>
      </c>
      <c r="U378" s="1144">
        <f t="shared" si="82"/>
        <v>910.68292682926835</v>
      </c>
      <c r="V378" s="1146">
        <f t="shared" si="83"/>
        <v>14553.195565410199</v>
      </c>
      <c r="W378" s="1146">
        <f t="shared" si="84"/>
        <v>10631.105882352942</v>
      </c>
      <c r="X378" s="1146">
        <f t="shared" si="85"/>
        <v>3922.0896830572565</v>
      </c>
      <c r="Y378" s="1146">
        <f t="shared" si="86"/>
        <v>11511.497917906008</v>
      </c>
      <c r="Z378" s="1146">
        <f t="shared" si="87"/>
        <v>10631.105882352942</v>
      </c>
      <c r="AA378" s="1146">
        <f t="shared" si="88"/>
        <v>880.39203555306631</v>
      </c>
      <c r="AB378" s="1146">
        <f t="shared" si="89"/>
        <v>14206.690909090909</v>
      </c>
      <c r="AC378" s="1146">
        <f t="shared" si="90"/>
        <v>10631.105882352942</v>
      </c>
      <c r="AD378" s="1146">
        <f t="shared" si="91"/>
        <v>3575.5850267379665</v>
      </c>
      <c r="AE378" s="1146">
        <f t="shared" si="92"/>
        <v>11237.414634146342</v>
      </c>
      <c r="AF378" s="1146">
        <f t="shared" si="93"/>
        <v>10631.105882352942</v>
      </c>
      <c r="AG378" s="1146">
        <f t="shared" si="94"/>
        <v>606.30875179340001</v>
      </c>
    </row>
    <row r="379" spans="2:33" ht="14.4">
      <c r="B379" s="1134">
        <v>3220316</v>
      </c>
      <c r="C379" s="1135"/>
      <c r="D379" s="1134">
        <v>187737</v>
      </c>
      <c r="E379" s="1136">
        <v>42142</v>
      </c>
      <c r="F379" s="1137">
        <v>36000</v>
      </c>
      <c r="G379" s="1134">
        <v>8</v>
      </c>
      <c r="H379" s="1137">
        <v>24400</v>
      </c>
      <c r="I379" s="1134">
        <v>15</v>
      </c>
      <c r="J379" s="1138">
        <v>3575</v>
      </c>
      <c r="K379" s="1139"/>
      <c r="L379" s="1140">
        <v>42204</v>
      </c>
      <c r="M379" s="269">
        <f t="shared" si="77"/>
        <v>3</v>
      </c>
      <c r="N379" s="1141">
        <v>175</v>
      </c>
      <c r="O379" s="1087">
        <f t="shared" si="78"/>
        <v>7895.92</v>
      </c>
      <c r="P379" s="269">
        <f t="shared" si="95"/>
        <v>1</v>
      </c>
      <c r="Q379" s="269" t="str">
        <f t="shared" si="79"/>
        <v/>
      </c>
      <c r="R379" s="1147"/>
      <c r="S379" s="1143" t="str">
        <f t="shared" si="80"/>
        <v>Downsize</v>
      </c>
      <c r="T379" s="1144">
        <f t="shared" si="81"/>
        <v>3287.2131147540986</v>
      </c>
      <c r="U379" s="1144">
        <f t="shared" si="82"/>
        <v>1311.6393442622953</v>
      </c>
      <c r="V379" s="1146">
        <f t="shared" si="83"/>
        <v>20924.798807749627</v>
      </c>
      <c r="W379" s="1146">
        <f t="shared" si="84"/>
        <v>9112.3764705882368</v>
      </c>
      <c r="X379" s="1146">
        <f t="shared" si="85"/>
        <v>11812.42233716139</v>
      </c>
      <c r="Y379" s="1146">
        <f t="shared" si="86"/>
        <v>14211.250357000059</v>
      </c>
      <c r="Z379" s="1146">
        <f t="shared" si="87"/>
        <v>9112.3764705882368</v>
      </c>
      <c r="AA379" s="1146">
        <f t="shared" si="88"/>
        <v>5098.8738864118222</v>
      </c>
      <c r="AB379" s="1146">
        <f t="shared" si="89"/>
        <v>14182.363636363636</v>
      </c>
      <c r="AC379" s="1146">
        <f t="shared" si="90"/>
        <v>9112.3764705882368</v>
      </c>
      <c r="AD379" s="1146">
        <f t="shared" si="91"/>
        <v>5069.9871657753993</v>
      </c>
      <c r="AE379" s="1146">
        <f t="shared" si="92"/>
        <v>9632.0696864111505</v>
      </c>
      <c r="AF379" s="1146">
        <f t="shared" si="93"/>
        <v>9112.3764705882368</v>
      </c>
      <c r="AG379" s="1146">
        <f t="shared" si="94"/>
        <v>519.69321582291377</v>
      </c>
    </row>
    <row r="380" spans="2:33" ht="14.4">
      <c r="B380" s="1134">
        <v>3941317</v>
      </c>
      <c r="C380" s="1135"/>
      <c r="D380" s="1134">
        <v>82743</v>
      </c>
      <c r="E380" s="1136">
        <v>42107</v>
      </c>
      <c r="F380" s="1137">
        <v>36000</v>
      </c>
      <c r="G380" s="1134">
        <v>10</v>
      </c>
      <c r="H380" s="1137">
        <v>34800</v>
      </c>
      <c r="I380" s="1134">
        <v>15.20</v>
      </c>
      <c r="J380" s="1138">
        <v>5298</v>
      </c>
      <c r="K380" s="1139"/>
      <c r="L380" s="1140">
        <v>42204</v>
      </c>
      <c r="M380" s="269">
        <f t="shared" si="96" ref="M380:M443">IF(MAX(K380,L380)&lt;40000,"",ROUNDUP(MONTH(MAX(K380,L380))/3,0))</f>
        <v>3</v>
      </c>
      <c r="N380" s="1141">
        <v>175</v>
      </c>
      <c r="O380" s="1087">
        <f t="shared" si="97" ref="O380:O443">IF(F380&lt;1,"",2.748*(F380/G380-H380/I380))</f>
        <v>3601.3263157894744</v>
      </c>
      <c r="P380" s="269">
        <f t="shared" si="95"/>
        <v>1</v>
      </c>
      <c r="Q380" s="269" t="str">
        <f t="shared" si="98" ref="Q380:Q443">IF(K380&gt;0,1,"")</f>
        <v/>
      </c>
      <c r="R380" s="1147"/>
      <c r="S380" s="1143" t="str">
        <f t="shared" si="80"/>
        <v>Downsize</v>
      </c>
      <c r="T380" s="1144">
        <f t="shared" si="81"/>
        <v>2304.8275862068967</v>
      </c>
      <c r="U380" s="1144">
        <f t="shared" si="82"/>
        <v>919.65517241379314</v>
      </c>
      <c r="V380" s="1146">
        <f t="shared" si="83"/>
        <v>12597.065830721003</v>
      </c>
      <c r="W380" s="1146">
        <f t="shared" si="84"/>
        <v>9042.0185758513926</v>
      </c>
      <c r="X380" s="1146">
        <f t="shared" si="85"/>
        <v>3555.0472548696107</v>
      </c>
      <c r="Y380" s="1146">
        <f t="shared" si="86"/>
        <v>9964.2100204253293</v>
      </c>
      <c r="Z380" s="1146">
        <f t="shared" si="87"/>
        <v>9042.0185758513926</v>
      </c>
      <c r="AA380" s="1146">
        <f t="shared" si="88"/>
        <v>922.19144457393668</v>
      </c>
      <c r="AB380" s="1146">
        <f t="shared" si="89"/>
        <v>12177.163636363635</v>
      </c>
      <c r="AC380" s="1146">
        <f t="shared" si="90"/>
        <v>9042.0185758513926</v>
      </c>
      <c r="AD380" s="1146">
        <f t="shared" si="91"/>
        <v>3135.1450605122427</v>
      </c>
      <c r="AE380" s="1146">
        <f t="shared" si="92"/>
        <v>9632.0696864111505</v>
      </c>
      <c r="AF380" s="1146">
        <f t="shared" si="93"/>
        <v>9042.0185758513926</v>
      </c>
      <c r="AG380" s="1146">
        <f t="shared" si="94"/>
        <v>590.05111055975794</v>
      </c>
    </row>
    <row r="381" spans="2:33" ht="14.4">
      <c r="B381" s="1134">
        <v>8907474</v>
      </c>
      <c r="C381" s="1135"/>
      <c r="D381" s="1134">
        <v>600032</v>
      </c>
      <c r="E381" s="1136">
        <v>42010</v>
      </c>
      <c r="F381" s="1137">
        <v>47000</v>
      </c>
      <c r="G381" s="1134">
        <v>10</v>
      </c>
      <c r="H381" s="1137">
        <v>47000</v>
      </c>
      <c r="I381" s="1134">
        <v>16</v>
      </c>
      <c r="J381" s="1138">
        <v>8060</v>
      </c>
      <c r="K381" s="1139"/>
      <c r="L381" s="1140">
        <v>42204</v>
      </c>
      <c r="M381" s="269">
        <f t="shared" si="96"/>
        <v>3</v>
      </c>
      <c r="N381" s="1141">
        <v>300</v>
      </c>
      <c r="O381" s="1087">
        <f t="shared" si="97"/>
        <v>4843.3500000000004</v>
      </c>
      <c r="P381" s="269">
        <f t="shared" si="95"/>
        <v>1</v>
      </c>
      <c r="Q381" s="269" t="str">
        <f t="shared" si="98"/>
        <v/>
      </c>
      <c r="R381" s="1147"/>
      <c r="S381" s="1143" t="str">
        <f t="shared" si="99" ref="S381:S444">IF(F381=H381,"Same Size",IF(F381&lt;H381,"Upsize","Downsize"))</f>
        <v>Same Size</v>
      </c>
      <c r="T381" s="1144">
        <f t="shared" si="100" ref="T381:T444">($F381/$H381)*$K$35</f>
        <v>2228</v>
      </c>
      <c r="U381" s="1144">
        <f t="shared" si="101" ref="U381:U444">($F381/$H381)*$K$36</f>
        <v>889</v>
      </c>
      <c r="V381" s="1146">
        <f t="shared" si="102" ref="V381:V444">$P381*$F381/1000*($T381/$G381+$U381/$K$33)</f>
        <v>15897.963636363636</v>
      </c>
      <c r="W381" s="1146">
        <f t="shared" si="103" ref="W381:W444">$P381*$H381/1000*($T381/$I381+$U381/$K$32)</f>
        <v>11460.39705882353</v>
      </c>
      <c r="X381" s="1146">
        <f t="shared" si="104" ref="X381:X444">V381-W381</f>
        <v>4437.5665775401067</v>
      </c>
      <c r="Y381" s="1146">
        <f t="shared" si="105" ref="Y381:Y444">$P381*$F381/1000*($T381/14+$U381/$K$34)</f>
        <v>12575.202090592335</v>
      </c>
      <c r="Z381" s="1146">
        <f t="shared" si="106" ref="Z381:Z444">$P381*$H381/1000*($T381/$I381+$U381/$K$32)</f>
        <v>11460.39705882353</v>
      </c>
      <c r="AA381" s="1146">
        <f t="shared" si="107" ref="AA381:AA444">Y381-Z381</f>
        <v>1114.8050317688048</v>
      </c>
      <c r="AB381" s="1146">
        <f t="shared" si="108" ref="AB381:AB444">$P381*$H381/1000*($T381/$G381+$U381/$K$33)</f>
        <v>15897.963636363636</v>
      </c>
      <c r="AC381" s="1146">
        <f t="shared" si="109" ref="AC381:AC444">$P381*$H381/1000*($T381/$I381+$U381/$K$32)</f>
        <v>11460.39705882353</v>
      </c>
      <c r="AD381" s="1146">
        <f t="shared" si="110" ref="AD381:AD444">AB381-AC381</f>
        <v>4437.5665775401067</v>
      </c>
      <c r="AE381" s="1146">
        <f t="shared" si="111" ref="AE381:AE444">$P381*$H381/1000*($T381/14+$U381/$K$34)</f>
        <v>12575.202090592335</v>
      </c>
      <c r="AF381" s="1146">
        <f t="shared" si="112" ref="AF381:AF444">$P381*$H381/1000*($T381/$I381+$U381/$K$32)</f>
        <v>11460.39705882353</v>
      </c>
      <c r="AG381" s="1146">
        <f t="shared" si="113" ref="AG381:AG444">AE381-AF381</f>
        <v>1114.8050317688048</v>
      </c>
    </row>
    <row r="382" spans="2:33" ht="14.4">
      <c r="B382" s="1134">
        <v>5709647</v>
      </c>
      <c r="C382" s="1135"/>
      <c r="D382" s="1134">
        <v>567896</v>
      </c>
      <c r="E382" s="1136">
        <v>42051</v>
      </c>
      <c r="F382" s="1137">
        <v>24000</v>
      </c>
      <c r="G382" s="1134">
        <v>10</v>
      </c>
      <c r="H382" s="1137">
        <v>23600</v>
      </c>
      <c r="I382" s="1134">
        <v>15</v>
      </c>
      <c r="J382" s="1138">
        <v>3698</v>
      </c>
      <c r="K382" s="1139"/>
      <c r="L382" s="1140">
        <v>42205</v>
      </c>
      <c r="M382" s="269">
        <f t="shared" si="96"/>
        <v>3</v>
      </c>
      <c r="N382" s="1141">
        <v>125</v>
      </c>
      <c r="O382" s="1087">
        <f t="shared" si="97"/>
        <v>2271.6800000000003</v>
      </c>
      <c r="P382" s="269">
        <f t="shared" si="95"/>
        <v>1</v>
      </c>
      <c r="Q382" s="269" t="str">
        <f t="shared" si="98"/>
        <v/>
      </c>
      <c r="R382" s="1147"/>
      <c r="S382" s="1143" t="str">
        <f t="shared" si="99"/>
        <v>Downsize</v>
      </c>
      <c r="T382" s="1144">
        <f t="shared" si="100"/>
        <v>2265.7627118644068</v>
      </c>
      <c r="U382" s="1144">
        <f t="shared" si="101"/>
        <v>904.06779661016947</v>
      </c>
      <c r="V382" s="1146">
        <f t="shared" si="102"/>
        <v>8255.7041602465324</v>
      </c>
      <c r="W382" s="1146">
        <f t="shared" si="103"/>
        <v>6074.9176470588245</v>
      </c>
      <c r="X382" s="1146">
        <f t="shared" si="104"/>
        <v>2180.7865131877079</v>
      </c>
      <c r="Y382" s="1146">
        <f t="shared" si="105"/>
        <v>6530.2167365499317</v>
      </c>
      <c r="Z382" s="1146">
        <f t="shared" si="106"/>
        <v>6074.9176470588245</v>
      </c>
      <c r="AA382" s="1146">
        <f t="shared" si="107"/>
        <v>455.29908949110722</v>
      </c>
      <c r="AB382" s="1146">
        <f t="shared" si="108"/>
        <v>8118.1090909090908</v>
      </c>
      <c r="AC382" s="1146">
        <f t="shared" si="109"/>
        <v>6074.9176470588245</v>
      </c>
      <c r="AD382" s="1146">
        <f t="shared" si="110"/>
        <v>2043.1914438502663</v>
      </c>
      <c r="AE382" s="1146">
        <f t="shared" si="111"/>
        <v>6421.3797909407667</v>
      </c>
      <c r="AF382" s="1146">
        <f t="shared" si="112"/>
        <v>6074.9176470588245</v>
      </c>
      <c r="AG382" s="1146">
        <f t="shared" si="113"/>
        <v>346.46214388194221</v>
      </c>
    </row>
    <row r="383" spans="2:33" ht="14.4">
      <c r="B383" s="1134">
        <v>5400734</v>
      </c>
      <c r="C383" s="1135"/>
      <c r="D383" s="1134">
        <v>536336</v>
      </c>
      <c r="E383" s="1136">
        <v>42073</v>
      </c>
      <c r="F383" s="1137">
        <v>30000</v>
      </c>
      <c r="G383" s="1134">
        <v>10</v>
      </c>
      <c r="H383" s="1137">
        <v>30200</v>
      </c>
      <c r="I383" s="1134">
        <v>15</v>
      </c>
      <c r="J383" s="1138">
        <v>4576</v>
      </c>
      <c r="K383" s="1139"/>
      <c r="L383" s="1140">
        <v>42205</v>
      </c>
      <c r="M383" s="269">
        <f t="shared" si="96"/>
        <v>3</v>
      </c>
      <c r="N383" s="1141">
        <v>150</v>
      </c>
      <c r="O383" s="1087">
        <f t="shared" si="97"/>
        <v>2711.3600000000006</v>
      </c>
      <c r="P383" s="269">
        <f t="shared" si="95"/>
        <v>1</v>
      </c>
      <c r="Q383" s="269" t="str">
        <f t="shared" si="98"/>
        <v/>
      </c>
      <c r="R383" s="1147"/>
      <c r="S383" s="1143" t="str">
        <f t="shared" si="99"/>
        <v>Upsize</v>
      </c>
      <c r="T383" s="1144">
        <f t="shared" si="100"/>
        <v>2213.2450331125829</v>
      </c>
      <c r="U383" s="1144">
        <f t="shared" si="101"/>
        <v>883.11258278145692</v>
      </c>
      <c r="V383" s="1146">
        <f t="shared" si="102"/>
        <v>10080.433473810957</v>
      </c>
      <c r="W383" s="1146">
        <f t="shared" si="103"/>
        <v>7593.6470588235297</v>
      </c>
      <c r="X383" s="1146">
        <f t="shared" si="104"/>
        <v>2486.7864149874276</v>
      </c>
      <c r="Y383" s="1146">
        <f t="shared" si="105"/>
        <v>7973.5676212012822</v>
      </c>
      <c r="Z383" s="1146">
        <f t="shared" si="106"/>
        <v>7593.6470588235297</v>
      </c>
      <c r="AA383" s="1146">
        <f t="shared" si="107"/>
        <v>379.9205623777525</v>
      </c>
      <c r="AB383" s="1146">
        <f t="shared" si="108"/>
        <v>10147.636363636364</v>
      </c>
      <c r="AC383" s="1146">
        <f t="shared" si="109"/>
        <v>7593.6470588235297</v>
      </c>
      <c r="AD383" s="1146">
        <f t="shared" si="110"/>
        <v>2553.9893048128342</v>
      </c>
      <c r="AE383" s="1146">
        <f t="shared" si="111"/>
        <v>8026.7247386759573</v>
      </c>
      <c r="AF383" s="1146">
        <f t="shared" si="112"/>
        <v>7593.6470588235297</v>
      </c>
      <c r="AG383" s="1146">
        <f t="shared" si="113"/>
        <v>433.07767985242754</v>
      </c>
    </row>
    <row r="384" spans="2:33" ht="14.4">
      <c r="B384" s="1134">
        <v>6524771</v>
      </c>
      <c r="C384" s="1135"/>
      <c r="D384" s="1134">
        <v>610165</v>
      </c>
      <c r="E384" s="1136">
        <v>42132</v>
      </c>
      <c r="F384" s="1137">
        <v>34200</v>
      </c>
      <c r="G384" s="1134">
        <v>10</v>
      </c>
      <c r="H384" s="1137">
        <v>34200</v>
      </c>
      <c r="I384" s="1134">
        <v>17.50</v>
      </c>
      <c r="J384" s="1138">
        <v>11388</v>
      </c>
      <c r="K384" s="1139"/>
      <c r="L384" s="1140">
        <v>42205</v>
      </c>
      <c r="M384" s="269">
        <f t="shared" si="96"/>
        <v>3</v>
      </c>
      <c r="N384" s="1141">
        <v>250</v>
      </c>
      <c r="O384" s="1087">
        <f t="shared" si="97"/>
        <v>4027.7828571428577</v>
      </c>
      <c r="P384" s="269">
        <f t="shared" si="95"/>
        <v>1</v>
      </c>
      <c r="Q384" s="269" t="str">
        <f t="shared" si="98"/>
        <v/>
      </c>
      <c r="R384" s="1147"/>
      <c r="S384" s="1143" t="str">
        <f t="shared" si="99"/>
        <v>Same Size</v>
      </c>
      <c r="T384" s="1144">
        <f t="shared" si="100"/>
        <v>2228</v>
      </c>
      <c r="U384" s="1144">
        <f t="shared" si="101"/>
        <v>889</v>
      </c>
      <c r="V384" s="1146">
        <f t="shared" si="102"/>
        <v>11568.305454545456</v>
      </c>
      <c r="W384" s="1146">
        <f t="shared" si="103"/>
        <v>7931.0662184873954</v>
      </c>
      <c r="X384" s="1146">
        <f t="shared" si="104"/>
        <v>3637.2392360580607</v>
      </c>
      <c r="Y384" s="1146">
        <f t="shared" si="105"/>
        <v>9150.4662020905926</v>
      </c>
      <c r="Z384" s="1146">
        <f t="shared" si="106"/>
        <v>7931.0662184873954</v>
      </c>
      <c r="AA384" s="1146">
        <f t="shared" si="107"/>
        <v>1219.3999836031971</v>
      </c>
      <c r="AB384" s="1146">
        <f t="shared" si="108"/>
        <v>11568.305454545456</v>
      </c>
      <c r="AC384" s="1146">
        <f t="shared" si="109"/>
        <v>7931.0662184873954</v>
      </c>
      <c r="AD384" s="1146">
        <f t="shared" si="110"/>
        <v>3637.2392360580607</v>
      </c>
      <c r="AE384" s="1146">
        <f t="shared" si="111"/>
        <v>9150.4662020905926</v>
      </c>
      <c r="AF384" s="1146">
        <f t="shared" si="112"/>
        <v>7931.0662184873954</v>
      </c>
      <c r="AG384" s="1146">
        <f t="shared" si="113"/>
        <v>1219.3999836031971</v>
      </c>
    </row>
    <row r="385" spans="2:33" ht="14.4">
      <c r="B385" s="1134">
        <v>3079530</v>
      </c>
      <c r="C385" s="1135"/>
      <c r="D385" s="1134">
        <v>307953</v>
      </c>
      <c r="E385" s="1136">
        <v>42164</v>
      </c>
      <c r="F385" s="1137">
        <v>24000</v>
      </c>
      <c r="G385" s="1134">
        <v>10</v>
      </c>
      <c r="H385" s="1137">
        <v>24000</v>
      </c>
      <c r="I385" s="1134">
        <v>17</v>
      </c>
      <c r="J385" s="1138">
        <v>6429</v>
      </c>
      <c r="K385" s="1139"/>
      <c r="L385" s="1140">
        <v>42209</v>
      </c>
      <c r="M385" s="269">
        <f t="shared" si="96"/>
        <v>3</v>
      </c>
      <c r="N385" s="1141">
        <v>175</v>
      </c>
      <c r="O385" s="1087">
        <f t="shared" si="97"/>
        <v>2715.6705882352944</v>
      </c>
      <c r="P385" s="269">
        <f t="shared" si="95"/>
        <v>1</v>
      </c>
      <c r="Q385" s="269" t="str">
        <f t="shared" si="98"/>
        <v/>
      </c>
      <c r="R385" s="1147"/>
      <c r="S385" s="1143" t="str">
        <f t="shared" si="99"/>
        <v>Same Size</v>
      </c>
      <c r="T385" s="1144">
        <f t="shared" si="100"/>
        <v>2228</v>
      </c>
      <c r="U385" s="1144">
        <f t="shared" si="101"/>
        <v>889</v>
      </c>
      <c r="V385" s="1146">
        <f t="shared" si="102"/>
        <v>8118.1090909090908</v>
      </c>
      <c r="W385" s="1146">
        <f t="shared" si="103"/>
        <v>5655.5294117647063</v>
      </c>
      <c r="X385" s="1146">
        <f t="shared" si="104"/>
        <v>2462.5796791443845</v>
      </c>
      <c r="Y385" s="1146">
        <f t="shared" si="105"/>
        <v>6421.3797909407658</v>
      </c>
      <c r="Z385" s="1146">
        <f t="shared" si="106"/>
        <v>5655.5294117647063</v>
      </c>
      <c r="AA385" s="1146">
        <f t="shared" si="107"/>
        <v>765.8503791760595</v>
      </c>
      <c r="AB385" s="1146">
        <f t="shared" si="108"/>
        <v>8118.1090909090908</v>
      </c>
      <c r="AC385" s="1146">
        <f t="shared" si="109"/>
        <v>5655.5294117647063</v>
      </c>
      <c r="AD385" s="1146">
        <f t="shared" si="110"/>
        <v>2462.5796791443845</v>
      </c>
      <c r="AE385" s="1146">
        <f t="shared" si="111"/>
        <v>6421.3797909407658</v>
      </c>
      <c r="AF385" s="1146">
        <f t="shared" si="112"/>
        <v>5655.5294117647063</v>
      </c>
      <c r="AG385" s="1146">
        <f t="shared" si="113"/>
        <v>765.8503791760595</v>
      </c>
    </row>
    <row r="386" spans="2:33" ht="14.4">
      <c r="B386" s="1134">
        <v>3079530</v>
      </c>
      <c r="C386" s="1135"/>
      <c r="D386" s="1134">
        <v>307953</v>
      </c>
      <c r="E386" s="1136">
        <v>42164</v>
      </c>
      <c r="F386" s="1137">
        <v>48000</v>
      </c>
      <c r="G386" s="1134">
        <v>10</v>
      </c>
      <c r="H386" s="1137">
        <v>47000</v>
      </c>
      <c r="I386" s="1134">
        <v>16</v>
      </c>
      <c r="J386" s="1138">
        <v>7233</v>
      </c>
      <c r="K386" s="1139"/>
      <c r="L386" s="1140">
        <v>42209</v>
      </c>
      <c r="M386" s="269">
        <f t="shared" si="96"/>
        <v>3</v>
      </c>
      <c r="N386" s="1141">
        <v>300</v>
      </c>
      <c r="O386" s="1087">
        <f t="shared" si="97"/>
        <v>5118.1500000000005</v>
      </c>
      <c r="P386" s="269">
        <f t="shared" si="95"/>
        <v>1</v>
      </c>
      <c r="Q386" s="269" t="str">
        <f t="shared" si="98"/>
        <v/>
      </c>
      <c r="R386" s="1147"/>
      <c r="S386" s="1143" t="str">
        <f t="shared" si="99"/>
        <v>Downsize</v>
      </c>
      <c r="T386" s="1144">
        <f t="shared" si="100"/>
        <v>2275.4042553191489</v>
      </c>
      <c r="U386" s="1144">
        <f t="shared" si="101"/>
        <v>907.91489361702122</v>
      </c>
      <c r="V386" s="1146">
        <f t="shared" si="102"/>
        <v>16581.669632495163</v>
      </c>
      <c r="W386" s="1146">
        <f t="shared" si="103"/>
        <v>11704.235294117647</v>
      </c>
      <c r="X386" s="1146">
        <f t="shared" si="104"/>
        <v>4877.4343383775158</v>
      </c>
      <c r="Y386" s="1146">
        <f t="shared" si="105"/>
        <v>13116.009785751354</v>
      </c>
      <c r="Z386" s="1146">
        <f t="shared" si="106"/>
        <v>11704.235294117647</v>
      </c>
      <c r="AA386" s="1146">
        <f t="shared" si="107"/>
        <v>1411.7744916337069</v>
      </c>
      <c r="AB386" s="1146">
        <f t="shared" si="108"/>
        <v>16236.218181818182</v>
      </c>
      <c r="AC386" s="1146">
        <f t="shared" si="109"/>
        <v>11704.235294117647</v>
      </c>
      <c r="AD386" s="1146">
        <f t="shared" si="110"/>
        <v>4531.9828877005348</v>
      </c>
      <c r="AE386" s="1146">
        <f t="shared" si="111"/>
        <v>12842.759581881533</v>
      </c>
      <c r="AF386" s="1146">
        <f t="shared" si="112"/>
        <v>11704.235294117647</v>
      </c>
      <c r="AG386" s="1146">
        <f t="shared" si="113"/>
        <v>1138.5242877638866</v>
      </c>
    </row>
    <row r="387" spans="2:33" ht="14.4">
      <c r="B387" s="1134">
        <v>3554102</v>
      </c>
      <c r="C387" s="1135"/>
      <c r="D387" s="1134">
        <v>337383</v>
      </c>
      <c r="E387" s="1136">
        <v>42153</v>
      </c>
      <c r="F387" s="1137">
        <v>42000</v>
      </c>
      <c r="G387" s="1134">
        <v>12</v>
      </c>
      <c r="H387" s="1137">
        <v>43500</v>
      </c>
      <c r="I387" s="1134">
        <v>15.50</v>
      </c>
      <c r="J387" s="1138">
        <v>5268</v>
      </c>
      <c r="K387" s="1139"/>
      <c r="L387" s="1140">
        <v>42209</v>
      </c>
      <c r="M387" s="269">
        <f t="shared" si="96"/>
        <v>3</v>
      </c>
      <c r="N387" s="1141">
        <v>225</v>
      </c>
      <c r="O387" s="1087">
        <f t="shared" si="97"/>
        <v>1905.8709677419356</v>
      </c>
      <c r="P387" s="269">
        <f t="shared" si="95"/>
        <v>1</v>
      </c>
      <c r="Q387" s="269" t="str">
        <f t="shared" si="98"/>
        <v/>
      </c>
      <c r="R387" s="1147"/>
      <c r="S387" s="1143" t="str">
        <f t="shared" si="99"/>
        <v>Upsize</v>
      </c>
      <c r="T387" s="1144">
        <f t="shared" si="100"/>
        <v>2151.1724137931037</v>
      </c>
      <c r="U387" s="1144">
        <f t="shared" si="101"/>
        <v>858.34482758620697</v>
      </c>
      <c r="V387" s="1146">
        <f t="shared" si="102"/>
        <v>12210.984326018808</v>
      </c>
      <c r="W387" s="1146">
        <f t="shared" si="103"/>
        <v>10429.867172675524</v>
      </c>
      <c r="X387" s="1146">
        <f t="shared" si="104"/>
        <v>1781.1171533432844</v>
      </c>
      <c r="Y387" s="1146">
        <f t="shared" si="105"/>
        <v>10849.917577796468</v>
      </c>
      <c r="Z387" s="1146">
        <f t="shared" si="106"/>
        <v>10429.867172675524</v>
      </c>
      <c r="AA387" s="1146">
        <f t="shared" si="107"/>
        <v>420.05040512094456</v>
      </c>
      <c r="AB387" s="1146">
        <f t="shared" si="108"/>
        <v>12647.090909090908</v>
      </c>
      <c r="AC387" s="1146">
        <f t="shared" si="109"/>
        <v>10429.867172675524</v>
      </c>
      <c r="AD387" s="1146">
        <f t="shared" si="110"/>
        <v>2217.2237364153843</v>
      </c>
      <c r="AE387" s="1146">
        <f t="shared" si="111"/>
        <v>11237.414634146342</v>
      </c>
      <c r="AF387" s="1146">
        <f t="shared" si="112"/>
        <v>10429.867172675524</v>
      </c>
      <c r="AG387" s="1146">
        <f t="shared" si="113"/>
        <v>807.54746147081823</v>
      </c>
    </row>
    <row r="388" spans="2:33" ht="14.4">
      <c r="B388" s="1134">
        <v>1450527</v>
      </c>
      <c r="C388" s="1135"/>
      <c r="D388" s="1134">
        <v>145052</v>
      </c>
      <c r="E388" s="1136">
        <v>42166</v>
      </c>
      <c r="F388" s="1137">
        <v>48000</v>
      </c>
      <c r="G388" s="1134">
        <v>12</v>
      </c>
      <c r="H388" s="1137">
        <v>48000</v>
      </c>
      <c r="I388" s="1134">
        <v>20.50</v>
      </c>
      <c r="J388" s="1138">
        <v>14051</v>
      </c>
      <c r="K388" s="1139"/>
      <c r="L388" s="1140">
        <v>42209</v>
      </c>
      <c r="M388" s="269">
        <f t="shared" si="96"/>
        <v>3</v>
      </c>
      <c r="N388" s="1141">
        <v>400</v>
      </c>
      <c r="O388" s="1087">
        <f t="shared" si="97"/>
        <v>4557.6585365853662</v>
      </c>
      <c r="P388" s="269">
        <f t="shared" si="95"/>
        <v>1</v>
      </c>
      <c r="Q388" s="269" t="str">
        <f t="shared" si="98"/>
        <v/>
      </c>
      <c r="R388" s="1147"/>
      <c r="S388" s="1143" t="str">
        <f t="shared" si="99"/>
        <v>Same Size</v>
      </c>
      <c r="T388" s="1144">
        <f t="shared" si="100"/>
        <v>2228</v>
      </c>
      <c r="U388" s="1144">
        <f t="shared" si="101"/>
        <v>889</v>
      </c>
      <c r="V388" s="1146">
        <f t="shared" si="102"/>
        <v>14453.818181818182</v>
      </c>
      <c r="W388" s="1146">
        <f t="shared" si="103"/>
        <v>10237.015781922526</v>
      </c>
      <c r="X388" s="1146">
        <f t="shared" si="104"/>
        <v>4216.802399895656</v>
      </c>
      <c r="Y388" s="1146">
        <f t="shared" si="105"/>
        <v>12842.759581881532</v>
      </c>
      <c r="Z388" s="1146">
        <f t="shared" si="106"/>
        <v>10237.015781922526</v>
      </c>
      <c r="AA388" s="1146">
        <f t="shared" si="107"/>
        <v>2605.7437999590056</v>
      </c>
      <c r="AB388" s="1146">
        <f t="shared" si="108"/>
        <v>14453.818181818182</v>
      </c>
      <c r="AC388" s="1146">
        <f t="shared" si="109"/>
        <v>10237.015781922526</v>
      </c>
      <c r="AD388" s="1146">
        <f t="shared" si="110"/>
        <v>4216.802399895656</v>
      </c>
      <c r="AE388" s="1146">
        <f t="shared" si="111"/>
        <v>12842.759581881532</v>
      </c>
      <c r="AF388" s="1146">
        <f t="shared" si="112"/>
        <v>10237.015781922526</v>
      </c>
      <c r="AG388" s="1146">
        <f t="shared" si="113"/>
        <v>2605.7437999590056</v>
      </c>
    </row>
    <row r="389" spans="2:33" ht="14.4">
      <c r="B389" s="1134">
        <v>3084993</v>
      </c>
      <c r="C389" s="1135"/>
      <c r="D389" s="1134">
        <v>308499</v>
      </c>
      <c r="E389" s="1136">
        <v>42180</v>
      </c>
      <c r="F389" s="1137">
        <v>48000</v>
      </c>
      <c r="G389" s="1134">
        <v>10</v>
      </c>
      <c r="H389" s="1137">
        <v>49000</v>
      </c>
      <c r="I389" s="1134">
        <v>15</v>
      </c>
      <c r="J389" s="1138">
        <v>5761</v>
      </c>
      <c r="K389" s="1139"/>
      <c r="L389" s="1140">
        <v>42209</v>
      </c>
      <c r="M389" s="269">
        <f t="shared" si="96"/>
        <v>3</v>
      </c>
      <c r="N389" s="1141">
        <v>250</v>
      </c>
      <c r="O389" s="1087">
        <f t="shared" si="97"/>
        <v>4213.6000000000004</v>
      </c>
      <c r="P389" s="269">
        <f t="shared" si="95"/>
        <v>1</v>
      </c>
      <c r="Q389" s="269" t="str">
        <f t="shared" si="98"/>
        <v/>
      </c>
      <c r="R389" s="1147"/>
      <c r="S389" s="1143" t="str">
        <f t="shared" si="99"/>
        <v>Upsize</v>
      </c>
      <c r="T389" s="1144">
        <f t="shared" si="100"/>
        <v>2182.5306122448978</v>
      </c>
      <c r="U389" s="1144">
        <f t="shared" si="101"/>
        <v>870.85714285714289</v>
      </c>
      <c r="V389" s="1146">
        <f t="shared" si="102"/>
        <v>15904.866790352506</v>
      </c>
      <c r="W389" s="1146">
        <f t="shared" si="103"/>
        <v>12149.835294117647</v>
      </c>
      <c r="X389" s="1146">
        <f t="shared" si="104"/>
        <v>3755.0314962348584</v>
      </c>
      <c r="Y389" s="1146">
        <f t="shared" si="105"/>
        <v>12580.662447557423</v>
      </c>
      <c r="Z389" s="1146">
        <f t="shared" si="106"/>
        <v>12149.835294117647</v>
      </c>
      <c r="AA389" s="1146">
        <f t="shared" si="107"/>
        <v>430.82715343977543</v>
      </c>
      <c r="AB389" s="1146">
        <f t="shared" si="108"/>
        <v>16236.218181818182</v>
      </c>
      <c r="AC389" s="1146">
        <f t="shared" si="109"/>
        <v>12149.835294117647</v>
      </c>
      <c r="AD389" s="1146">
        <f t="shared" si="110"/>
        <v>4086.3828877005344</v>
      </c>
      <c r="AE389" s="1146">
        <f t="shared" si="111"/>
        <v>12842.759581881535</v>
      </c>
      <c r="AF389" s="1146">
        <f t="shared" si="112"/>
        <v>12149.835294117647</v>
      </c>
      <c r="AG389" s="1146">
        <f t="shared" si="113"/>
        <v>692.92428776388806</v>
      </c>
    </row>
    <row r="390" spans="2:33" ht="14.4">
      <c r="B390" s="1134">
        <v>7690621</v>
      </c>
      <c r="C390" s="1135"/>
      <c r="D390" s="1134">
        <v>583784</v>
      </c>
      <c r="E390" s="1136">
        <v>42196</v>
      </c>
      <c r="F390" s="1137">
        <v>48000</v>
      </c>
      <c r="G390" s="1134">
        <v>10</v>
      </c>
      <c r="H390" s="1137">
        <v>59000</v>
      </c>
      <c r="I390" s="1134">
        <v>15</v>
      </c>
      <c r="J390" s="1138">
        <v>6200</v>
      </c>
      <c r="K390" s="1139"/>
      <c r="L390" s="1140">
        <v>42209</v>
      </c>
      <c r="M390" s="269">
        <f t="shared" si="96"/>
        <v>3</v>
      </c>
      <c r="N390" s="1141">
        <v>325</v>
      </c>
      <c r="O390" s="1087">
        <f t="shared" si="97"/>
        <v>2381.60</v>
      </c>
      <c r="P390" s="269">
        <f t="shared" si="95"/>
        <v>1</v>
      </c>
      <c r="Q390" s="269" t="str">
        <f t="shared" si="98"/>
        <v/>
      </c>
      <c r="R390" s="1147"/>
      <c r="S390" s="1143" t="str">
        <f t="shared" si="99"/>
        <v>Upsize</v>
      </c>
      <c r="T390" s="1144">
        <f t="shared" si="100"/>
        <v>1812.6101694915255</v>
      </c>
      <c r="U390" s="1144">
        <f t="shared" si="101"/>
        <v>723.25423728813564</v>
      </c>
      <c r="V390" s="1146">
        <f t="shared" si="102"/>
        <v>13209.126656394454</v>
      </c>
      <c r="W390" s="1146">
        <f t="shared" si="103"/>
        <v>12149.835294117647</v>
      </c>
      <c r="X390" s="1146">
        <f t="shared" si="104"/>
        <v>1059.2913622768065</v>
      </c>
      <c r="Y390" s="1146">
        <f t="shared" si="105"/>
        <v>10448.346778479892</v>
      </c>
      <c r="Z390" s="1146">
        <f t="shared" si="106"/>
        <v>12149.835294117647</v>
      </c>
      <c r="AA390" s="1146">
        <f t="shared" si="107"/>
        <v>-1701.488515637755</v>
      </c>
      <c r="AB390" s="1146">
        <f t="shared" si="108"/>
        <v>16236.218181818183</v>
      </c>
      <c r="AC390" s="1146">
        <f t="shared" si="109"/>
        <v>12149.835294117647</v>
      </c>
      <c r="AD390" s="1146">
        <f t="shared" si="110"/>
        <v>4086.3828877005362</v>
      </c>
      <c r="AE390" s="1146">
        <f t="shared" si="111"/>
        <v>12842.759581881535</v>
      </c>
      <c r="AF390" s="1146">
        <f t="shared" si="112"/>
        <v>12149.835294117647</v>
      </c>
      <c r="AG390" s="1146">
        <f t="shared" si="113"/>
        <v>692.92428776388806</v>
      </c>
    </row>
    <row r="391" spans="2:33" ht="14.4">
      <c r="B391" s="1134">
        <v>5103387</v>
      </c>
      <c r="C391" s="1135"/>
      <c r="D391" s="1134">
        <v>391594</v>
      </c>
      <c r="E391" s="1136">
        <v>42123</v>
      </c>
      <c r="F391" s="1137">
        <v>60000</v>
      </c>
      <c r="G391" s="1134">
        <v>12</v>
      </c>
      <c r="H391" s="1137">
        <v>59000</v>
      </c>
      <c r="I391" s="1134">
        <v>15</v>
      </c>
      <c r="J391" s="1138">
        <v>6739</v>
      </c>
      <c r="K391" s="1139"/>
      <c r="L391" s="1140">
        <v>42209</v>
      </c>
      <c r="M391" s="269">
        <f t="shared" si="96"/>
        <v>3</v>
      </c>
      <c r="N391" s="1141">
        <v>325</v>
      </c>
      <c r="O391" s="1087">
        <f t="shared" si="97"/>
        <v>2931.20</v>
      </c>
      <c r="P391" s="269">
        <f t="shared" si="95"/>
        <v>1</v>
      </c>
      <c r="Q391" s="269" t="str">
        <f t="shared" si="98"/>
        <v/>
      </c>
      <c r="R391" s="1147"/>
      <c r="S391" s="1143" t="str">
        <f t="shared" si="99"/>
        <v>Downsize</v>
      </c>
      <c r="T391" s="1144">
        <f t="shared" si="100"/>
        <v>2265.7627118644068</v>
      </c>
      <c r="U391" s="1144">
        <f t="shared" si="101"/>
        <v>904.06779661016947</v>
      </c>
      <c r="V391" s="1146">
        <f t="shared" si="102"/>
        <v>18373.497688751926</v>
      </c>
      <c r="W391" s="1146">
        <f t="shared" si="103"/>
        <v>15187.29411764706</v>
      </c>
      <c r="X391" s="1146">
        <f t="shared" si="104"/>
        <v>3186.2035711048666</v>
      </c>
      <c r="Y391" s="1146">
        <f t="shared" si="105"/>
        <v>16325.54184137483</v>
      </c>
      <c r="Z391" s="1146">
        <f t="shared" si="106"/>
        <v>15187.29411764706</v>
      </c>
      <c r="AA391" s="1146">
        <f t="shared" si="107"/>
        <v>1138.2477237277708</v>
      </c>
      <c r="AB391" s="1146">
        <f t="shared" si="108"/>
        <v>18067.272727272728</v>
      </c>
      <c r="AC391" s="1146">
        <f t="shared" si="109"/>
        <v>15187.29411764706</v>
      </c>
      <c r="AD391" s="1146">
        <f t="shared" si="110"/>
        <v>2879.9786096256685</v>
      </c>
      <c r="AE391" s="1146">
        <f t="shared" si="111"/>
        <v>16053.449477351916</v>
      </c>
      <c r="AF391" s="1146">
        <f t="shared" si="112"/>
        <v>15187.29411764706</v>
      </c>
      <c r="AG391" s="1146">
        <f t="shared" si="113"/>
        <v>866.15535970485689</v>
      </c>
    </row>
    <row r="392" spans="2:33" ht="14.4">
      <c r="B392" s="1134">
        <v>8880590</v>
      </c>
      <c r="C392" s="1135"/>
      <c r="D392" s="1134">
        <v>658294</v>
      </c>
      <c r="E392" s="1136">
        <v>42177</v>
      </c>
      <c r="F392" s="1137">
        <v>48000</v>
      </c>
      <c r="G392" s="1134">
        <v>12</v>
      </c>
      <c r="H392" s="1137">
        <v>47500</v>
      </c>
      <c r="I392" s="1134">
        <v>17</v>
      </c>
      <c r="J392" s="1138">
        <v>12405</v>
      </c>
      <c r="K392" s="1139"/>
      <c r="L392" s="1140">
        <v>42209</v>
      </c>
      <c r="M392" s="269">
        <f t="shared" si="96"/>
        <v>3</v>
      </c>
      <c r="N392" s="1141">
        <v>325</v>
      </c>
      <c r="O392" s="1087">
        <f t="shared" si="97"/>
        <v>3313.7647058823536</v>
      </c>
      <c r="P392" s="269">
        <f t="shared" si="95"/>
        <v>1</v>
      </c>
      <c r="Q392" s="269" t="str">
        <f t="shared" si="98"/>
        <v/>
      </c>
      <c r="R392" s="1147"/>
      <c r="S392" s="1143" t="str">
        <f t="shared" si="99"/>
        <v>Downsize</v>
      </c>
      <c r="T392" s="1144">
        <f t="shared" si="100"/>
        <v>2251.4526315789476</v>
      </c>
      <c r="U392" s="1144">
        <f t="shared" si="101"/>
        <v>898.35789473684213</v>
      </c>
      <c r="V392" s="1146">
        <f t="shared" si="102"/>
        <v>14605.963636363638</v>
      </c>
      <c r="W392" s="1146">
        <f t="shared" si="103"/>
        <v>11311.058823529413</v>
      </c>
      <c r="X392" s="1146">
        <f t="shared" si="104"/>
        <v>3294.9048128342256</v>
      </c>
      <c r="Y392" s="1146">
        <f t="shared" si="105"/>
        <v>12977.946524848709</v>
      </c>
      <c r="Z392" s="1146">
        <f t="shared" si="106"/>
        <v>11311.058823529413</v>
      </c>
      <c r="AA392" s="1146">
        <f t="shared" si="107"/>
        <v>1666.887701319296</v>
      </c>
      <c r="AB392" s="1146">
        <f t="shared" si="108"/>
        <v>14453.818181818182</v>
      </c>
      <c r="AC392" s="1146">
        <f t="shared" si="109"/>
        <v>11311.058823529413</v>
      </c>
      <c r="AD392" s="1146">
        <f t="shared" si="110"/>
        <v>3142.7593582887694</v>
      </c>
      <c r="AE392" s="1146">
        <f t="shared" si="111"/>
        <v>12842.759581881535</v>
      </c>
      <c r="AF392" s="1146">
        <f t="shared" si="112"/>
        <v>11311.058823529413</v>
      </c>
      <c r="AG392" s="1146">
        <f t="shared" si="113"/>
        <v>1531.7007583521227</v>
      </c>
    </row>
    <row r="393" spans="2:33" ht="14.4">
      <c r="B393" s="1134">
        <v>8441925</v>
      </c>
      <c r="C393" s="1135"/>
      <c r="D393" s="1134">
        <v>445312</v>
      </c>
      <c r="E393" s="1136">
        <v>42181</v>
      </c>
      <c r="F393" s="1137">
        <v>60000</v>
      </c>
      <c r="G393" s="1134">
        <v>10</v>
      </c>
      <c r="H393" s="1137">
        <v>58000</v>
      </c>
      <c r="I393" s="1134">
        <v>15</v>
      </c>
      <c r="J393" s="1138">
        <v>4350</v>
      </c>
      <c r="K393" s="1139"/>
      <c r="L393" s="1140">
        <v>42209</v>
      </c>
      <c r="M393" s="269">
        <f t="shared" si="96"/>
        <v>3</v>
      </c>
      <c r="N393" s="1141">
        <v>325</v>
      </c>
      <c r="O393" s="1087">
        <f t="shared" si="97"/>
        <v>5862.40</v>
      </c>
      <c r="P393" s="269">
        <f t="shared" si="95"/>
        <v>1</v>
      </c>
      <c r="Q393" s="269" t="str">
        <f t="shared" si="98"/>
        <v/>
      </c>
      <c r="R393" s="1147"/>
      <c r="S393" s="1143" t="str">
        <f t="shared" si="99"/>
        <v>Downsize</v>
      </c>
      <c r="T393" s="1144">
        <f t="shared" si="100"/>
        <v>2304.8275862068967</v>
      </c>
      <c r="U393" s="1144">
        <f t="shared" si="101"/>
        <v>919.65517241379314</v>
      </c>
      <c r="V393" s="1146">
        <f t="shared" si="102"/>
        <v>20995.109717868338</v>
      </c>
      <c r="W393" s="1146">
        <f t="shared" si="103"/>
        <v>15187.29411764706</v>
      </c>
      <c r="X393" s="1146">
        <f t="shared" si="104"/>
        <v>5807.8156002212781</v>
      </c>
      <c r="Y393" s="1146">
        <f t="shared" si="105"/>
        <v>16607.016700708882</v>
      </c>
      <c r="Z393" s="1146">
        <f t="shared" si="106"/>
        <v>15187.29411764706</v>
      </c>
      <c r="AA393" s="1146">
        <f t="shared" si="107"/>
        <v>1419.7225830618227</v>
      </c>
      <c r="AB393" s="1146">
        <f t="shared" si="108"/>
        <v>20295.272727272728</v>
      </c>
      <c r="AC393" s="1146">
        <f t="shared" si="109"/>
        <v>15187.29411764706</v>
      </c>
      <c r="AD393" s="1146">
        <f t="shared" si="110"/>
        <v>5107.9786096256685</v>
      </c>
      <c r="AE393" s="1146">
        <f t="shared" si="111"/>
        <v>16053.449477351918</v>
      </c>
      <c r="AF393" s="1146">
        <f t="shared" si="112"/>
        <v>15187.29411764706</v>
      </c>
      <c r="AG393" s="1146">
        <f t="shared" si="113"/>
        <v>866.15535970485871</v>
      </c>
    </row>
    <row r="394" spans="2:33" ht="14.4">
      <c r="B394" s="1134">
        <v>3558806</v>
      </c>
      <c r="C394" s="1135"/>
      <c r="D394" s="1134">
        <v>163247</v>
      </c>
      <c r="E394" s="1136">
        <v>42150</v>
      </c>
      <c r="F394" s="1137">
        <v>36000</v>
      </c>
      <c r="G394" s="1134">
        <v>8</v>
      </c>
      <c r="H394" s="1137">
        <v>35400</v>
      </c>
      <c r="I394" s="1134">
        <v>20</v>
      </c>
      <c r="J394" s="1138">
        <v>11328</v>
      </c>
      <c r="K394" s="1139"/>
      <c r="L394" s="1140">
        <v>42209</v>
      </c>
      <c r="M394" s="269">
        <f t="shared" si="96"/>
        <v>3</v>
      </c>
      <c r="N394" s="1141">
        <v>300</v>
      </c>
      <c r="O394" s="1087">
        <f t="shared" si="97"/>
        <v>7502.0400000000009</v>
      </c>
      <c r="P394" s="269">
        <f t="shared" si="95"/>
        <v>1</v>
      </c>
      <c r="Q394" s="269" t="str">
        <f t="shared" si="98"/>
        <v/>
      </c>
      <c r="R394" s="1147"/>
      <c r="S394" s="1143" t="str">
        <f t="shared" si="99"/>
        <v>Downsize</v>
      </c>
      <c r="T394" s="1144">
        <f t="shared" si="100"/>
        <v>2265.7627118644068</v>
      </c>
      <c r="U394" s="1144">
        <f t="shared" si="101"/>
        <v>904.06779661016947</v>
      </c>
      <c r="V394" s="1146">
        <f t="shared" si="102"/>
        <v>14422.742681047765</v>
      </c>
      <c r="W394" s="1146">
        <f t="shared" si="103"/>
        <v>7775.5764705882348</v>
      </c>
      <c r="X394" s="1146">
        <f t="shared" si="104"/>
        <v>6647.1662104595298</v>
      </c>
      <c r="Y394" s="1146">
        <f t="shared" si="105"/>
        <v>9795.3251048248985</v>
      </c>
      <c r="Z394" s="1146">
        <f t="shared" si="106"/>
        <v>7775.5764705882348</v>
      </c>
      <c r="AA394" s="1146">
        <f t="shared" si="107"/>
        <v>2019.7486342366638</v>
      </c>
      <c r="AB394" s="1146">
        <f t="shared" si="108"/>
        <v>14182.363636363634</v>
      </c>
      <c r="AC394" s="1146">
        <f t="shared" si="109"/>
        <v>7775.5764705882348</v>
      </c>
      <c r="AD394" s="1146">
        <f t="shared" si="110"/>
        <v>6406.7871657753994</v>
      </c>
      <c r="AE394" s="1146">
        <f t="shared" si="111"/>
        <v>9632.0696864111487</v>
      </c>
      <c r="AF394" s="1146">
        <f t="shared" si="112"/>
        <v>7775.5764705882348</v>
      </c>
      <c r="AG394" s="1146">
        <f t="shared" si="113"/>
        <v>1856.493215822914</v>
      </c>
    </row>
    <row r="395" spans="2:33" ht="14.4">
      <c r="B395" s="1134">
        <v>7484108</v>
      </c>
      <c r="C395" s="1135"/>
      <c r="D395" s="1134">
        <v>509265</v>
      </c>
      <c r="E395" s="1136">
        <v>42167</v>
      </c>
      <c r="F395" s="1137">
        <v>57000</v>
      </c>
      <c r="G395" s="1134">
        <v>10</v>
      </c>
      <c r="H395" s="1137">
        <v>57000</v>
      </c>
      <c r="I395" s="1134">
        <v>15</v>
      </c>
      <c r="J395" s="1138">
        <v>6335</v>
      </c>
      <c r="K395" s="1139"/>
      <c r="L395" s="1140">
        <v>42209</v>
      </c>
      <c r="M395" s="269">
        <f t="shared" si="96"/>
        <v>3</v>
      </c>
      <c r="N395" s="1141">
        <v>325</v>
      </c>
      <c r="O395" s="1087">
        <f t="shared" si="97"/>
        <v>5221.2000000000007</v>
      </c>
      <c r="P395" s="269">
        <f t="shared" si="95"/>
        <v>1</v>
      </c>
      <c r="Q395" s="269" t="str">
        <f t="shared" si="98"/>
        <v/>
      </c>
      <c r="R395" s="1147"/>
      <c r="S395" s="1143" t="str">
        <f t="shared" si="99"/>
        <v>Same Size</v>
      </c>
      <c r="T395" s="1144">
        <f t="shared" si="100"/>
        <v>2228</v>
      </c>
      <c r="U395" s="1144">
        <f t="shared" si="101"/>
        <v>889</v>
      </c>
      <c r="V395" s="1146">
        <f t="shared" si="102"/>
        <v>19280.50909090909</v>
      </c>
      <c r="W395" s="1146">
        <f t="shared" si="103"/>
        <v>14427.929411764706</v>
      </c>
      <c r="X395" s="1146">
        <f t="shared" si="104"/>
        <v>4852.5796791443845</v>
      </c>
      <c r="Y395" s="1146">
        <f t="shared" si="105"/>
        <v>15250.77700348432</v>
      </c>
      <c r="Z395" s="1146">
        <f t="shared" si="106"/>
        <v>14427.929411764706</v>
      </c>
      <c r="AA395" s="1146">
        <f t="shared" si="107"/>
        <v>822.84759171961377</v>
      </c>
      <c r="AB395" s="1146">
        <f t="shared" si="108"/>
        <v>19280.50909090909</v>
      </c>
      <c r="AC395" s="1146">
        <f t="shared" si="109"/>
        <v>14427.929411764706</v>
      </c>
      <c r="AD395" s="1146">
        <f t="shared" si="110"/>
        <v>4852.5796791443845</v>
      </c>
      <c r="AE395" s="1146">
        <f t="shared" si="111"/>
        <v>15250.77700348432</v>
      </c>
      <c r="AF395" s="1146">
        <f t="shared" si="112"/>
        <v>14427.929411764706</v>
      </c>
      <c r="AG395" s="1146">
        <f t="shared" si="113"/>
        <v>822.84759171961377</v>
      </c>
    </row>
    <row r="396" spans="2:33" ht="14.4">
      <c r="B396" s="1134">
        <v>6281729</v>
      </c>
      <c r="C396" s="1135"/>
      <c r="D396" s="1134">
        <v>610222</v>
      </c>
      <c r="E396" s="1136">
        <v>42187</v>
      </c>
      <c r="F396" s="1137">
        <v>24000</v>
      </c>
      <c r="G396" s="1134">
        <v>12</v>
      </c>
      <c r="H396" s="1137">
        <v>24200</v>
      </c>
      <c r="I396" s="1134">
        <v>16</v>
      </c>
      <c r="J396" s="1138">
        <v>8116</v>
      </c>
      <c r="K396" s="1139"/>
      <c r="L396" s="1140">
        <v>42209</v>
      </c>
      <c r="M396" s="269">
        <f t="shared" si="96"/>
        <v>3</v>
      </c>
      <c r="N396" s="1141">
        <v>150</v>
      </c>
      <c r="O396" s="1087">
        <f t="shared" si="97"/>
        <v>1339.65</v>
      </c>
      <c r="P396" s="269">
        <f t="shared" si="95"/>
        <v>1</v>
      </c>
      <c r="Q396" s="269" t="str">
        <f t="shared" si="98"/>
        <v/>
      </c>
      <c r="R396" s="1147"/>
      <c r="S396" s="1143" t="str">
        <f t="shared" si="99"/>
        <v>Upsize</v>
      </c>
      <c r="T396" s="1144">
        <f t="shared" si="100"/>
        <v>2209.586776859504</v>
      </c>
      <c r="U396" s="1144">
        <f t="shared" si="101"/>
        <v>881.65289256198355</v>
      </c>
      <c r="V396" s="1146">
        <f t="shared" si="102"/>
        <v>7167.1825694966192</v>
      </c>
      <c r="W396" s="1146">
        <f t="shared" si="103"/>
        <v>5852.1176470588234</v>
      </c>
      <c r="X396" s="1146">
        <f t="shared" si="104"/>
        <v>1315.0649224377958</v>
      </c>
      <c r="Y396" s="1146">
        <f t="shared" si="105"/>
        <v>6368.3105364701823</v>
      </c>
      <c r="Z396" s="1146">
        <f t="shared" si="106"/>
        <v>5852.1176470588234</v>
      </c>
      <c r="AA396" s="1146">
        <f t="shared" si="107"/>
        <v>516.19288941135892</v>
      </c>
      <c r="AB396" s="1146">
        <f t="shared" si="108"/>
        <v>7226.9090909090901</v>
      </c>
      <c r="AC396" s="1146">
        <f t="shared" si="109"/>
        <v>5852.1176470588234</v>
      </c>
      <c r="AD396" s="1146">
        <f t="shared" si="110"/>
        <v>1374.7914438502667</v>
      </c>
      <c r="AE396" s="1146">
        <f t="shared" si="111"/>
        <v>6421.3797909407667</v>
      </c>
      <c r="AF396" s="1146">
        <f t="shared" si="112"/>
        <v>5852.1176470588234</v>
      </c>
      <c r="AG396" s="1146">
        <f t="shared" si="113"/>
        <v>569.2621438819433</v>
      </c>
    </row>
    <row r="397" spans="2:33" ht="14.4">
      <c r="B397" s="1134">
        <v>8144693</v>
      </c>
      <c r="C397" s="1135"/>
      <c r="D397" s="1134">
        <v>561903</v>
      </c>
      <c r="E397" s="1136">
        <v>42181</v>
      </c>
      <c r="F397" s="1137">
        <v>48000</v>
      </c>
      <c r="G397" s="1134">
        <v>10</v>
      </c>
      <c r="H397" s="1137">
        <v>46500</v>
      </c>
      <c r="I397" s="1134">
        <v>15</v>
      </c>
      <c r="J397" s="1138">
        <v>5799</v>
      </c>
      <c r="K397" s="1139"/>
      <c r="L397" s="1140">
        <v>42209</v>
      </c>
      <c r="M397" s="269">
        <f t="shared" si="96"/>
        <v>3</v>
      </c>
      <c r="N397" s="1141">
        <v>250</v>
      </c>
      <c r="O397" s="1087">
        <f t="shared" si="97"/>
        <v>4671.6000000000004</v>
      </c>
      <c r="P397" s="269">
        <f t="shared" si="95"/>
        <v>1</v>
      </c>
      <c r="Q397" s="269" t="str">
        <f t="shared" si="98"/>
        <v/>
      </c>
      <c r="R397" s="1147"/>
      <c r="S397" s="1143" t="str">
        <f t="shared" si="99"/>
        <v>Downsize</v>
      </c>
      <c r="T397" s="1144">
        <f t="shared" si="100"/>
        <v>2299.8709677419356</v>
      </c>
      <c r="U397" s="1144">
        <f t="shared" si="101"/>
        <v>917.67741935483866</v>
      </c>
      <c r="V397" s="1146">
        <f t="shared" si="102"/>
        <v>16759.96715542522</v>
      </c>
      <c r="W397" s="1146">
        <f t="shared" si="103"/>
        <v>12149.835294117649</v>
      </c>
      <c r="X397" s="1146">
        <f t="shared" si="104"/>
        <v>4610.1318613075709</v>
      </c>
      <c r="Y397" s="1146">
        <f t="shared" si="105"/>
        <v>13257.042149039004</v>
      </c>
      <c r="Z397" s="1146">
        <f t="shared" si="106"/>
        <v>12149.835294117649</v>
      </c>
      <c r="AA397" s="1146">
        <f t="shared" si="107"/>
        <v>1107.2068549213545</v>
      </c>
      <c r="AB397" s="1146">
        <f t="shared" si="108"/>
        <v>16236.218181818183</v>
      </c>
      <c r="AC397" s="1146">
        <f t="shared" si="109"/>
        <v>12149.835294117649</v>
      </c>
      <c r="AD397" s="1146">
        <f t="shared" si="110"/>
        <v>4086.3828877005344</v>
      </c>
      <c r="AE397" s="1146">
        <f t="shared" si="111"/>
        <v>12842.759581881533</v>
      </c>
      <c r="AF397" s="1146">
        <f t="shared" si="112"/>
        <v>12149.835294117649</v>
      </c>
      <c r="AG397" s="1146">
        <f t="shared" si="113"/>
        <v>692.92428776388442</v>
      </c>
    </row>
    <row r="398" spans="2:33" ht="14.4">
      <c r="B398" s="1134">
        <v>8930962</v>
      </c>
      <c r="C398" s="1135"/>
      <c r="D398" s="1134"/>
      <c r="E398" s="1136">
        <v>42188</v>
      </c>
      <c r="F398" s="1137">
        <v>48000</v>
      </c>
      <c r="G398" s="1134">
        <v>10</v>
      </c>
      <c r="H398" s="1137">
        <v>46500</v>
      </c>
      <c r="I398" s="1134">
        <v>15</v>
      </c>
      <c r="J398" s="1138">
        <v>5943</v>
      </c>
      <c r="K398" s="1139"/>
      <c r="L398" s="1140">
        <v>42209</v>
      </c>
      <c r="M398" s="269">
        <f t="shared" si="96"/>
        <v>3</v>
      </c>
      <c r="N398" s="1141">
        <v>250</v>
      </c>
      <c r="O398" s="1087">
        <f t="shared" si="97"/>
        <v>4671.6000000000004</v>
      </c>
      <c r="P398" s="269">
        <f t="shared" si="95"/>
        <v>1</v>
      </c>
      <c r="Q398" s="269" t="str">
        <f t="shared" si="98"/>
        <v/>
      </c>
      <c r="R398" s="1147"/>
      <c r="S398" s="1143" t="str">
        <f t="shared" si="99"/>
        <v>Downsize</v>
      </c>
      <c r="T398" s="1144">
        <f t="shared" si="100"/>
        <v>2299.8709677419356</v>
      </c>
      <c r="U398" s="1144">
        <f t="shared" si="101"/>
        <v>917.67741935483866</v>
      </c>
      <c r="V398" s="1146">
        <f t="shared" si="102"/>
        <v>16759.96715542522</v>
      </c>
      <c r="W398" s="1146">
        <f t="shared" si="103"/>
        <v>12149.835294117649</v>
      </c>
      <c r="X398" s="1146">
        <f t="shared" si="104"/>
        <v>4610.1318613075709</v>
      </c>
      <c r="Y398" s="1146">
        <f t="shared" si="105"/>
        <v>13257.042149039004</v>
      </c>
      <c r="Z398" s="1146">
        <f t="shared" si="106"/>
        <v>12149.835294117649</v>
      </c>
      <c r="AA398" s="1146">
        <f t="shared" si="107"/>
        <v>1107.2068549213545</v>
      </c>
      <c r="AB398" s="1146">
        <f t="shared" si="108"/>
        <v>16236.218181818183</v>
      </c>
      <c r="AC398" s="1146">
        <f t="shared" si="109"/>
        <v>12149.835294117649</v>
      </c>
      <c r="AD398" s="1146">
        <f t="shared" si="110"/>
        <v>4086.3828877005344</v>
      </c>
      <c r="AE398" s="1146">
        <f t="shared" si="111"/>
        <v>12842.759581881533</v>
      </c>
      <c r="AF398" s="1146">
        <f t="shared" si="112"/>
        <v>12149.835294117649</v>
      </c>
      <c r="AG398" s="1146">
        <f t="shared" si="113"/>
        <v>692.92428776388442</v>
      </c>
    </row>
    <row r="399" spans="2:33" ht="14.4">
      <c r="B399" s="1134">
        <v>5866264</v>
      </c>
      <c r="C399" s="1135"/>
      <c r="D399" s="1134">
        <v>570540</v>
      </c>
      <c r="E399" s="1136">
        <v>42170</v>
      </c>
      <c r="F399" s="1137">
        <v>42000</v>
      </c>
      <c r="G399" s="1134">
        <v>11</v>
      </c>
      <c r="H399" s="1137">
        <v>47000</v>
      </c>
      <c r="I399" s="1134">
        <v>16</v>
      </c>
      <c r="J399" s="1138">
        <v>8037</v>
      </c>
      <c r="K399" s="1139"/>
      <c r="L399" s="1140">
        <v>42209</v>
      </c>
      <c r="M399" s="269">
        <f t="shared" si="96"/>
        <v>3</v>
      </c>
      <c r="N399" s="1141">
        <v>300</v>
      </c>
      <c r="O399" s="1087">
        <f t="shared" si="97"/>
        <v>2420.113636363636</v>
      </c>
      <c r="P399" s="269">
        <f t="shared" si="95"/>
        <v>1</v>
      </c>
      <c r="Q399" s="269" t="str">
        <f t="shared" si="98"/>
        <v/>
      </c>
      <c r="R399" s="1147"/>
      <c r="S399" s="1143" t="str">
        <f t="shared" si="99"/>
        <v>Upsize</v>
      </c>
      <c r="T399" s="1144">
        <f t="shared" si="100"/>
        <v>1990.9787234042553</v>
      </c>
      <c r="U399" s="1144">
        <f t="shared" si="101"/>
        <v>794.42553191489355</v>
      </c>
      <c r="V399" s="1146">
        <f t="shared" si="102"/>
        <v>11935.148936170213</v>
      </c>
      <c r="W399" s="1146">
        <f t="shared" si="103"/>
        <v>10241.205882352941</v>
      </c>
      <c r="X399" s="1146">
        <f t="shared" si="104"/>
        <v>1693.9430538172728</v>
      </c>
      <c r="Y399" s="1146">
        <f t="shared" si="105"/>
        <v>10041.94499221588</v>
      </c>
      <c r="Z399" s="1146">
        <f t="shared" si="106"/>
        <v>10241.205882352941</v>
      </c>
      <c r="AA399" s="1146">
        <f t="shared" si="107"/>
        <v>-199.26089013706041</v>
      </c>
      <c r="AB399" s="1146">
        <f t="shared" si="108"/>
        <v>13356</v>
      </c>
      <c r="AC399" s="1146">
        <f t="shared" si="109"/>
        <v>10241.205882352941</v>
      </c>
      <c r="AD399" s="1146">
        <f t="shared" si="110"/>
        <v>3114.7941176470595</v>
      </c>
      <c r="AE399" s="1146">
        <f t="shared" si="111"/>
        <v>11237.414634146342</v>
      </c>
      <c r="AF399" s="1146">
        <f t="shared" si="112"/>
        <v>10241.205882352941</v>
      </c>
      <c r="AG399" s="1146">
        <f t="shared" si="113"/>
        <v>996.20875179340146</v>
      </c>
    </row>
    <row r="400" spans="2:33" ht="14.4">
      <c r="B400" s="1134">
        <v>2738581</v>
      </c>
      <c r="C400" s="1135"/>
      <c r="D400" s="1134">
        <v>120985</v>
      </c>
      <c r="E400" s="1136">
        <v>42192</v>
      </c>
      <c r="F400" s="1137">
        <v>24000</v>
      </c>
      <c r="G400" s="1134">
        <v>8</v>
      </c>
      <c r="H400" s="1137">
        <v>28000</v>
      </c>
      <c r="I400" s="1134">
        <v>15</v>
      </c>
      <c r="J400" s="1138">
        <v>3438</v>
      </c>
      <c r="K400" s="1139"/>
      <c r="L400" s="1140">
        <v>42209</v>
      </c>
      <c r="M400" s="269">
        <f t="shared" si="96"/>
        <v>3</v>
      </c>
      <c r="N400" s="1141">
        <v>150</v>
      </c>
      <c r="O400" s="1087">
        <f t="shared" si="97"/>
        <v>3114.40</v>
      </c>
      <c r="P400" s="269">
        <f t="shared" si="95"/>
        <v>1</v>
      </c>
      <c r="Q400" s="269" t="str">
        <f t="shared" si="98"/>
        <v/>
      </c>
      <c r="R400" s="1147"/>
      <c r="S400" s="1143" t="str">
        <f t="shared" si="99"/>
        <v>Upsize</v>
      </c>
      <c r="T400" s="1144">
        <f t="shared" si="100"/>
        <v>1909.7142857142856</v>
      </c>
      <c r="U400" s="1144">
        <f t="shared" si="101"/>
        <v>762</v>
      </c>
      <c r="V400" s="1146">
        <f t="shared" si="102"/>
        <v>8104.2077922077915</v>
      </c>
      <c r="W400" s="1146">
        <f t="shared" si="103"/>
        <v>6074.9176470588227</v>
      </c>
      <c r="X400" s="1146">
        <f t="shared" si="104"/>
        <v>2029.2901451489688</v>
      </c>
      <c r="Y400" s="1146">
        <f t="shared" si="105"/>
        <v>5504.0398208063716</v>
      </c>
      <c r="Z400" s="1146">
        <f t="shared" si="106"/>
        <v>6074.9176470588227</v>
      </c>
      <c r="AA400" s="1146">
        <f t="shared" si="107"/>
        <v>-570.87782625245109</v>
      </c>
      <c r="AB400" s="1146">
        <f t="shared" si="108"/>
        <v>9454.9090909090901</v>
      </c>
      <c r="AC400" s="1146">
        <f t="shared" si="109"/>
        <v>6074.9176470588227</v>
      </c>
      <c r="AD400" s="1146">
        <f t="shared" si="110"/>
        <v>3379.9914438502674</v>
      </c>
      <c r="AE400" s="1146">
        <f t="shared" si="111"/>
        <v>6421.3797909407667</v>
      </c>
      <c r="AF400" s="1146">
        <f t="shared" si="112"/>
        <v>6074.9176470588227</v>
      </c>
      <c r="AG400" s="1146">
        <f t="shared" si="113"/>
        <v>346.46214388194403</v>
      </c>
    </row>
    <row r="401" spans="2:33" ht="14.4">
      <c r="B401" s="1134">
        <v>3137205</v>
      </c>
      <c r="C401" s="1135"/>
      <c r="D401" s="1134">
        <v>150588</v>
      </c>
      <c r="E401" s="1136">
        <v>42154</v>
      </c>
      <c r="F401" s="1137">
        <v>36000</v>
      </c>
      <c r="G401" s="1134">
        <v>7</v>
      </c>
      <c r="H401" s="1137">
        <v>34800</v>
      </c>
      <c r="I401" s="1134">
        <v>15</v>
      </c>
      <c r="J401" s="1138">
        <v>3498</v>
      </c>
      <c r="K401" s="1139"/>
      <c r="L401" s="1140">
        <v>42209</v>
      </c>
      <c r="M401" s="269">
        <f t="shared" si="96"/>
        <v>3</v>
      </c>
      <c r="N401" s="1141">
        <v>175</v>
      </c>
      <c r="O401" s="1087">
        <f t="shared" si="97"/>
        <v>7757.2114285714297</v>
      </c>
      <c r="P401" s="269">
        <f t="shared" si="95"/>
        <v>1</v>
      </c>
      <c r="Q401" s="269" t="str">
        <f t="shared" si="98"/>
        <v/>
      </c>
      <c r="R401" s="1147"/>
      <c r="S401" s="1143" t="str">
        <f t="shared" si="99"/>
        <v>Downsize</v>
      </c>
      <c r="T401" s="1144">
        <f t="shared" si="100"/>
        <v>2304.8275862068967</v>
      </c>
      <c r="U401" s="1144">
        <f t="shared" si="101"/>
        <v>919.65517241379314</v>
      </c>
      <c r="V401" s="1146">
        <f t="shared" si="102"/>
        <v>16153.085535154502</v>
      </c>
      <c r="W401" s="1146">
        <f t="shared" si="103"/>
        <v>9112.376470588235</v>
      </c>
      <c r="X401" s="1146">
        <f t="shared" si="104"/>
        <v>7040.7090645662665</v>
      </c>
      <c r="Y401" s="1146">
        <f t="shared" si="105"/>
        <v>9964.2100204253293</v>
      </c>
      <c r="Z401" s="1146">
        <f t="shared" si="106"/>
        <v>9112.376470588235</v>
      </c>
      <c r="AA401" s="1146">
        <f t="shared" si="107"/>
        <v>851.83354983709432</v>
      </c>
      <c r="AB401" s="1146">
        <f t="shared" si="108"/>
        <v>15614.64935064935</v>
      </c>
      <c r="AC401" s="1146">
        <f t="shared" si="109"/>
        <v>9112.376470588235</v>
      </c>
      <c r="AD401" s="1146">
        <f t="shared" si="110"/>
        <v>6502.2728800611148</v>
      </c>
      <c r="AE401" s="1146">
        <f t="shared" si="111"/>
        <v>9632.0696864111505</v>
      </c>
      <c r="AF401" s="1146">
        <f t="shared" si="112"/>
        <v>9112.376470588235</v>
      </c>
      <c r="AG401" s="1146">
        <f t="shared" si="113"/>
        <v>519.69321582291559</v>
      </c>
    </row>
    <row r="402" spans="2:33" ht="14.4">
      <c r="B402" s="1134">
        <v>5237011</v>
      </c>
      <c r="C402" s="1135"/>
      <c r="D402" s="1134">
        <v>200719</v>
      </c>
      <c r="E402" s="1136">
        <v>42160</v>
      </c>
      <c r="F402" s="1137">
        <v>36000</v>
      </c>
      <c r="G402" s="1134">
        <v>8</v>
      </c>
      <c r="H402" s="1137">
        <v>41500</v>
      </c>
      <c r="I402" s="1134">
        <v>15</v>
      </c>
      <c r="J402" s="1138">
        <v>5673</v>
      </c>
      <c r="K402" s="1139"/>
      <c r="L402" s="1140">
        <v>42209</v>
      </c>
      <c r="M402" s="269">
        <f t="shared" si="96"/>
        <v>3</v>
      </c>
      <c r="N402" s="1141">
        <v>225</v>
      </c>
      <c r="O402" s="1087">
        <f t="shared" si="97"/>
        <v>4763.2000000000007</v>
      </c>
      <c r="P402" s="269">
        <f t="shared" si="95"/>
        <v>1</v>
      </c>
      <c r="Q402" s="269" t="str">
        <f t="shared" si="98"/>
        <v/>
      </c>
      <c r="R402" s="1147"/>
      <c r="S402" s="1143" t="str">
        <f t="shared" si="99"/>
        <v>Upsize</v>
      </c>
      <c r="T402" s="1144">
        <f t="shared" si="100"/>
        <v>1932.7228915662652</v>
      </c>
      <c r="U402" s="1144">
        <f t="shared" si="101"/>
        <v>771.18072289156623</v>
      </c>
      <c r="V402" s="1146">
        <f t="shared" si="102"/>
        <v>12302.773274917854</v>
      </c>
      <c r="W402" s="1146">
        <f t="shared" si="103"/>
        <v>9112.376470588235</v>
      </c>
      <c r="X402" s="1146">
        <f t="shared" si="104"/>
        <v>3190.396804329619</v>
      </c>
      <c r="Y402" s="1146">
        <f t="shared" si="105"/>
        <v>8355.5303303807577</v>
      </c>
      <c r="Z402" s="1146">
        <f t="shared" si="106"/>
        <v>9112.376470588235</v>
      </c>
      <c r="AA402" s="1146">
        <f t="shared" si="107"/>
        <v>-756.84614020747722</v>
      </c>
      <c r="AB402" s="1146">
        <f t="shared" si="108"/>
        <v>14182.363636363636</v>
      </c>
      <c r="AC402" s="1146">
        <f t="shared" si="109"/>
        <v>9112.376470588235</v>
      </c>
      <c r="AD402" s="1146">
        <f t="shared" si="110"/>
        <v>5069.9871657754011</v>
      </c>
      <c r="AE402" s="1146">
        <f t="shared" si="111"/>
        <v>9632.0696864111524</v>
      </c>
      <c r="AF402" s="1146">
        <f t="shared" si="112"/>
        <v>9112.376470588235</v>
      </c>
      <c r="AG402" s="1146">
        <f t="shared" si="113"/>
        <v>519.69321582291741</v>
      </c>
    </row>
    <row r="403" spans="2:33" ht="14.4">
      <c r="B403" s="1134">
        <v>8850185</v>
      </c>
      <c r="C403" s="1135"/>
      <c r="D403" s="1134">
        <v>595554</v>
      </c>
      <c r="E403" s="1136">
        <v>42154</v>
      </c>
      <c r="F403" s="1137">
        <v>24000</v>
      </c>
      <c r="G403" s="1134">
        <v>10</v>
      </c>
      <c r="H403" s="1137">
        <v>24000</v>
      </c>
      <c r="I403" s="1134">
        <v>17</v>
      </c>
      <c r="J403" s="1138">
        <v>9273</v>
      </c>
      <c r="K403" s="1139"/>
      <c r="L403" s="1140">
        <v>42209</v>
      </c>
      <c r="M403" s="269">
        <f t="shared" si="96"/>
        <v>3</v>
      </c>
      <c r="N403" s="1141">
        <v>175</v>
      </c>
      <c r="O403" s="1087">
        <f t="shared" si="97"/>
        <v>2715.6705882352944</v>
      </c>
      <c r="P403" s="269">
        <f t="shared" si="95"/>
        <v>1</v>
      </c>
      <c r="Q403" s="269" t="str">
        <f t="shared" si="98"/>
        <v/>
      </c>
      <c r="R403" s="1147"/>
      <c r="S403" s="1143" t="str">
        <f t="shared" si="99"/>
        <v>Same Size</v>
      </c>
      <c r="T403" s="1144">
        <f t="shared" si="100"/>
        <v>2228</v>
      </c>
      <c r="U403" s="1144">
        <f t="shared" si="101"/>
        <v>889</v>
      </c>
      <c r="V403" s="1146">
        <f t="shared" si="102"/>
        <v>8118.1090909090908</v>
      </c>
      <c r="W403" s="1146">
        <f t="shared" si="103"/>
        <v>5655.5294117647063</v>
      </c>
      <c r="X403" s="1146">
        <f t="shared" si="104"/>
        <v>2462.5796791443845</v>
      </c>
      <c r="Y403" s="1146">
        <f t="shared" si="105"/>
        <v>6421.3797909407658</v>
      </c>
      <c r="Z403" s="1146">
        <f t="shared" si="106"/>
        <v>5655.5294117647063</v>
      </c>
      <c r="AA403" s="1146">
        <f t="shared" si="107"/>
        <v>765.8503791760595</v>
      </c>
      <c r="AB403" s="1146">
        <f t="shared" si="108"/>
        <v>8118.1090909090908</v>
      </c>
      <c r="AC403" s="1146">
        <f t="shared" si="109"/>
        <v>5655.5294117647063</v>
      </c>
      <c r="AD403" s="1146">
        <f t="shared" si="110"/>
        <v>2462.5796791443845</v>
      </c>
      <c r="AE403" s="1146">
        <f t="shared" si="111"/>
        <v>6421.3797909407658</v>
      </c>
      <c r="AF403" s="1146">
        <f t="shared" si="112"/>
        <v>5655.5294117647063</v>
      </c>
      <c r="AG403" s="1146">
        <f t="shared" si="113"/>
        <v>765.8503791760595</v>
      </c>
    </row>
    <row r="404" spans="2:33" ht="14.4">
      <c r="B404" s="1134">
        <v>1712694</v>
      </c>
      <c r="C404" s="1135"/>
      <c r="D404" s="1134">
        <v>171269</v>
      </c>
      <c r="E404" s="1136">
        <v>42170</v>
      </c>
      <c r="F404" s="1137">
        <v>30000</v>
      </c>
      <c r="G404" s="1134">
        <v>7</v>
      </c>
      <c r="H404" s="1137">
        <v>30000</v>
      </c>
      <c r="I404" s="1134">
        <v>15</v>
      </c>
      <c r="J404" s="1138">
        <v>4884</v>
      </c>
      <c r="K404" s="1139"/>
      <c r="L404" s="1140">
        <v>42209</v>
      </c>
      <c r="M404" s="269">
        <f t="shared" si="96"/>
        <v>3</v>
      </c>
      <c r="N404" s="1141">
        <v>150</v>
      </c>
      <c r="O404" s="1087">
        <f t="shared" si="97"/>
        <v>6281.1428571428569</v>
      </c>
      <c r="P404" s="269">
        <f t="shared" si="95"/>
        <v>1</v>
      </c>
      <c r="Q404" s="269" t="str">
        <f t="shared" si="98"/>
        <v/>
      </c>
      <c r="R404" s="1147"/>
      <c r="S404" s="1143" t="str">
        <f t="shared" si="99"/>
        <v>Same Size</v>
      </c>
      <c r="T404" s="1144">
        <f t="shared" si="100"/>
        <v>2228</v>
      </c>
      <c r="U404" s="1144">
        <f t="shared" si="101"/>
        <v>889</v>
      </c>
      <c r="V404" s="1146">
        <f t="shared" si="102"/>
        <v>13012.207792207792</v>
      </c>
      <c r="W404" s="1146">
        <f t="shared" si="103"/>
        <v>7593.6470588235297</v>
      </c>
      <c r="X404" s="1146">
        <f t="shared" si="104"/>
        <v>5418.5607333842618</v>
      </c>
      <c r="Y404" s="1146">
        <f t="shared" si="105"/>
        <v>8026.7247386759582</v>
      </c>
      <c r="Z404" s="1146">
        <f t="shared" si="106"/>
        <v>7593.6470588235297</v>
      </c>
      <c r="AA404" s="1146">
        <f t="shared" si="107"/>
        <v>433.07767985242845</v>
      </c>
      <c r="AB404" s="1146">
        <f t="shared" si="108"/>
        <v>13012.207792207792</v>
      </c>
      <c r="AC404" s="1146">
        <f t="shared" si="109"/>
        <v>7593.6470588235297</v>
      </c>
      <c r="AD404" s="1146">
        <f t="shared" si="110"/>
        <v>5418.5607333842618</v>
      </c>
      <c r="AE404" s="1146">
        <f t="shared" si="111"/>
        <v>8026.7247386759582</v>
      </c>
      <c r="AF404" s="1146">
        <f t="shared" si="112"/>
        <v>7593.6470588235297</v>
      </c>
      <c r="AG404" s="1146">
        <f t="shared" si="113"/>
        <v>433.07767985242845</v>
      </c>
    </row>
    <row r="405" spans="2:33" ht="14.4">
      <c r="B405" s="1134">
        <v>1914191</v>
      </c>
      <c r="C405" s="1135"/>
      <c r="D405" s="1134">
        <v>191419</v>
      </c>
      <c r="E405" s="1136">
        <v>42185</v>
      </c>
      <c r="F405" s="1137">
        <v>48000</v>
      </c>
      <c r="G405" s="1134">
        <v>8</v>
      </c>
      <c r="H405" s="1137">
        <v>47000</v>
      </c>
      <c r="I405" s="1134">
        <v>19.25</v>
      </c>
      <c r="J405" s="1138">
        <v>7613</v>
      </c>
      <c r="K405" s="1139"/>
      <c r="L405" s="1140">
        <v>42209</v>
      </c>
      <c r="M405" s="269">
        <f t="shared" si="96"/>
        <v>3</v>
      </c>
      <c r="N405" s="1141">
        <v>400</v>
      </c>
      <c r="O405" s="1087">
        <f t="shared" si="97"/>
        <v>9778.5974025974028</v>
      </c>
      <c r="P405" s="269">
        <f t="shared" si="95"/>
        <v>1</v>
      </c>
      <c r="Q405" s="269" t="str">
        <f t="shared" si="98"/>
        <v/>
      </c>
      <c r="R405" s="1147"/>
      <c r="S405" s="1143" t="str">
        <f t="shared" si="99"/>
        <v>Downsize</v>
      </c>
      <c r="T405" s="1144">
        <f t="shared" si="100"/>
        <v>2275.4042553191489</v>
      </c>
      <c r="U405" s="1144">
        <f t="shared" si="101"/>
        <v>907.91489361702122</v>
      </c>
      <c r="V405" s="1146">
        <f t="shared" si="102"/>
        <v>19312.154738878144</v>
      </c>
      <c r="W405" s="1146">
        <f t="shared" si="103"/>
        <v>10575.767761650115</v>
      </c>
      <c r="X405" s="1146">
        <f t="shared" si="104"/>
        <v>8736.3869772280286</v>
      </c>
      <c r="Y405" s="1146">
        <f t="shared" si="105"/>
        <v>13116.009785751354</v>
      </c>
      <c r="Z405" s="1146">
        <f t="shared" si="106"/>
        <v>10575.767761650115</v>
      </c>
      <c r="AA405" s="1146">
        <f t="shared" si="107"/>
        <v>2540.2420241012387</v>
      </c>
      <c r="AB405" s="1146">
        <f t="shared" si="108"/>
        <v>18909.81818181818</v>
      </c>
      <c r="AC405" s="1146">
        <f t="shared" si="109"/>
        <v>10575.767761650115</v>
      </c>
      <c r="AD405" s="1146">
        <f t="shared" si="110"/>
        <v>8334.0504201680651</v>
      </c>
      <c r="AE405" s="1146">
        <f t="shared" si="111"/>
        <v>12842.759581881533</v>
      </c>
      <c r="AF405" s="1146">
        <f t="shared" si="112"/>
        <v>10575.767761650115</v>
      </c>
      <c r="AG405" s="1146">
        <f t="shared" si="113"/>
        <v>2266.9918202314184</v>
      </c>
    </row>
    <row r="406" spans="2:33" ht="14.4">
      <c r="B406" s="1134">
        <v>8879799</v>
      </c>
      <c r="C406" s="1135"/>
      <c r="D406" s="1134">
        <v>184938</v>
      </c>
      <c r="E406" s="1136">
        <v>42174</v>
      </c>
      <c r="F406" s="1137">
        <v>36000</v>
      </c>
      <c r="G406" s="1134">
        <v>10</v>
      </c>
      <c r="H406" s="1137">
        <v>34200</v>
      </c>
      <c r="I406" s="1134">
        <v>15</v>
      </c>
      <c r="J406" s="1138">
        <v>5961</v>
      </c>
      <c r="K406" s="1139"/>
      <c r="L406" s="1140">
        <v>42209</v>
      </c>
      <c r="M406" s="269">
        <f t="shared" si="96"/>
        <v>3</v>
      </c>
      <c r="N406" s="1141">
        <v>175</v>
      </c>
      <c r="O406" s="1087">
        <f t="shared" si="97"/>
        <v>3627.36</v>
      </c>
      <c r="P406" s="269">
        <f t="shared" si="95"/>
        <v>1</v>
      </c>
      <c r="Q406" s="269" t="str">
        <f t="shared" si="98"/>
        <v/>
      </c>
      <c r="R406" s="1147"/>
      <c r="S406" s="1143" t="str">
        <f t="shared" si="99"/>
        <v>Downsize</v>
      </c>
      <c r="T406" s="1144">
        <f t="shared" si="100"/>
        <v>2345.2631578947367</v>
      </c>
      <c r="U406" s="1144">
        <f t="shared" si="101"/>
        <v>935.78947368421052</v>
      </c>
      <c r="V406" s="1146">
        <f t="shared" si="102"/>
        <v>12818.066985645934</v>
      </c>
      <c r="W406" s="1146">
        <f t="shared" si="103"/>
        <v>9112.3764705882368</v>
      </c>
      <c r="X406" s="1146">
        <f t="shared" si="104"/>
        <v>3705.6905150576968</v>
      </c>
      <c r="Y406" s="1146">
        <f t="shared" si="105"/>
        <v>10139.020722538051</v>
      </c>
      <c r="Z406" s="1146">
        <f t="shared" si="106"/>
        <v>9112.3764705882368</v>
      </c>
      <c r="AA406" s="1146">
        <f t="shared" si="107"/>
        <v>1026.6442519498141</v>
      </c>
      <c r="AB406" s="1146">
        <f t="shared" si="108"/>
        <v>12177.163636363637</v>
      </c>
      <c r="AC406" s="1146">
        <f t="shared" si="109"/>
        <v>9112.3764705882368</v>
      </c>
      <c r="AD406" s="1146">
        <f t="shared" si="110"/>
        <v>3064.7871657754004</v>
      </c>
      <c r="AE406" s="1146">
        <f t="shared" si="111"/>
        <v>9632.0696864111487</v>
      </c>
      <c r="AF406" s="1146">
        <f t="shared" si="112"/>
        <v>9112.3764705882368</v>
      </c>
      <c r="AG406" s="1146">
        <f t="shared" si="113"/>
        <v>519.69321582291195</v>
      </c>
    </row>
    <row r="407" spans="2:33" ht="14.4">
      <c r="B407" s="1134">
        <v>6161939</v>
      </c>
      <c r="C407" s="1135"/>
      <c r="D407" s="1134">
        <v>380924</v>
      </c>
      <c r="E407" s="1136">
        <v>42172</v>
      </c>
      <c r="F407" s="1137">
        <v>30000</v>
      </c>
      <c r="G407" s="1134">
        <v>10</v>
      </c>
      <c r="H407" s="1137">
        <v>35600</v>
      </c>
      <c r="I407" s="1134">
        <v>15</v>
      </c>
      <c r="J407" s="1138">
        <v>4700</v>
      </c>
      <c r="K407" s="1139"/>
      <c r="L407" s="1140">
        <v>42213</v>
      </c>
      <c r="M407" s="269">
        <f t="shared" si="96"/>
        <v>3</v>
      </c>
      <c r="N407" s="1141">
        <v>175</v>
      </c>
      <c r="O407" s="1087">
        <f t="shared" si="97"/>
        <v>1722.0799999999997</v>
      </c>
      <c r="P407" s="269">
        <f t="shared" si="95"/>
        <v>1</v>
      </c>
      <c r="Q407" s="269" t="str">
        <f t="shared" si="98"/>
        <v/>
      </c>
      <c r="R407" s="1147"/>
      <c r="S407" s="1143" t="str">
        <f t="shared" si="99"/>
        <v>Upsize</v>
      </c>
      <c r="T407" s="1144">
        <f t="shared" si="100"/>
        <v>1877.5280898876404</v>
      </c>
      <c r="U407" s="1144">
        <f t="shared" si="101"/>
        <v>749.15730337078651</v>
      </c>
      <c r="V407" s="1146">
        <f t="shared" si="102"/>
        <v>8551.378958120531</v>
      </c>
      <c r="W407" s="1146">
        <f t="shared" si="103"/>
        <v>7593.6470588235288</v>
      </c>
      <c r="X407" s="1146">
        <f t="shared" si="104"/>
        <v>957.7318992970022</v>
      </c>
      <c r="Y407" s="1146">
        <f t="shared" si="105"/>
        <v>6764.0938809067065</v>
      </c>
      <c r="Z407" s="1146">
        <f t="shared" si="106"/>
        <v>7593.6470588235288</v>
      </c>
      <c r="AA407" s="1146">
        <f t="shared" si="107"/>
        <v>-829.55317791682228</v>
      </c>
      <c r="AB407" s="1146">
        <f t="shared" si="108"/>
        <v>10147.636363636364</v>
      </c>
      <c r="AC407" s="1146">
        <f t="shared" si="109"/>
        <v>7593.6470588235288</v>
      </c>
      <c r="AD407" s="1146">
        <f t="shared" si="110"/>
        <v>2553.9893048128351</v>
      </c>
      <c r="AE407" s="1146">
        <f t="shared" si="111"/>
        <v>8026.7247386759591</v>
      </c>
      <c r="AF407" s="1146">
        <f t="shared" si="112"/>
        <v>7593.6470588235288</v>
      </c>
      <c r="AG407" s="1146">
        <f t="shared" si="113"/>
        <v>433.07767985243026</v>
      </c>
    </row>
    <row r="408" spans="2:33" ht="14.4">
      <c r="B408" s="1134">
        <v>1863935</v>
      </c>
      <c r="C408" s="1135"/>
      <c r="D408" s="1134">
        <v>186393</v>
      </c>
      <c r="E408" s="1136">
        <v>42025</v>
      </c>
      <c r="F408" s="1137">
        <v>42000</v>
      </c>
      <c r="G408" s="1134">
        <v>13</v>
      </c>
      <c r="H408" s="1137">
        <v>41500</v>
      </c>
      <c r="I408" s="1134">
        <v>15</v>
      </c>
      <c r="J408" s="1138">
        <v>10857</v>
      </c>
      <c r="K408" s="1139"/>
      <c r="L408" s="1140">
        <v>42213</v>
      </c>
      <c r="M408" s="269">
        <f t="shared" si="96"/>
        <v>3</v>
      </c>
      <c r="N408" s="1141">
        <v>225</v>
      </c>
      <c r="O408" s="1087">
        <f t="shared" si="97"/>
        <v>1275.3538461538471</v>
      </c>
      <c r="P408" s="269">
        <f t="shared" si="95"/>
        <v>1</v>
      </c>
      <c r="Q408" s="269" t="str">
        <f t="shared" si="98"/>
        <v/>
      </c>
      <c r="R408" s="1147"/>
      <c r="S408" s="1143" t="str">
        <f t="shared" si="99"/>
        <v>Downsize</v>
      </c>
      <c r="T408" s="1144">
        <f t="shared" si="100"/>
        <v>2254.8433734939758</v>
      </c>
      <c r="U408" s="1144">
        <f t="shared" si="101"/>
        <v>899.71084337349396</v>
      </c>
      <c r="V408" s="1146">
        <f t="shared" si="102"/>
        <v>12192.392282416378</v>
      </c>
      <c r="W408" s="1146">
        <f t="shared" si="103"/>
        <v>10631.10588235294</v>
      </c>
      <c r="X408" s="1146">
        <f t="shared" si="104"/>
        <v>1561.2864000634381</v>
      </c>
      <c r="Y408" s="1146">
        <f t="shared" si="105"/>
        <v>11372.805171907141</v>
      </c>
      <c r="Z408" s="1146">
        <f t="shared" si="106"/>
        <v>10631.10588235294</v>
      </c>
      <c r="AA408" s="1146">
        <f t="shared" si="107"/>
        <v>741.69928955420073</v>
      </c>
      <c r="AB408" s="1146">
        <f t="shared" si="108"/>
        <v>12047.244755244756</v>
      </c>
      <c r="AC408" s="1146">
        <f t="shared" si="109"/>
        <v>10631.10588235294</v>
      </c>
      <c r="AD408" s="1146">
        <f t="shared" si="110"/>
        <v>1416.1388728918155</v>
      </c>
      <c r="AE408" s="1146">
        <f t="shared" si="111"/>
        <v>11237.414634146342</v>
      </c>
      <c r="AF408" s="1146">
        <f t="shared" si="112"/>
        <v>10631.10588235294</v>
      </c>
      <c r="AG408" s="1146">
        <f t="shared" si="113"/>
        <v>606.30875179340183</v>
      </c>
    </row>
    <row r="409" spans="2:33" ht="14.4">
      <c r="B409" s="1134">
        <v>5157235</v>
      </c>
      <c r="C409" s="1135"/>
      <c r="D409" s="1134">
        <v>101938</v>
      </c>
      <c r="E409" s="1136">
        <v>42011</v>
      </c>
      <c r="F409" s="1137">
        <v>48000</v>
      </c>
      <c r="G409" s="1134">
        <v>14</v>
      </c>
      <c r="H409" s="1137">
        <v>49500</v>
      </c>
      <c r="I409" s="1134">
        <v>15</v>
      </c>
      <c r="J409" s="1138">
        <v>5719</v>
      </c>
      <c r="K409" s="1139"/>
      <c r="L409" s="1140">
        <v>42213</v>
      </c>
      <c r="M409" s="269">
        <f t="shared" si="96"/>
        <v>3</v>
      </c>
      <c r="N409" s="1141">
        <v>250</v>
      </c>
      <c r="O409" s="1087">
        <f t="shared" si="97"/>
        <v>353.3142857142854</v>
      </c>
      <c r="P409" s="269">
        <f t="shared" si="95"/>
        <v>1</v>
      </c>
      <c r="Q409" s="269" t="str">
        <f t="shared" si="98"/>
        <v/>
      </c>
      <c r="R409" s="1147"/>
      <c r="S409" s="1143" t="str">
        <f t="shared" si="99"/>
        <v>Upsize</v>
      </c>
      <c r="T409" s="1144">
        <f t="shared" si="100"/>
        <v>2160.4848484848485</v>
      </c>
      <c r="U409" s="1144">
        <f t="shared" si="101"/>
        <v>862.06060606060612</v>
      </c>
      <c r="V409" s="1146">
        <f t="shared" si="102"/>
        <v>12781.260920897284</v>
      </c>
      <c r="W409" s="1146">
        <f t="shared" si="103"/>
        <v>12149.835294117647</v>
      </c>
      <c r="X409" s="1146">
        <f t="shared" si="104"/>
        <v>631.42562677963724</v>
      </c>
      <c r="Y409" s="1146">
        <f t="shared" si="105"/>
        <v>12453.585049097244</v>
      </c>
      <c r="Z409" s="1146">
        <f t="shared" si="106"/>
        <v>12149.835294117647</v>
      </c>
      <c r="AA409" s="1146">
        <f t="shared" si="107"/>
        <v>303.74975497959713</v>
      </c>
      <c r="AB409" s="1146">
        <f t="shared" si="108"/>
        <v>13180.675324675325</v>
      </c>
      <c r="AC409" s="1146">
        <f t="shared" si="109"/>
        <v>12149.835294117647</v>
      </c>
      <c r="AD409" s="1146">
        <f t="shared" si="110"/>
        <v>1030.8400305576779</v>
      </c>
      <c r="AE409" s="1146">
        <f t="shared" si="111"/>
        <v>12842.759581881533</v>
      </c>
      <c r="AF409" s="1146">
        <f t="shared" si="112"/>
        <v>12149.835294117647</v>
      </c>
      <c r="AG409" s="1146">
        <f t="shared" si="113"/>
        <v>692.92428776388624</v>
      </c>
    </row>
    <row r="410" spans="2:33" ht="14.4">
      <c r="B410" s="1134">
        <v>7572266</v>
      </c>
      <c r="C410" s="1135"/>
      <c r="D410" s="1134">
        <v>608152</v>
      </c>
      <c r="E410" s="1136">
        <v>42195</v>
      </c>
      <c r="F410" s="1137">
        <v>42000</v>
      </c>
      <c r="G410" s="1134">
        <v>12</v>
      </c>
      <c r="H410" s="1137">
        <v>41000</v>
      </c>
      <c r="I410" s="1134">
        <v>15</v>
      </c>
      <c r="J410" s="1138">
        <v>6620</v>
      </c>
      <c r="K410" s="1139"/>
      <c r="L410" s="1140">
        <v>42220</v>
      </c>
      <c r="M410" s="269">
        <f t="shared" si="96"/>
        <v>3</v>
      </c>
      <c r="N410" s="1141">
        <v>225</v>
      </c>
      <c r="O410" s="1087">
        <f t="shared" si="97"/>
        <v>2106.7999999999997</v>
      </c>
      <c r="P410" s="269">
        <f t="shared" si="95"/>
        <v>1</v>
      </c>
      <c r="Q410" s="269" t="str">
        <f t="shared" si="98"/>
        <v/>
      </c>
      <c r="R410" s="1147"/>
      <c r="S410" s="1143" t="str">
        <f t="shared" si="99"/>
        <v>Downsize</v>
      </c>
      <c r="T410" s="1144">
        <f t="shared" si="100"/>
        <v>2282.3414634146343</v>
      </c>
      <c r="U410" s="1144">
        <f t="shared" si="101"/>
        <v>910.68292682926835</v>
      </c>
      <c r="V410" s="1146">
        <f t="shared" si="102"/>
        <v>12955.556541019956</v>
      </c>
      <c r="W410" s="1146">
        <f t="shared" si="103"/>
        <v>10631.105882352942</v>
      </c>
      <c r="X410" s="1146">
        <f t="shared" si="104"/>
        <v>2324.4506586670141</v>
      </c>
      <c r="Y410" s="1146">
        <f t="shared" si="105"/>
        <v>11511.497917906008</v>
      </c>
      <c r="Z410" s="1146">
        <f t="shared" si="106"/>
        <v>10631.105882352942</v>
      </c>
      <c r="AA410" s="1146">
        <f t="shared" si="107"/>
        <v>880.39203555306631</v>
      </c>
      <c r="AB410" s="1146">
        <f t="shared" si="108"/>
        <v>12647.09090909091</v>
      </c>
      <c r="AC410" s="1146">
        <f t="shared" si="109"/>
        <v>10631.105882352942</v>
      </c>
      <c r="AD410" s="1146">
        <f t="shared" si="110"/>
        <v>2015.9850267379679</v>
      </c>
      <c r="AE410" s="1146">
        <f t="shared" si="111"/>
        <v>11237.414634146342</v>
      </c>
      <c r="AF410" s="1146">
        <f t="shared" si="112"/>
        <v>10631.105882352942</v>
      </c>
      <c r="AG410" s="1146">
        <f t="shared" si="113"/>
        <v>606.30875179340001</v>
      </c>
    </row>
    <row r="411" spans="2:33" ht="14.4">
      <c r="B411" s="1134">
        <v>8831406</v>
      </c>
      <c r="C411" s="1135"/>
      <c r="D411" s="1134">
        <v>191776</v>
      </c>
      <c r="E411" s="1136">
        <v>42191</v>
      </c>
      <c r="F411" s="1137">
        <v>36000</v>
      </c>
      <c r="G411" s="1134">
        <v>12</v>
      </c>
      <c r="H411" s="1137">
        <v>36400</v>
      </c>
      <c r="I411" s="1134">
        <v>16</v>
      </c>
      <c r="J411" s="1138">
        <v>9832</v>
      </c>
      <c r="K411" s="1139"/>
      <c r="L411" s="1140">
        <v>42220</v>
      </c>
      <c r="M411" s="269">
        <f t="shared" si="96"/>
        <v>3</v>
      </c>
      <c r="N411" s="1141">
        <v>225</v>
      </c>
      <c r="O411" s="1087">
        <f t="shared" si="97"/>
        <v>1992.3000000000002</v>
      </c>
      <c r="P411" s="269">
        <f t="shared" si="114" ref="P411:P474">IF(L411&gt;0,1,"")</f>
        <v>1</v>
      </c>
      <c r="Q411" s="269" t="str">
        <f t="shared" si="98"/>
        <v/>
      </c>
      <c r="R411" s="1147"/>
      <c r="S411" s="1143" t="str">
        <f t="shared" si="99"/>
        <v>Upsize</v>
      </c>
      <c r="T411" s="1144">
        <f t="shared" si="100"/>
        <v>2203.5164835164837</v>
      </c>
      <c r="U411" s="1144">
        <f t="shared" si="101"/>
        <v>879.23076923076928</v>
      </c>
      <c r="V411" s="1146">
        <f t="shared" si="102"/>
        <v>10721.238761238763</v>
      </c>
      <c r="W411" s="1146">
        <f t="shared" si="103"/>
        <v>8778.1764705882342</v>
      </c>
      <c r="X411" s="1146">
        <f t="shared" si="104"/>
        <v>1943.0622906505287</v>
      </c>
      <c r="Y411" s="1146">
        <f t="shared" si="105"/>
        <v>9526.2227667802581</v>
      </c>
      <c r="Z411" s="1146">
        <f t="shared" si="106"/>
        <v>8778.1764705882342</v>
      </c>
      <c r="AA411" s="1146">
        <f t="shared" si="107"/>
        <v>748.04629619202387</v>
      </c>
      <c r="AB411" s="1146">
        <f t="shared" si="108"/>
        <v>10840.363636363638</v>
      </c>
      <c r="AC411" s="1146">
        <f t="shared" si="109"/>
        <v>8778.1764705882342</v>
      </c>
      <c r="AD411" s="1146">
        <f t="shared" si="110"/>
        <v>2062.1871657754036</v>
      </c>
      <c r="AE411" s="1146">
        <f t="shared" si="111"/>
        <v>9632.0696864111505</v>
      </c>
      <c r="AF411" s="1146">
        <f t="shared" si="112"/>
        <v>8778.1764705882342</v>
      </c>
      <c r="AG411" s="1146">
        <f t="shared" si="113"/>
        <v>853.89321582291632</v>
      </c>
    </row>
    <row r="412" spans="2:33" ht="14.4">
      <c r="B412" s="1134">
        <v>3001161</v>
      </c>
      <c r="C412" s="1135"/>
      <c r="D412" s="1134">
        <v>300116</v>
      </c>
      <c r="E412" s="1136">
        <v>42174</v>
      </c>
      <c r="F412" s="1137">
        <v>47000</v>
      </c>
      <c r="G412" s="1134">
        <v>8</v>
      </c>
      <c r="H412" s="1137">
        <v>48000</v>
      </c>
      <c r="I412" s="1134">
        <v>15</v>
      </c>
      <c r="J412" s="1138">
        <v>5250</v>
      </c>
      <c r="K412" s="1139"/>
      <c r="L412" s="1140">
        <v>42220</v>
      </c>
      <c r="M412" s="269">
        <f t="shared" si="96"/>
        <v>3</v>
      </c>
      <c r="N412" s="1141">
        <v>250</v>
      </c>
      <c r="O412" s="1087">
        <f t="shared" si="97"/>
        <v>7350.90</v>
      </c>
      <c r="P412" s="269">
        <f t="shared" si="114"/>
        <v>1</v>
      </c>
      <c r="Q412" s="269" t="str">
        <f t="shared" si="98"/>
        <v/>
      </c>
      <c r="R412" s="1147"/>
      <c r="S412" s="1143" t="str">
        <f t="shared" si="99"/>
        <v>Upsize</v>
      </c>
      <c r="T412" s="1144">
        <f t="shared" si="100"/>
        <v>2181.583333333333</v>
      </c>
      <c r="U412" s="1144">
        <f t="shared" si="101"/>
        <v>870.47916666666663</v>
      </c>
      <c r="V412" s="1146">
        <f t="shared" si="102"/>
        <v>18130.116477272724</v>
      </c>
      <c r="W412" s="1146">
        <f t="shared" si="103"/>
        <v>11896.713725490195</v>
      </c>
      <c r="X412" s="1146">
        <f t="shared" si="104"/>
        <v>6233.4027517825289</v>
      </c>
      <c r="Y412" s="1146">
        <f t="shared" si="105"/>
        <v>12313.218713704993</v>
      </c>
      <c r="Z412" s="1146">
        <f t="shared" si="106"/>
        <v>11896.713725490195</v>
      </c>
      <c r="AA412" s="1146">
        <f t="shared" si="107"/>
        <v>416.50498821479778</v>
      </c>
      <c r="AB412" s="1146">
        <f t="shared" si="108"/>
        <v>18515.863636363636</v>
      </c>
      <c r="AC412" s="1146">
        <f t="shared" si="109"/>
        <v>11896.713725490195</v>
      </c>
      <c r="AD412" s="1146">
        <f t="shared" si="110"/>
        <v>6619.1499108734406</v>
      </c>
      <c r="AE412" s="1146">
        <f t="shared" si="111"/>
        <v>12575.202090592335</v>
      </c>
      <c r="AF412" s="1146">
        <f t="shared" si="112"/>
        <v>11896.713725490195</v>
      </c>
      <c r="AG412" s="1146">
        <f t="shared" si="113"/>
        <v>678.48836510213914</v>
      </c>
    </row>
    <row r="413" spans="2:33" ht="14.4">
      <c r="B413" s="1134">
        <v>896514</v>
      </c>
      <c r="C413" s="1135"/>
      <c r="D413" s="1134">
        <v>89651</v>
      </c>
      <c r="E413" s="1136">
        <v>42200</v>
      </c>
      <c r="F413" s="1137">
        <v>36000</v>
      </c>
      <c r="G413" s="1134">
        <v>10</v>
      </c>
      <c r="H413" s="1137">
        <v>34800</v>
      </c>
      <c r="I413" s="1134">
        <v>15</v>
      </c>
      <c r="J413" s="1138">
        <v>5850</v>
      </c>
      <c r="K413" s="1139"/>
      <c r="L413" s="1140">
        <v>42220</v>
      </c>
      <c r="M413" s="269">
        <f t="shared" si="96"/>
        <v>3</v>
      </c>
      <c r="N413" s="1141">
        <v>175</v>
      </c>
      <c r="O413" s="1087">
        <f t="shared" si="97"/>
        <v>3517.4400000000005</v>
      </c>
      <c r="P413" s="269">
        <f t="shared" si="114"/>
        <v>1</v>
      </c>
      <c r="Q413" s="269" t="str">
        <f t="shared" si="98"/>
        <v/>
      </c>
      <c r="R413" s="1147"/>
      <c r="S413" s="1143" t="str">
        <f t="shared" si="99"/>
        <v>Downsize</v>
      </c>
      <c r="T413" s="1144">
        <f t="shared" si="100"/>
        <v>2304.8275862068967</v>
      </c>
      <c r="U413" s="1144">
        <f t="shared" si="101"/>
        <v>919.65517241379314</v>
      </c>
      <c r="V413" s="1146">
        <f t="shared" si="102"/>
        <v>12597.065830721003</v>
      </c>
      <c r="W413" s="1146">
        <f t="shared" si="103"/>
        <v>9112.376470588235</v>
      </c>
      <c r="X413" s="1146">
        <f t="shared" si="104"/>
        <v>3484.6893601327683</v>
      </c>
      <c r="Y413" s="1146">
        <f t="shared" si="105"/>
        <v>9964.2100204253293</v>
      </c>
      <c r="Z413" s="1146">
        <f t="shared" si="106"/>
        <v>9112.376470588235</v>
      </c>
      <c r="AA413" s="1146">
        <f t="shared" si="107"/>
        <v>851.83354983709432</v>
      </c>
      <c r="AB413" s="1146">
        <f t="shared" si="108"/>
        <v>12177.163636363635</v>
      </c>
      <c r="AC413" s="1146">
        <f t="shared" si="109"/>
        <v>9112.376470588235</v>
      </c>
      <c r="AD413" s="1146">
        <f t="shared" si="110"/>
        <v>3064.7871657754004</v>
      </c>
      <c r="AE413" s="1146">
        <f t="shared" si="111"/>
        <v>9632.0696864111505</v>
      </c>
      <c r="AF413" s="1146">
        <f t="shared" si="112"/>
        <v>9112.376470588235</v>
      </c>
      <c r="AG413" s="1146">
        <f t="shared" si="113"/>
        <v>519.69321582291559</v>
      </c>
    </row>
    <row r="414" spans="2:33" ht="14.4">
      <c r="B414" s="1134">
        <v>3312477</v>
      </c>
      <c r="C414" s="1135"/>
      <c r="D414" s="1134">
        <v>129547</v>
      </c>
      <c r="E414" s="1136">
        <v>42081</v>
      </c>
      <c r="F414" s="1137">
        <v>30000</v>
      </c>
      <c r="G414" s="1134">
        <v>10</v>
      </c>
      <c r="H414" s="1137">
        <v>28000</v>
      </c>
      <c r="I414" s="1134">
        <v>15</v>
      </c>
      <c r="J414" s="1138">
        <v>3560</v>
      </c>
      <c r="K414" s="1139"/>
      <c r="L414" s="1140">
        <v>42220</v>
      </c>
      <c r="M414" s="269">
        <f t="shared" si="96"/>
        <v>3</v>
      </c>
      <c r="N414" s="1141">
        <v>150</v>
      </c>
      <c r="O414" s="1087">
        <f t="shared" si="97"/>
        <v>3114.40</v>
      </c>
      <c r="P414" s="269">
        <f t="shared" si="114"/>
        <v>1</v>
      </c>
      <c r="Q414" s="269" t="str">
        <f t="shared" si="98"/>
        <v/>
      </c>
      <c r="R414" s="1147"/>
      <c r="S414" s="1143" t="str">
        <f t="shared" si="99"/>
        <v>Downsize</v>
      </c>
      <c r="T414" s="1144">
        <f t="shared" si="100"/>
        <v>2387.1428571428569</v>
      </c>
      <c r="U414" s="1144">
        <f t="shared" si="101"/>
        <v>952.50</v>
      </c>
      <c r="V414" s="1146">
        <f t="shared" si="102"/>
        <v>10872.46753246753</v>
      </c>
      <c r="W414" s="1146">
        <f t="shared" si="103"/>
        <v>7593.6470588235297</v>
      </c>
      <c r="X414" s="1146">
        <f t="shared" si="104"/>
        <v>3278.8204736440002</v>
      </c>
      <c r="Y414" s="1146">
        <f t="shared" si="105"/>
        <v>8600.0622200099533</v>
      </c>
      <c r="Z414" s="1146">
        <f t="shared" si="106"/>
        <v>7593.6470588235297</v>
      </c>
      <c r="AA414" s="1146">
        <f t="shared" si="107"/>
        <v>1006.4151611864236</v>
      </c>
      <c r="AB414" s="1146">
        <f t="shared" si="108"/>
        <v>10147.636363636362</v>
      </c>
      <c r="AC414" s="1146">
        <f t="shared" si="109"/>
        <v>7593.6470588235297</v>
      </c>
      <c r="AD414" s="1146">
        <f t="shared" si="110"/>
        <v>2553.9893048128324</v>
      </c>
      <c r="AE414" s="1146">
        <f t="shared" si="111"/>
        <v>8026.7247386759573</v>
      </c>
      <c r="AF414" s="1146">
        <f t="shared" si="112"/>
        <v>7593.6470588235297</v>
      </c>
      <c r="AG414" s="1146">
        <f t="shared" si="113"/>
        <v>433.07767985242754</v>
      </c>
    </row>
    <row r="415" spans="2:33" ht="14.4">
      <c r="B415" s="1134">
        <v>7052335</v>
      </c>
      <c r="C415" s="1135"/>
      <c r="D415" s="1134">
        <v>316463</v>
      </c>
      <c r="E415" s="1136">
        <v>42203</v>
      </c>
      <c r="F415" s="1137">
        <v>48000</v>
      </c>
      <c r="G415" s="1134">
        <v>10</v>
      </c>
      <c r="H415" s="1137">
        <v>48000</v>
      </c>
      <c r="I415" s="1134">
        <v>15</v>
      </c>
      <c r="J415" s="1138">
        <v>3429</v>
      </c>
      <c r="K415" s="1139"/>
      <c r="L415" s="1140">
        <v>42220</v>
      </c>
      <c r="M415" s="269">
        <f t="shared" si="96"/>
        <v>3</v>
      </c>
      <c r="N415" s="1141">
        <v>250</v>
      </c>
      <c r="O415" s="1087">
        <f t="shared" si="97"/>
        <v>4396.80</v>
      </c>
      <c r="P415" s="269">
        <f t="shared" si="114"/>
        <v>1</v>
      </c>
      <c r="Q415" s="269" t="str">
        <f t="shared" si="98"/>
        <v/>
      </c>
      <c r="R415" s="1147"/>
      <c r="S415" s="1143" t="str">
        <f t="shared" si="99"/>
        <v>Same Size</v>
      </c>
      <c r="T415" s="1144">
        <f t="shared" si="100"/>
        <v>2228</v>
      </c>
      <c r="U415" s="1144">
        <f t="shared" si="101"/>
        <v>889</v>
      </c>
      <c r="V415" s="1146">
        <f t="shared" si="102"/>
        <v>16236.218181818182</v>
      </c>
      <c r="W415" s="1146">
        <f t="shared" si="103"/>
        <v>12149.835294117647</v>
      </c>
      <c r="X415" s="1146">
        <f t="shared" si="104"/>
        <v>4086.3828877005344</v>
      </c>
      <c r="Y415" s="1146">
        <f t="shared" si="105"/>
        <v>12842.759581881532</v>
      </c>
      <c r="Z415" s="1146">
        <f t="shared" si="106"/>
        <v>12149.835294117647</v>
      </c>
      <c r="AA415" s="1146">
        <f t="shared" si="107"/>
        <v>692.92428776388442</v>
      </c>
      <c r="AB415" s="1146">
        <f t="shared" si="108"/>
        <v>16236.218181818182</v>
      </c>
      <c r="AC415" s="1146">
        <f t="shared" si="109"/>
        <v>12149.835294117647</v>
      </c>
      <c r="AD415" s="1146">
        <f t="shared" si="110"/>
        <v>4086.3828877005344</v>
      </c>
      <c r="AE415" s="1146">
        <f t="shared" si="111"/>
        <v>12842.759581881532</v>
      </c>
      <c r="AF415" s="1146">
        <f t="shared" si="112"/>
        <v>12149.835294117647</v>
      </c>
      <c r="AG415" s="1146">
        <f t="shared" si="113"/>
        <v>692.92428776388442</v>
      </c>
    </row>
    <row r="416" spans="2:33" ht="14.4">
      <c r="B416" s="1134">
        <v>4191086</v>
      </c>
      <c r="C416" s="1135"/>
      <c r="D416" s="1134">
        <v>41910</v>
      </c>
      <c r="E416" s="1136">
        <v>42194</v>
      </c>
      <c r="F416" s="1137">
        <v>48000</v>
      </c>
      <c r="G416" s="1134">
        <v>10</v>
      </c>
      <c r="H416" s="1137">
        <v>49000</v>
      </c>
      <c r="I416" s="1134">
        <v>15</v>
      </c>
      <c r="J416" s="1138">
        <v>5170</v>
      </c>
      <c r="K416" s="1139"/>
      <c r="L416" s="1140">
        <v>42220</v>
      </c>
      <c r="M416" s="269">
        <f t="shared" si="96"/>
        <v>3</v>
      </c>
      <c r="N416" s="1141">
        <v>250</v>
      </c>
      <c r="O416" s="1087">
        <f t="shared" si="97"/>
        <v>4213.6000000000004</v>
      </c>
      <c r="P416" s="269">
        <f t="shared" si="114"/>
        <v>1</v>
      </c>
      <c r="Q416" s="269" t="str">
        <f t="shared" si="98"/>
        <v/>
      </c>
      <c r="R416" s="1147"/>
      <c r="S416" s="1143" t="str">
        <f t="shared" si="99"/>
        <v>Upsize</v>
      </c>
      <c r="T416" s="1144">
        <f t="shared" si="100"/>
        <v>2182.5306122448978</v>
      </c>
      <c r="U416" s="1144">
        <f t="shared" si="101"/>
        <v>870.85714285714289</v>
      </c>
      <c r="V416" s="1146">
        <f t="shared" si="102"/>
        <v>15904.866790352506</v>
      </c>
      <c r="W416" s="1146">
        <f t="shared" si="103"/>
        <v>12149.835294117647</v>
      </c>
      <c r="X416" s="1146">
        <f t="shared" si="104"/>
        <v>3755.0314962348584</v>
      </c>
      <c r="Y416" s="1146">
        <f t="shared" si="105"/>
        <v>12580.662447557423</v>
      </c>
      <c r="Z416" s="1146">
        <f t="shared" si="106"/>
        <v>12149.835294117647</v>
      </c>
      <c r="AA416" s="1146">
        <f t="shared" si="107"/>
        <v>430.82715343977543</v>
      </c>
      <c r="AB416" s="1146">
        <f t="shared" si="108"/>
        <v>16236.218181818182</v>
      </c>
      <c r="AC416" s="1146">
        <f t="shared" si="109"/>
        <v>12149.835294117647</v>
      </c>
      <c r="AD416" s="1146">
        <f t="shared" si="110"/>
        <v>4086.3828877005344</v>
      </c>
      <c r="AE416" s="1146">
        <f t="shared" si="111"/>
        <v>12842.759581881535</v>
      </c>
      <c r="AF416" s="1146">
        <f t="shared" si="112"/>
        <v>12149.835294117647</v>
      </c>
      <c r="AG416" s="1146">
        <f t="shared" si="113"/>
        <v>692.92428776388806</v>
      </c>
    </row>
    <row r="417" spans="2:33" ht="14.4">
      <c r="B417" s="1134">
        <v>3842259</v>
      </c>
      <c r="C417" s="1135"/>
      <c r="D417" s="1134">
        <v>186543</v>
      </c>
      <c r="E417" s="1136">
        <v>42153</v>
      </c>
      <c r="F417" s="1137">
        <v>48000</v>
      </c>
      <c r="G417" s="1134">
        <v>10</v>
      </c>
      <c r="H417" s="1137">
        <v>47500</v>
      </c>
      <c r="I417" s="1134">
        <v>15</v>
      </c>
      <c r="J417" s="1138">
        <v>4500</v>
      </c>
      <c r="K417" s="1139"/>
      <c r="L417" s="1140">
        <v>42220</v>
      </c>
      <c r="M417" s="269">
        <f t="shared" si="96"/>
        <v>3</v>
      </c>
      <c r="N417" s="1141">
        <v>250</v>
      </c>
      <c r="O417" s="1087">
        <f t="shared" si="97"/>
        <v>4488.4000000000005</v>
      </c>
      <c r="P417" s="269">
        <f t="shared" si="114"/>
        <v>1</v>
      </c>
      <c r="Q417" s="269" t="str">
        <f t="shared" si="98"/>
        <v/>
      </c>
      <c r="R417" s="1147"/>
      <c r="S417" s="1143" t="str">
        <f t="shared" si="99"/>
        <v>Downsize</v>
      </c>
      <c r="T417" s="1144">
        <f t="shared" si="100"/>
        <v>2251.4526315789476</v>
      </c>
      <c r="U417" s="1144">
        <f t="shared" si="101"/>
        <v>898.35789473684213</v>
      </c>
      <c r="V417" s="1146">
        <f t="shared" si="102"/>
        <v>16407.125741626798</v>
      </c>
      <c r="W417" s="1146">
        <f t="shared" si="103"/>
        <v>12149.835294117649</v>
      </c>
      <c r="X417" s="1146">
        <f t="shared" si="104"/>
        <v>4257.2904475091491</v>
      </c>
      <c r="Y417" s="1146">
        <f t="shared" si="105"/>
        <v>12977.946524848709</v>
      </c>
      <c r="Z417" s="1146">
        <f t="shared" si="106"/>
        <v>12149.835294117649</v>
      </c>
      <c r="AA417" s="1146">
        <f t="shared" si="107"/>
        <v>828.11123073105955</v>
      </c>
      <c r="AB417" s="1146">
        <f t="shared" si="108"/>
        <v>16236.218181818183</v>
      </c>
      <c r="AC417" s="1146">
        <f t="shared" si="109"/>
        <v>12149.835294117649</v>
      </c>
      <c r="AD417" s="1146">
        <f t="shared" si="110"/>
        <v>4086.3828877005344</v>
      </c>
      <c r="AE417" s="1146">
        <f t="shared" si="111"/>
        <v>12842.759581881535</v>
      </c>
      <c r="AF417" s="1146">
        <f t="shared" si="112"/>
        <v>12149.835294117649</v>
      </c>
      <c r="AG417" s="1146">
        <f t="shared" si="113"/>
        <v>692.92428776388624</v>
      </c>
    </row>
    <row r="418" spans="2:33" ht="14.4">
      <c r="B418" s="1134">
        <v>8809220</v>
      </c>
      <c r="C418" s="1135"/>
      <c r="D418" s="1134">
        <v>480969</v>
      </c>
      <c r="E418" s="1136">
        <v>42193</v>
      </c>
      <c r="F418" s="1137">
        <v>48000</v>
      </c>
      <c r="G418" s="1134">
        <v>10</v>
      </c>
      <c r="H418" s="1137">
        <v>48500</v>
      </c>
      <c r="I418" s="1134">
        <v>15</v>
      </c>
      <c r="J418" s="1138">
        <v>5400</v>
      </c>
      <c r="K418" s="1139"/>
      <c r="L418" s="1140">
        <v>42220</v>
      </c>
      <c r="M418" s="269">
        <f t="shared" si="96"/>
        <v>3</v>
      </c>
      <c r="N418" s="1141">
        <v>250</v>
      </c>
      <c r="O418" s="1087">
        <f t="shared" si="97"/>
        <v>4305.20</v>
      </c>
      <c r="P418" s="269">
        <f t="shared" si="114"/>
        <v>1</v>
      </c>
      <c r="Q418" s="269" t="str">
        <f t="shared" si="98"/>
        <v/>
      </c>
      <c r="R418" s="1147"/>
      <c r="S418" s="1143" t="str">
        <f t="shared" si="99"/>
        <v>Upsize</v>
      </c>
      <c r="T418" s="1144">
        <f t="shared" si="100"/>
        <v>2205.0309278350514</v>
      </c>
      <c r="U418" s="1144">
        <f t="shared" si="101"/>
        <v>879.83505154639181</v>
      </c>
      <c r="V418" s="1146">
        <f t="shared" si="102"/>
        <v>16068.834489222118</v>
      </c>
      <c r="W418" s="1146">
        <f t="shared" si="103"/>
        <v>12149.835294117647</v>
      </c>
      <c r="X418" s="1146">
        <f t="shared" si="104"/>
        <v>3918.9991951044703</v>
      </c>
      <c r="Y418" s="1146">
        <f t="shared" si="105"/>
        <v>12710.359998563166</v>
      </c>
      <c r="Z418" s="1146">
        <f t="shared" si="106"/>
        <v>12149.835294117647</v>
      </c>
      <c r="AA418" s="1146">
        <f t="shared" si="107"/>
        <v>560.52470444551909</v>
      </c>
      <c r="AB418" s="1146">
        <f t="shared" si="108"/>
        <v>16236.218181818182</v>
      </c>
      <c r="AC418" s="1146">
        <f t="shared" si="109"/>
        <v>12149.835294117647</v>
      </c>
      <c r="AD418" s="1146">
        <f t="shared" si="110"/>
        <v>4086.3828877005344</v>
      </c>
      <c r="AE418" s="1146">
        <f t="shared" si="111"/>
        <v>12842.759581881533</v>
      </c>
      <c r="AF418" s="1146">
        <f t="shared" si="112"/>
        <v>12149.835294117647</v>
      </c>
      <c r="AG418" s="1146">
        <f t="shared" si="113"/>
        <v>692.92428776388624</v>
      </c>
    </row>
    <row r="419" spans="2:33" ht="14.4">
      <c r="B419" s="1134">
        <v>3829561</v>
      </c>
      <c r="C419" s="1135"/>
      <c r="D419" s="1134">
        <v>382956</v>
      </c>
      <c r="E419" s="1136">
        <v>42186</v>
      </c>
      <c r="F419" s="1137">
        <v>30000</v>
      </c>
      <c r="G419" s="1134">
        <v>10</v>
      </c>
      <c r="H419" s="1137">
        <v>28000</v>
      </c>
      <c r="I419" s="1134">
        <v>15</v>
      </c>
      <c r="J419" s="1138">
        <v>5700</v>
      </c>
      <c r="K419" s="1139"/>
      <c r="L419" s="1140">
        <v>42220</v>
      </c>
      <c r="M419" s="269">
        <f t="shared" si="96"/>
        <v>3</v>
      </c>
      <c r="N419" s="1141">
        <v>150</v>
      </c>
      <c r="O419" s="1087">
        <f t="shared" si="97"/>
        <v>3114.40</v>
      </c>
      <c r="P419" s="269">
        <f t="shared" si="114"/>
        <v>1</v>
      </c>
      <c r="Q419" s="269" t="str">
        <f t="shared" si="98"/>
        <v/>
      </c>
      <c r="R419" s="1147"/>
      <c r="S419" s="1143" t="str">
        <f t="shared" si="99"/>
        <v>Downsize</v>
      </c>
      <c r="T419" s="1144">
        <f t="shared" si="100"/>
        <v>2387.1428571428569</v>
      </c>
      <c r="U419" s="1144">
        <f t="shared" si="101"/>
        <v>952.50</v>
      </c>
      <c r="V419" s="1146">
        <f t="shared" si="102"/>
        <v>10872.46753246753</v>
      </c>
      <c r="W419" s="1146">
        <f t="shared" si="103"/>
        <v>7593.6470588235297</v>
      </c>
      <c r="X419" s="1146">
        <f t="shared" si="104"/>
        <v>3278.8204736440002</v>
      </c>
      <c r="Y419" s="1146">
        <f t="shared" si="105"/>
        <v>8600.0622200099533</v>
      </c>
      <c r="Z419" s="1146">
        <f t="shared" si="106"/>
        <v>7593.6470588235297</v>
      </c>
      <c r="AA419" s="1146">
        <f t="shared" si="107"/>
        <v>1006.4151611864236</v>
      </c>
      <c r="AB419" s="1146">
        <f t="shared" si="108"/>
        <v>10147.636363636362</v>
      </c>
      <c r="AC419" s="1146">
        <f t="shared" si="109"/>
        <v>7593.6470588235297</v>
      </c>
      <c r="AD419" s="1146">
        <f t="shared" si="110"/>
        <v>2553.9893048128324</v>
      </c>
      <c r="AE419" s="1146">
        <f t="shared" si="111"/>
        <v>8026.7247386759573</v>
      </c>
      <c r="AF419" s="1146">
        <f t="shared" si="112"/>
        <v>7593.6470588235297</v>
      </c>
      <c r="AG419" s="1146">
        <f t="shared" si="113"/>
        <v>433.07767985242754</v>
      </c>
    </row>
    <row r="420" spans="2:33" ht="14.4">
      <c r="B420" s="1134">
        <v>1480755</v>
      </c>
      <c r="C420" s="1135"/>
      <c r="D420" s="1134">
        <v>148075</v>
      </c>
      <c r="E420" s="1136">
        <v>42192</v>
      </c>
      <c r="F420" s="1137">
        <v>24000</v>
      </c>
      <c r="G420" s="1134">
        <v>12</v>
      </c>
      <c r="H420" s="1137">
        <v>24000</v>
      </c>
      <c r="I420" s="1134">
        <v>15</v>
      </c>
      <c r="J420" s="1138">
        <v>4848</v>
      </c>
      <c r="K420" s="1139"/>
      <c r="L420" s="1140">
        <v>42220</v>
      </c>
      <c r="M420" s="269">
        <f t="shared" si="96"/>
        <v>3</v>
      </c>
      <c r="N420" s="1141">
        <v>125</v>
      </c>
      <c r="O420" s="1087">
        <f t="shared" si="97"/>
        <v>1099.20</v>
      </c>
      <c r="P420" s="269">
        <f t="shared" si="114"/>
        <v>1</v>
      </c>
      <c r="Q420" s="269" t="str">
        <f t="shared" si="98"/>
        <v/>
      </c>
      <c r="R420" s="1147"/>
      <c r="S420" s="1143" t="str">
        <f t="shared" si="99"/>
        <v>Same Size</v>
      </c>
      <c r="T420" s="1144">
        <f t="shared" si="100"/>
        <v>2228</v>
      </c>
      <c r="U420" s="1144">
        <f t="shared" si="101"/>
        <v>889</v>
      </c>
      <c r="V420" s="1146">
        <f t="shared" si="102"/>
        <v>7226.909090909091</v>
      </c>
      <c r="W420" s="1146">
        <f t="shared" si="103"/>
        <v>6074.9176470588236</v>
      </c>
      <c r="X420" s="1146">
        <f t="shared" si="104"/>
        <v>1151.9914438502674</v>
      </c>
      <c r="Y420" s="1146">
        <f t="shared" si="105"/>
        <v>6421.3797909407658</v>
      </c>
      <c r="Z420" s="1146">
        <f t="shared" si="106"/>
        <v>6074.9176470588236</v>
      </c>
      <c r="AA420" s="1146">
        <f t="shared" si="107"/>
        <v>346.46214388194221</v>
      </c>
      <c r="AB420" s="1146">
        <f t="shared" si="108"/>
        <v>7226.909090909091</v>
      </c>
      <c r="AC420" s="1146">
        <f t="shared" si="109"/>
        <v>6074.9176470588236</v>
      </c>
      <c r="AD420" s="1146">
        <f t="shared" si="110"/>
        <v>1151.9914438502674</v>
      </c>
      <c r="AE420" s="1146">
        <f t="shared" si="111"/>
        <v>6421.3797909407658</v>
      </c>
      <c r="AF420" s="1146">
        <f t="shared" si="112"/>
        <v>6074.9176470588236</v>
      </c>
      <c r="AG420" s="1146">
        <f t="shared" si="113"/>
        <v>346.46214388194221</v>
      </c>
    </row>
    <row r="421" spans="2:33" ht="14.4">
      <c r="B421" s="1134">
        <v>1054881</v>
      </c>
      <c r="C421" s="1135"/>
      <c r="D421" s="1134">
        <v>105488</v>
      </c>
      <c r="E421" s="1136">
        <v>42188</v>
      </c>
      <c r="F421" s="1137">
        <v>36000</v>
      </c>
      <c r="G421" s="1134">
        <v>11</v>
      </c>
      <c r="H421" s="1137">
        <v>33000</v>
      </c>
      <c r="I421" s="1134">
        <v>15</v>
      </c>
      <c r="J421" s="1138">
        <v>7869</v>
      </c>
      <c r="K421" s="1139"/>
      <c r="L421" s="1140">
        <v>42220</v>
      </c>
      <c r="M421" s="269">
        <f t="shared" si="96"/>
        <v>3</v>
      </c>
      <c r="N421" s="1141">
        <v>150</v>
      </c>
      <c r="O421" s="1087">
        <f t="shared" si="97"/>
        <v>2947.8545454545451</v>
      </c>
      <c r="P421" s="269">
        <f t="shared" si="114"/>
        <v>1</v>
      </c>
      <c r="Q421" s="269" t="str">
        <f t="shared" si="98"/>
        <v/>
      </c>
      <c r="R421" s="1147"/>
      <c r="S421" s="1143" t="str">
        <f t="shared" si="99"/>
        <v>Downsize</v>
      </c>
      <c r="T421" s="1144">
        <f t="shared" si="100"/>
        <v>2430.5454545454545</v>
      </c>
      <c r="U421" s="1144">
        <f t="shared" si="101"/>
        <v>969.81818181818176</v>
      </c>
      <c r="V421" s="1146">
        <f t="shared" si="102"/>
        <v>12488.727272727272</v>
      </c>
      <c r="W421" s="1146">
        <f t="shared" si="103"/>
        <v>9112.376470588235</v>
      </c>
      <c r="X421" s="1146">
        <f t="shared" si="104"/>
        <v>3376.3508021390371</v>
      </c>
      <c r="Y421" s="1146">
        <f t="shared" si="105"/>
        <v>10507.712385175801</v>
      </c>
      <c r="Z421" s="1146">
        <f t="shared" si="106"/>
        <v>9112.376470588235</v>
      </c>
      <c r="AA421" s="1146">
        <f t="shared" si="107"/>
        <v>1395.3359145875656</v>
      </c>
      <c r="AB421" s="1146">
        <f t="shared" si="108"/>
        <v>11447.999999999998</v>
      </c>
      <c r="AC421" s="1146">
        <f t="shared" si="109"/>
        <v>9112.376470588235</v>
      </c>
      <c r="AD421" s="1146">
        <f t="shared" si="110"/>
        <v>2335.6235294117632</v>
      </c>
      <c r="AE421" s="1146">
        <f t="shared" si="111"/>
        <v>9632.0696864111505</v>
      </c>
      <c r="AF421" s="1146">
        <f t="shared" si="112"/>
        <v>9112.376470588235</v>
      </c>
      <c r="AG421" s="1146">
        <f t="shared" si="113"/>
        <v>519.69321582291559</v>
      </c>
    </row>
    <row r="422" spans="2:33" ht="14.4">
      <c r="B422" s="1134">
        <v>5964317</v>
      </c>
      <c r="C422" s="1135"/>
      <c r="D422" s="1134">
        <v>590080</v>
      </c>
      <c r="E422" s="1136">
        <v>42082</v>
      </c>
      <c r="F422" s="1137">
        <v>36000</v>
      </c>
      <c r="G422" s="1134">
        <v>10</v>
      </c>
      <c r="H422" s="1137">
        <v>35600</v>
      </c>
      <c r="I422" s="1134">
        <v>15</v>
      </c>
      <c r="J422" s="1138">
        <v>5975</v>
      </c>
      <c r="K422" s="1139"/>
      <c r="L422" s="1140">
        <v>42220</v>
      </c>
      <c r="M422" s="269">
        <f t="shared" si="96"/>
        <v>3</v>
      </c>
      <c r="N422" s="1141">
        <v>175</v>
      </c>
      <c r="O422" s="1087">
        <f t="shared" si="97"/>
        <v>3370.8799999999997</v>
      </c>
      <c r="P422" s="269">
        <f t="shared" si="114"/>
        <v>1</v>
      </c>
      <c r="Q422" s="269" t="str">
        <f t="shared" si="98"/>
        <v/>
      </c>
      <c r="R422" s="1147"/>
      <c r="S422" s="1143" t="str">
        <f t="shared" si="99"/>
        <v>Downsize</v>
      </c>
      <c r="T422" s="1144">
        <f t="shared" si="100"/>
        <v>2253.0337078651687</v>
      </c>
      <c r="U422" s="1144">
        <f t="shared" si="101"/>
        <v>898.98876404494388</v>
      </c>
      <c r="V422" s="1146">
        <f t="shared" si="102"/>
        <v>12313.985699693565</v>
      </c>
      <c r="W422" s="1146">
        <f t="shared" si="103"/>
        <v>9112.3764705882368</v>
      </c>
      <c r="X422" s="1146">
        <f t="shared" si="104"/>
        <v>3201.6092291053283</v>
      </c>
      <c r="Y422" s="1146">
        <f t="shared" si="105"/>
        <v>9740.2951885056591</v>
      </c>
      <c r="Z422" s="1146">
        <f t="shared" si="106"/>
        <v>9112.3764705882368</v>
      </c>
      <c r="AA422" s="1146">
        <f t="shared" si="107"/>
        <v>627.91871791742233</v>
      </c>
      <c r="AB422" s="1146">
        <f t="shared" si="108"/>
        <v>12177.163636363637</v>
      </c>
      <c r="AC422" s="1146">
        <f t="shared" si="109"/>
        <v>9112.3764705882368</v>
      </c>
      <c r="AD422" s="1146">
        <f t="shared" si="110"/>
        <v>3064.7871657754004</v>
      </c>
      <c r="AE422" s="1146">
        <f t="shared" si="111"/>
        <v>9632.0696864111524</v>
      </c>
      <c r="AF422" s="1146">
        <f t="shared" si="112"/>
        <v>9112.3764705882368</v>
      </c>
      <c r="AG422" s="1146">
        <f t="shared" si="113"/>
        <v>519.69321582291559</v>
      </c>
    </row>
    <row r="423" spans="2:33" ht="14.4">
      <c r="B423" s="1134">
        <v>1552652</v>
      </c>
      <c r="C423" s="1135"/>
      <c r="D423" s="1134">
        <v>155265</v>
      </c>
      <c r="E423" s="1136">
        <v>42157</v>
      </c>
      <c r="F423" s="1137">
        <v>36000</v>
      </c>
      <c r="G423" s="1134">
        <v>11</v>
      </c>
      <c r="H423" s="1137">
        <v>34200</v>
      </c>
      <c r="I423" s="1134">
        <v>15</v>
      </c>
      <c r="J423" s="1138">
        <v>6650</v>
      </c>
      <c r="K423" s="1139"/>
      <c r="L423" s="1140">
        <v>42220</v>
      </c>
      <c r="M423" s="269">
        <f t="shared" si="96"/>
        <v>3</v>
      </c>
      <c r="N423" s="1141">
        <v>175</v>
      </c>
      <c r="O423" s="1087">
        <f t="shared" si="97"/>
        <v>2728.014545454545</v>
      </c>
      <c r="P423" s="269">
        <f t="shared" si="114"/>
        <v>1</v>
      </c>
      <c r="Q423" s="269" t="str">
        <f t="shared" si="98"/>
        <v/>
      </c>
      <c r="R423" s="1147"/>
      <c r="S423" s="1143" t="str">
        <f t="shared" si="99"/>
        <v>Downsize</v>
      </c>
      <c r="T423" s="1144">
        <f t="shared" si="100"/>
        <v>2345.2631578947367</v>
      </c>
      <c r="U423" s="1144">
        <f t="shared" si="101"/>
        <v>935.78947368421052</v>
      </c>
      <c r="V423" s="1146">
        <f t="shared" si="102"/>
        <v>12050.526315789473</v>
      </c>
      <c r="W423" s="1146">
        <f t="shared" si="103"/>
        <v>9112.3764705882368</v>
      </c>
      <c r="X423" s="1146">
        <f t="shared" si="104"/>
        <v>2938.1498452012365</v>
      </c>
      <c r="Y423" s="1146">
        <f t="shared" si="105"/>
        <v>10139.020722538051</v>
      </c>
      <c r="Z423" s="1146">
        <f t="shared" si="106"/>
        <v>9112.3764705882368</v>
      </c>
      <c r="AA423" s="1146">
        <f t="shared" si="107"/>
        <v>1026.6442519498141</v>
      </c>
      <c r="AB423" s="1146">
        <f t="shared" si="108"/>
        <v>11448</v>
      </c>
      <c r="AC423" s="1146">
        <f t="shared" si="109"/>
        <v>9112.3764705882368</v>
      </c>
      <c r="AD423" s="1146">
        <f t="shared" si="110"/>
        <v>2335.6235294117632</v>
      </c>
      <c r="AE423" s="1146">
        <f t="shared" si="111"/>
        <v>9632.0696864111487</v>
      </c>
      <c r="AF423" s="1146">
        <f t="shared" si="112"/>
        <v>9112.3764705882368</v>
      </c>
      <c r="AG423" s="1146">
        <f t="shared" si="113"/>
        <v>519.69321582291195</v>
      </c>
    </row>
    <row r="424" spans="2:33" ht="14.4">
      <c r="B424" s="1134">
        <v>3034030</v>
      </c>
      <c r="C424" s="1135"/>
      <c r="D424" s="1134">
        <v>296645</v>
      </c>
      <c r="E424" s="1136">
        <v>42193</v>
      </c>
      <c r="F424" s="1137">
        <v>34000</v>
      </c>
      <c r="G424" s="1134">
        <v>10</v>
      </c>
      <c r="H424" s="1137">
        <v>36000</v>
      </c>
      <c r="I424" s="1134">
        <v>16</v>
      </c>
      <c r="J424" s="1138">
        <v>8372</v>
      </c>
      <c r="K424" s="1139"/>
      <c r="L424" s="1140">
        <v>42220</v>
      </c>
      <c r="M424" s="269">
        <f t="shared" si="96"/>
        <v>3</v>
      </c>
      <c r="N424" s="1141">
        <v>225</v>
      </c>
      <c r="O424" s="1087">
        <f t="shared" si="97"/>
        <v>3160.2000000000003</v>
      </c>
      <c r="P424" s="269">
        <f t="shared" si="114"/>
        <v>1</v>
      </c>
      <c r="Q424" s="269" t="str">
        <f t="shared" si="98"/>
        <v/>
      </c>
      <c r="R424" s="1147"/>
      <c r="S424" s="1143" t="str">
        <f t="shared" si="99"/>
        <v>Upsize</v>
      </c>
      <c r="T424" s="1144">
        <f t="shared" si="100"/>
        <v>2104.2222222222222</v>
      </c>
      <c r="U424" s="1144">
        <f t="shared" si="101"/>
        <v>839.61111111111109</v>
      </c>
      <c r="V424" s="1146">
        <f t="shared" si="102"/>
        <v>10861.729292929293</v>
      </c>
      <c r="W424" s="1146">
        <f t="shared" si="103"/>
        <v>8290.50</v>
      </c>
      <c r="X424" s="1146">
        <f t="shared" si="104"/>
        <v>2571.2292929292926</v>
      </c>
      <c r="Y424" s="1146">
        <f t="shared" si="105"/>
        <v>8591.5683313975987</v>
      </c>
      <c r="Z424" s="1146">
        <f t="shared" si="106"/>
        <v>8290.50</v>
      </c>
      <c r="AA424" s="1146">
        <f t="shared" si="107"/>
        <v>301.06833139759874</v>
      </c>
      <c r="AB424" s="1146">
        <f t="shared" si="108"/>
        <v>11500.654545454545</v>
      </c>
      <c r="AC424" s="1146">
        <f t="shared" si="109"/>
        <v>8290.50</v>
      </c>
      <c r="AD424" s="1146">
        <f t="shared" si="110"/>
        <v>3210.1545454545449</v>
      </c>
      <c r="AE424" s="1146">
        <f t="shared" si="111"/>
        <v>9096.9547038327528</v>
      </c>
      <c r="AF424" s="1146">
        <f t="shared" si="112"/>
        <v>8290.50</v>
      </c>
      <c r="AG424" s="1146">
        <f t="shared" si="113"/>
        <v>806.45470383275278</v>
      </c>
    </row>
    <row r="425" spans="2:33" ht="14.4">
      <c r="B425" s="1134">
        <v>8889325</v>
      </c>
      <c r="C425" s="1135"/>
      <c r="D425" s="1134">
        <v>696167</v>
      </c>
      <c r="E425" s="1136">
        <v>42193</v>
      </c>
      <c r="F425" s="1137">
        <v>36000</v>
      </c>
      <c r="G425" s="1134">
        <v>10</v>
      </c>
      <c r="H425" s="1137">
        <v>35200</v>
      </c>
      <c r="I425" s="1134">
        <v>17.75</v>
      </c>
      <c r="J425" s="1138">
        <v>7800</v>
      </c>
      <c r="K425" s="1139"/>
      <c r="L425" s="1140">
        <v>42220</v>
      </c>
      <c r="M425" s="269">
        <f t="shared" si="96"/>
        <v>3</v>
      </c>
      <c r="N425" s="1141">
        <v>275</v>
      </c>
      <c r="O425" s="1087">
        <f t="shared" si="97"/>
        <v>4443.2450704225357</v>
      </c>
      <c r="P425" s="269">
        <f t="shared" si="114"/>
        <v>1</v>
      </c>
      <c r="Q425" s="269" t="str">
        <f t="shared" si="98"/>
        <v/>
      </c>
      <c r="R425" s="1147"/>
      <c r="S425" s="1143" t="str">
        <f t="shared" si="99"/>
        <v>Downsize</v>
      </c>
      <c r="T425" s="1144">
        <f t="shared" si="100"/>
        <v>2278.6363636363635</v>
      </c>
      <c r="U425" s="1144">
        <f t="shared" si="101"/>
        <v>909.20454545454538</v>
      </c>
      <c r="V425" s="1146">
        <f t="shared" si="102"/>
        <v>12453.917355371899</v>
      </c>
      <c r="W425" s="1146">
        <f t="shared" si="103"/>
        <v>8283.9370339685174</v>
      </c>
      <c r="X425" s="1146">
        <f t="shared" si="104"/>
        <v>4169.9803214033818</v>
      </c>
      <c r="Y425" s="1146">
        <f t="shared" si="105"/>
        <v>9850.9803611023126</v>
      </c>
      <c r="Z425" s="1146">
        <f t="shared" si="106"/>
        <v>8283.9370339685174</v>
      </c>
      <c r="AA425" s="1146">
        <f t="shared" si="107"/>
        <v>1567.0433271337952</v>
      </c>
      <c r="AB425" s="1146">
        <f t="shared" si="108"/>
        <v>12177.163636363637</v>
      </c>
      <c r="AC425" s="1146">
        <f t="shared" si="109"/>
        <v>8283.9370339685174</v>
      </c>
      <c r="AD425" s="1146">
        <f t="shared" si="110"/>
        <v>3893.2266023951197</v>
      </c>
      <c r="AE425" s="1146">
        <f t="shared" si="111"/>
        <v>9632.0696864111505</v>
      </c>
      <c r="AF425" s="1146">
        <f t="shared" si="112"/>
        <v>8283.9370339685174</v>
      </c>
      <c r="AG425" s="1146">
        <f t="shared" si="113"/>
        <v>1348.1326524426331</v>
      </c>
    </row>
    <row r="426" spans="2:33" ht="14.4">
      <c r="B426" s="1134">
        <v>8803821</v>
      </c>
      <c r="C426" s="1135"/>
      <c r="D426" s="1134">
        <v>326674</v>
      </c>
      <c r="E426" s="1136">
        <v>42203</v>
      </c>
      <c r="F426" s="1137">
        <v>36000</v>
      </c>
      <c r="G426" s="1134">
        <v>10</v>
      </c>
      <c r="H426" s="1137">
        <v>42500</v>
      </c>
      <c r="I426" s="1134">
        <v>15</v>
      </c>
      <c r="J426" s="1138">
        <v>5450</v>
      </c>
      <c r="K426" s="1139"/>
      <c r="L426" s="1140">
        <v>42220</v>
      </c>
      <c r="M426" s="269">
        <f t="shared" si="96"/>
        <v>3</v>
      </c>
      <c r="N426" s="1141">
        <v>225</v>
      </c>
      <c r="O426" s="1087">
        <f t="shared" si="97"/>
        <v>2106.7999999999997</v>
      </c>
      <c r="P426" s="269">
        <f t="shared" si="114"/>
        <v>1</v>
      </c>
      <c r="Q426" s="269" t="str">
        <f t="shared" si="98"/>
        <v/>
      </c>
      <c r="R426" s="1147"/>
      <c r="S426" s="1143" t="str">
        <f t="shared" si="99"/>
        <v>Upsize</v>
      </c>
      <c r="T426" s="1144">
        <f t="shared" si="100"/>
        <v>1887.2470588235294</v>
      </c>
      <c r="U426" s="1144">
        <f t="shared" si="101"/>
        <v>753.03529411764703</v>
      </c>
      <c r="V426" s="1146">
        <f t="shared" si="102"/>
        <v>10314.773903743315</v>
      </c>
      <c r="W426" s="1146">
        <f t="shared" si="103"/>
        <v>9112.376470588235</v>
      </c>
      <c r="X426" s="1146">
        <f t="shared" si="104"/>
        <v>1202.3974331550799</v>
      </c>
      <c r="Y426" s="1146">
        <f t="shared" si="105"/>
        <v>8158.9296167247394</v>
      </c>
      <c r="Z426" s="1146">
        <f t="shared" si="106"/>
        <v>9112.376470588235</v>
      </c>
      <c r="AA426" s="1146">
        <f t="shared" si="107"/>
        <v>-953.44685386349556</v>
      </c>
      <c r="AB426" s="1146">
        <f t="shared" si="108"/>
        <v>12177.163636363635</v>
      </c>
      <c r="AC426" s="1146">
        <f t="shared" si="109"/>
        <v>9112.376470588235</v>
      </c>
      <c r="AD426" s="1146">
        <f t="shared" si="110"/>
        <v>3064.7871657754004</v>
      </c>
      <c r="AE426" s="1146">
        <f t="shared" si="111"/>
        <v>9632.0696864111505</v>
      </c>
      <c r="AF426" s="1146">
        <f t="shared" si="112"/>
        <v>9112.376470588235</v>
      </c>
      <c r="AG426" s="1146">
        <f t="shared" si="113"/>
        <v>519.69321582291559</v>
      </c>
    </row>
    <row r="427" spans="2:33" ht="14.4">
      <c r="B427" s="1134">
        <v>6975858</v>
      </c>
      <c r="C427" s="1135"/>
      <c r="D427" s="1134">
        <v>307377</v>
      </c>
      <c r="E427" s="1136">
        <v>42207</v>
      </c>
      <c r="F427" s="1137">
        <v>30000</v>
      </c>
      <c r="G427" s="1134">
        <v>8</v>
      </c>
      <c r="H427" s="1137">
        <v>34800</v>
      </c>
      <c r="I427" s="1134">
        <v>15</v>
      </c>
      <c r="J427" s="1138">
        <v>4150</v>
      </c>
      <c r="K427" s="1139"/>
      <c r="L427" s="1140">
        <v>42220</v>
      </c>
      <c r="M427" s="269">
        <f t="shared" si="96"/>
        <v>3</v>
      </c>
      <c r="N427" s="1141">
        <v>175</v>
      </c>
      <c r="O427" s="1087">
        <f t="shared" si="97"/>
        <v>3929.6400000000003</v>
      </c>
      <c r="P427" s="269">
        <f t="shared" si="114"/>
        <v>1</v>
      </c>
      <c r="Q427" s="269" t="str">
        <f t="shared" si="98"/>
        <v/>
      </c>
      <c r="R427" s="1147"/>
      <c r="S427" s="1143" t="str">
        <f t="shared" si="99"/>
        <v>Upsize</v>
      </c>
      <c r="T427" s="1144">
        <f t="shared" si="100"/>
        <v>1920.6896551724137</v>
      </c>
      <c r="U427" s="1144">
        <f t="shared" si="101"/>
        <v>766.37931034482756</v>
      </c>
      <c r="V427" s="1146">
        <f t="shared" si="102"/>
        <v>10188.479623824453</v>
      </c>
      <c r="W427" s="1146">
        <f t="shared" si="103"/>
        <v>7593.6470588235288</v>
      </c>
      <c r="X427" s="1146">
        <f t="shared" si="104"/>
        <v>2594.8325650009238</v>
      </c>
      <c r="Y427" s="1146">
        <f t="shared" si="105"/>
        <v>6919.5902919620321</v>
      </c>
      <c r="Z427" s="1146">
        <f t="shared" si="106"/>
        <v>7593.6470588235288</v>
      </c>
      <c r="AA427" s="1146">
        <f t="shared" si="107"/>
        <v>-674.05676686149673</v>
      </c>
      <c r="AB427" s="1146">
        <f t="shared" si="108"/>
        <v>11818.636363636364</v>
      </c>
      <c r="AC427" s="1146">
        <f t="shared" si="109"/>
        <v>7593.6470588235288</v>
      </c>
      <c r="AD427" s="1146">
        <f t="shared" si="110"/>
        <v>4224.9893048128351</v>
      </c>
      <c r="AE427" s="1146">
        <f t="shared" si="111"/>
        <v>8026.7247386759573</v>
      </c>
      <c r="AF427" s="1146">
        <f t="shared" si="112"/>
        <v>7593.6470588235288</v>
      </c>
      <c r="AG427" s="1146">
        <f t="shared" si="113"/>
        <v>433.07767985242845</v>
      </c>
    </row>
    <row r="428" spans="2:33" ht="14.4">
      <c r="B428" s="1134">
        <v>1937820</v>
      </c>
      <c r="C428" s="1135"/>
      <c r="D428" s="1134">
        <v>193782</v>
      </c>
      <c r="E428" s="1136">
        <v>42199</v>
      </c>
      <c r="F428" s="1137">
        <v>36000</v>
      </c>
      <c r="G428" s="1134">
        <v>8</v>
      </c>
      <c r="H428" s="1137">
        <v>33400</v>
      </c>
      <c r="I428" s="1134">
        <v>19</v>
      </c>
      <c r="J428" s="1138">
        <v>8967</v>
      </c>
      <c r="K428" s="1139"/>
      <c r="L428" s="1140">
        <v>42220</v>
      </c>
      <c r="M428" s="269">
        <f t="shared" si="96"/>
        <v>3</v>
      </c>
      <c r="N428" s="1141">
        <v>250</v>
      </c>
      <c r="O428" s="1087">
        <f t="shared" si="97"/>
        <v>7535.3052631578958</v>
      </c>
      <c r="P428" s="269">
        <f t="shared" si="114"/>
        <v>1</v>
      </c>
      <c r="Q428" s="269" t="str">
        <f t="shared" si="98"/>
        <v/>
      </c>
      <c r="R428" s="1147"/>
      <c r="S428" s="1143" t="str">
        <f t="shared" si="99"/>
        <v>Downsize</v>
      </c>
      <c r="T428" s="1144">
        <f t="shared" si="100"/>
        <v>2401.4371257485031</v>
      </c>
      <c r="U428" s="1144">
        <f t="shared" si="101"/>
        <v>958.20359281437129</v>
      </c>
      <c r="V428" s="1146">
        <f t="shared" si="102"/>
        <v>15286.379967338053</v>
      </c>
      <c r="W428" s="1146">
        <f t="shared" si="103"/>
        <v>7986.6501547987618</v>
      </c>
      <c r="X428" s="1146">
        <f t="shared" si="104"/>
        <v>7299.7298125392908</v>
      </c>
      <c r="Y428" s="1146">
        <f t="shared" si="105"/>
        <v>10381.871518287468</v>
      </c>
      <c r="Z428" s="1146">
        <f t="shared" si="106"/>
        <v>7986.6501547987618</v>
      </c>
      <c r="AA428" s="1146">
        <f t="shared" si="107"/>
        <v>2395.2213634887057</v>
      </c>
      <c r="AB428" s="1146">
        <f t="shared" si="108"/>
        <v>14182.363636363636</v>
      </c>
      <c r="AC428" s="1146">
        <f t="shared" si="109"/>
        <v>7986.6501547987618</v>
      </c>
      <c r="AD428" s="1146">
        <f t="shared" si="110"/>
        <v>6195.7134815648742</v>
      </c>
      <c r="AE428" s="1146">
        <f t="shared" si="111"/>
        <v>9632.0696864111505</v>
      </c>
      <c r="AF428" s="1146">
        <f t="shared" si="112"/>
        <v>7986.6501547987618</v>
      </c>
      <c r="AG428" s="1146">
        <f t="shared" si="113"/>
        <v>1645.4195316123887</v>
      </c>
    </row>
    <row r="429" spans="2:33" ht="14.4">
      <c r="B429" s="1134">
        <v>6281729</v>
      </c>
      <c r="C429" s="1135"/>
      <c r="D429" s="1134">
        <v>610222</v>
      </c>
      <c r="E429" s="1136">
        <v>42187</v>
      </c>
      <c r="F429" s="1137">
        <v>24000</v>
      </c>
      <c r="G429" s="1134">
        <v>12</v>
      </c>
      <c r="H429" s="1137">
        <v>24200</v>
      </c>
      <c r="I429" s="1134">
        <v>16</v>
      </c>
      <c r="J429" s="1138">
        <v>8116</v>
      </c>
      <c r="K429" s="1139"/>
      <c r="L429" s="1140">
        <v>42220</v>
      </c>
      <c r="M429" s="269">
        <f t="shared" si="96"/>
        <v>3</v>
      </c>
      <c r="N429" s="1141">
        <v>150</v>
      </c>
      <c r="O429" s="1087">
        <f t="shared" si="97"/>
        <v>1339.65</v>
      </c>
      <c r="P429" s="269">
        <f t="shared" si="114"/>
        <v>1</v>
      </c>
      <c r="Q429" s="269" t="str">
        <f t="shared" si="98"/>
        <v/>
      </c>
      <c r="R429" s="1147"/>
      <c r="S429" s="1143" t="str">
        <f t="shared" si="99"/>
        <v>Upsize</v>
      </c>
      <c r="T429" s="1144">
        <f t="shared" si="100"/>
        <v>2209.586776859504</v>
      </c>
      <c r="U429" s="1144">
        <f t="shared" si="101"/>
        <v>881.65289256198355</v>
      </c>
      <c r="V429" s="1146">
        <f t="shared" si="102"/>
        <v>7167.1825694966192</v>
      </c>
      <c r="W429" s="1146">
        <f t="shared" si="103"/>
        <v>5852.1176470588234</v>
      </c>
      <c r="X429" s="1146">
        <f t="shared" si="104"/>
        <v>1315.0649224377958</v>
      </c>
      <c r="Y429" s="1146">
        <f t="shared" si="105"/>
        <v>6368.3105364701823</v>
      </c>
      <c r="Z429" s="1146">
        <f t="shared" si="106"/>
        <v>5852.1176470588234</v>
      </c>
      <c r="AA429" s="1146">
        <f t="shared" si="107"/>
        <v>516.19288941135892</v>
      </c>
      <c r="AB429" s="1146">
        <f t="shared" si="108"/>
        <v>7226.9090909090901</v>
      </c>
      <c r="AC429" s="1146">
        <f t="shared" si="109"/>
        <v>5852.1176470588234</v>
      </c>
      <c r="AD429" s="1146">
        <f t="shared" si="110"/>
        <v>1374.7914438502667</v>
      </c>
      <c r="AE429" s="1146">
        <f t="shared" si="111"/>
        <v>6421.3797909407667</v>
      </c>
      <c r="AF429" s="1146">
        <f t="shared" si="112"/>
        <v>5852.1176470588234</v>
      </c>
      <c r="AG429" s="1146">
        <f t="shared" si="113"/>
        <v>569.2621438819433</v>
      </c>
    </row>
    <row r="430" spans="2:33" ht="14.4">
      <c r="B430" s="1134">
        <v>8725525</v>
      </c>
      <c r="C430" s="1135"/>
      <c r="D430" s="1134">
        <v>95330</v>
      </c>
      <c r="E430" s="1136">
        <v>42194</v>
      </c>
      <c r="F430" s="1137">
        <v>42000</v>
      </c>
      <c r="G430" s="1134">
        <v>10</v>
      </c>
      <c r="H430" s="1137">
        <v>39500</v>
      </c>
      <c r="I430" s="1134">
        <v>15</v>
      </c>
      <c r="J430" s="1138">
        <v>6000</v>
      </c>
      <c r="K430" s="1139"/>
      <c r="L430" s="1140">
        <v>42220</v>
      </c>
      <c r="M430" s="269">
        <f t="shared" si="96"/>
        <v>3</v>
      </c>
      <c r="N430" s="1141">
        <v>225</v>
      </c>
      <c r="O430" s="1087">
        <f t="shared" si="97"/>
        <v>4305.20</v>
      </c>
      <c r="P430" s="269">
        <f t="shared" si="114"/>
        <v>1</v>
      </c>
      <c r="Q430" s="269" t="str">
        <f t="shared" si="98"/>
        <v/>
      </c>
      <c r="R430" s="1147"/>
      <c r="S430" s="1143" t="str">
        <f t="shared" si="99"/>
        <v>Downsize</v>
      </c>
      <c r="T430" s="1144">
        <f t="shared" si="100"/>
        <v>2369.0126582278481</v>
      </c>
      <c r="U430" s="1144">
        <f t="shared" si="101"/>
        <v>945.26582278480998</v>
      </c>
      <c r="V430" s="1146">
        <f t="shared" si="102"/>
        <v>15105.848561565015</v>
      </c>
      <c r="W430" s="1146">
        <f t="shared" si="103"/>
        <v>10631.105882352938</v>
      </c>
      <c r="X430" s="1146">
        <f t="shared" si="104"/>
        <v>4474.7426792120768</v>
      </c>
      <c r="Y430" s="1146">
        <f t="shared" si="105"/>
        <v>11948.643408459402</v>
      </c>
      <c r="Z430" s="1146">
        <f t="shared" si="106"/>
        <v>10631.105882352938</v>
      </c>
      <c r="AA430" s="1146">
        <f t="shared" si="107"/>
        <v>1317.5375261064637</v>
      </c>
      <c r="AB430" s="1146">
        <f t="shared" si="108"/>
        <v>14206.690909090907</v>
      </c>
      <c r="AC430" s="1146">
        <f t="shared" si="109"/>
        <v>10631.105882352938</v>
      </c>
      <c r="AD430" s="1146">
        <f t="shared" si="110"/>
        <v>3575.5850267379683</v>
      </c>
      <c r="AE430" s="1146">
        <f t="shared" si="111"/>
        <v>11237.414634146342</v>
      </c>
      <c r="AF430" s="1146">
        <f t="shared" si="112"/>
        <v>10631.105882352938</v>
      </c>
      <c r="AG430" s="1146">
        <f t="shared" si="113"/>
        <v>606.30875179340364</v>
      </c>
    </row>
    <row r="431" spans="2:33" ht="14.4">
      <c r="B431" s="1134">
        <v>4273355</v>
      </c>
      <c r="C431" s="1135"/>
      <c r="D431" s="1134">
        <v>427335</v>
      </c>
      <c r="E431" s="1136">
        <v>42171</v>
      </c>
      <c r="F431" s="1137">
        <v>35000</v>
      </c>
      <c r="G431" s="1134">
        <v>10</v>
      </c>
      <c r="H431" s="1137">
        <v>35600</v>
      </c>
      <c r="I431" s="1134">
        <v>15</v>
      </c>
      <c r="J431" s="1138">
        <v>4461</v>
      </c>
      <c r="K431" s="1139"/>
      <c r="L431" s="1140">
        <v>42227</v>
      </c>
      <c r="M431" s="269">
        <f t="shared" si="96"/>
        <v>3</v>
      </c>
      <c r="N431" s="1141">
        <v>175</v>
      </c>
      <c r="O431" s="1087">
        <f t="shared" si="97"/>
        <v>3096.08</v>
      </c>
      <c r="P431" s="269">
        <f t="shared" si="114"/>
        <v>1</v>
      </c>
      <c r="Q431" s="269" t="str">
        <f t="shared" si="98"/>
        <v/>
      </c>
      <c r="R431" s="1147"/>
      <c r="S431" s="1143" t="str">
        <f t="shared" si="99"/>
        <v>Upsize</v>
      </c>
      <c r="T431" s="1144">
        <f t="shared" si="100"/>
        <v>2190.4494382022472</v>
      </c>
      <c r="U431" s="1144">
        <f t="shared" si="101"/>
        <v>874.01685393258424</v>
      </c>
      <c r="V431" s="1146">
        <f t="shared" si="102"/>
        <v>11639.376915219613</v>
      </c>
      <c r="W431" s="1146">
        <f t="shared" si="103"/>
        <v>8859.254901960785</v>
      </c>
      <c r="X431" s="1146">
        <f t="shared" si="104"/>
        <v>2780.1220132588278</v>
      </c>
      <c r="Y431" s="1146">
        <f t="shared" si="105"/>
        <v>9206.6833379007949</v>
      </c>
      <c r="Z431" s="1146">
        <f t="shared" si="106"/>
        <v>8859.254901960785</v>
      </c>
      <c r="AA431" s="1146">
        <f t="shared" si="107"/>
        <v>347.42843594000988</v>
      </c>
      <c r="AB431" s="1146">
        <f t="shared" si="108"/>
        <v>11838.909090909092</v>
      </c>
      <c r="AC431" s="1146">
        <f t="shared" si="109"/>
        <v>8859.254901960785</v>
      </c>
      <c r="AD431" s="1146">
        <f t="shared" si="110"/>
        <v>2979.6541889483069</v>
      </c>
      <c r="AE431" s="1146">
        <f t="shared" si="111"/>
        <v>9364.5121951219517</v>
      </c>
      <c r="AF431" s="1146">
        <f t="shared" si="112"/>
        <v>8859.254901960785</v>
      </c>
      <c r="AG431" s="1146">
        <f t="shared" si="113"/>
        <v>505.25729316116667</v>
      </c>
    </row>
    <row r="432" spans="2:33" ht="14.4">
      <c r="B432" s="1134">
        <v>1077965</v>
      </c>
      <c r="C432" s="1135"/>
      <c r="D432" s="1134">
        <v>107796</v>
      </c>
      <c r="E432" s="1136">
        <v>42178</v>
      </c>
      <c r="F432" s="1137">
        <v>30000</v>
      </c>
      <c r="G432" s="1134">
        <v>10</v>
      </c>
      <c r="H432" s="1137">
        <v>34800</v>
      </c>
      <c r="I432" s="1134">
        <v>15</v>
      </c>
      <c r="J432" s="1138">
        <v>6508</v>
      </c>
      <c r="K432" s="1139"/>
      <c r="L432" s="1140">
        <v>42227</v>
      </c>
      <c r="M432" s="269">
        <f t="shared" si="96"/>
        <v>3</v>
      </c>
      <c r="N432" s="1141">
        <v>175</v>
      </c>
      <c r="O432" s="1087">
        <f t="shared" si="97"/>
        <v>1868.64</v>
      </c>
      <c r="P432" s="269">
        <f t="shared" si="114"/>
        <v>1</v>
      </c>
      <c r="Q432" s="269" t="str">
        <f t="shared" si="98"/>
        <v/>
      </c>
      <c r="R432" s="1147"/>
      <c r="S432" s="1143" t="str">
        <f t="shared" si="99"/>
        <v>Upsize</v>
      </c>
      <c r="T432" s="1144">
        <f t="shared" si="100"/>
        <v>1920.6896551724137</v>
      </c>
      <c r="U432" s="1144">
        <f t="shared" si="101"/>
        <v>766.37931034482756</v>
      </c>
      <c r="V432" s="1146">
        <f t="shared" si="102"/>
        <v>8747.962382445141</v>
      </c>
      <c r="W432" s="1146">
        <f t="shared" si="103"/>
        <v>7593.6470588235288</v>
      </c>
      <c r="X432" s="1146">
        <f t="shared" si="104"/>
        <v>1154.3153236216122</v>
      </c>
      <c r="Y432" s="1146">
        <f t="shared" si="105"/>
        <v>6919.5902919620321</v>
      </c>
      <c r="Z432" s="1146">
        <f t="shared" si="106"/>
        <v>7593.6470588235288</v>
      </c>
      <c r="AA432" s="1146">
        <f t="shared" si="107"/>
        <v>-674.05676686149673</v>
      </c>
      <c r="AB432" s="1146">
        <f t="shared" si="108"/>
        <v>10147.636363636364</v>
      </c>
      <c r="AC432" s="1146">
        <f t="shared" si="109"/>
        <v>7593.6470588235288</v>
      </c>
      <c r="AD432" s="1146">
        <f t="shared" si="110"/>
        <v>2553.9893048128351</v>
      </c>
      <c r="AE432" s="1146">
        <f t="shared" si="111"/>
        <v>8026.7247386759573</v>
      </c>
      <c r="AF432" s="1146">
        <f t="shared" si="112"/>
        <v>7593.6470588235288</v>
      </c>
      <c r="AG432" s="1146">
        <f t="shared" si="113"/>
        <v>433.07767985242845</v>
      </c>
    </row>
    <row r="433" spans="2:33" ht="14.4">
      <c r="B433" s="1134">
        <v>3764875</v>
      </c>
      <c r="C433" s="1135"/>
      <c r="D433" s="1134">
        <v>376487</v>
      </c>
      <c r="E433" s="1136">
        <v>42174</v>
      </c>
      <c r="F433" s="1137">
        <v>57000</v>
      </c>
      <c r="G433" s="1134">
        <v>10</v>
      </c>
      <c r="H433" s="1137">
        <v>57000</v>
      </c>
      <c r="I433" s="1134">
        <v>17</v>
      </c>
      <c r="J433" s="1138">
        <v>17122.62</v>
      </c>
      <c r="K433" s="1139"/>
      <c r="L433" s="1140">
        <v>42227</v>
      </c>
      <c r="M433" s="269">
        <f t="shared" si="96"/>
        <v>3</v>
      </c>
      <c r="N433" s="1141">
        <v>425</v>
      </c>
      <c r="O433" s="1087">
        <f t="shared" si="97"/>
        <v>6449.7176470588238</v>
      </c>
      <c r="P433" s="269">
        <f t="shared" si="114"/>
        <v>1</v>
      </c>
      <c r="Q433" s="269" t="str">
        <f t="shared" si="98"/>
        <v/>
      </c>
      <c r="R433" s="1147"/>
      <c r="S433" s="1143" t="str">
        <f t="shared" si="99"/>
        <v>Same Size</v>
      </c>
      <c r="T433" s="1144">
        <f t="shared" si="100"/>
        <v>2228</v>
      </c>
      <c r="U433" s="1144">
        <f t="shared" si="101"/>
        <v>889</v>
      </c>
      <c r="V433" s="1146">
        <f t="shared" si="102"/>
        <v>19280.50909090909</v>
      </c>
      <c r="W433" s="1146">
        <f t="shared" si="103"/>
        <v>13431.882352941177</v>
      </c>
      <c r="X433" s="1146">
        <f t="shared" si="104"/>
        <v>5848.6267379679139</v>
      </c>
      <c r="Y433" s="1146">
        <f t="shared" si="105"/>
        <v>15250.77700348432</v>
      </c>
      <c r="Z433" s="1146">
        <f t="shared" si="106"/>
        <v>13431.882352941177</v>
      </c>
      <c r="AA433" s="1146">
        <f t="shared" si="107"/>
        <v>1818.8946505431431</v>
      </c>
      <c r="AB433" s="1146">
        <f t="shared" si="108"/>
        <v>19280.50909090909</v>
      </c>
      <c r="AC433" s="1146">
        <f t="shared" si="109"/>
        <v>13431.882352941177</v>
      </c>
      <c r="AD433" s="1146">
        <f t="shared" si="110"/>
        <v>5848.6267379679139</v>
      </c>
      <c r="AE433" s="1146">
        <f t="shared" si="111"/>
        <v>15250.77700348432</v>
      </c>
      <c r="AF433" s="1146">
        <f t="shared" si="112"/>
        <v>13431.882352941177</v>
      </c>
      <c r="AG433" s="1146">
        <f t="shared" si="113"/>
        <v>1818.8946505431431</v>
      </c>
    </row>
    <row r="434" spans="2:33" ht="14.4">
      <c r="B434" s="1134">
        <v>2332443</v>
      </c>
      <c r="C434" s="1135"/>
      <c r="D434" s="1134">
        <v>192209</v>
      </c>
      <c r="E434" s="1136">
        <v>42172</v>
      </c>
      <c r="F434" s="1137">
        <v>40000</v>
      </c>
      <c r="G434" s="1134">
        <v>11</v>
      </c>
      <c r="H434" s="1137">
        <v>46500</v>
      </c>
      <c r="I434" s="1134">
        <v>17</v>
      </c>
      <c r="J434" s="1138">
        <v>7500</v>
      </c>
      <c r="K434" s="1139"/>
      <c r="L434" s="1140">
        <v>42227</v>
      </c>
      <c r="M434" s="269">
        <f t="shared" si="96"/>
        <v>3</v>
      </c>
      <c r="N434" s="1141">
        <v>325</v>
      </c>
      <c r="O434" s="1087">
        <f t="shared" si="97"/>
        <v>2476.139037433155</v>
      </c>
      <c r="P434" s="269">
        <f t="shared" si="114"/>
        <v>1</v>
      </c>
      <c r="Q434" s="269" t="str">
        <f t="shared" si="98"/>
        <v/>
      </c>
      <c r="R434" s="1147"/>
      <c r="S434" s="1143" t="str">
        <f t="shared" si="99"/>
        <v>Upsize</v>
      </c>
      <c r="T434" s="1144">
        <f t="shared" si="100"/>
        <v>1916.5591397849462</v>
      </c>
      <c r="U434" s="1144">
        <f t="shared" si="101"/>
        <v>764.73118279569894</v>
      </c>
      <c r="V434" s="1146">
        <f t="shared" si="102"/>
        <v>10941.935483870966</v>
      </c>
      <c r="W434" s="1146">
        <f t="shared" si="103"/>
        <v>9425.8823529411748</v>
      </c>
      <c r="X434" s="1146">
        <f t="shared" si="104"/>
        <v>1516.0531309297912</v>
      </c>
      <c r="Y434" s="1146">
        <f t="shared" si="105"/>
        <v>9206.2792701659746</v>
      </c>
      <c r="Z434" s="1146">
        <f t="shared" si="106"/>
        <v>9425.8823529411748</v>
      </c>
      <c r="AA434" s="1146">
        <f t="shared" si="107"/>
        <v>-219.60308277520016</v>
      </c>
      <c r="AB434" s="1146">
        <f t="shared" si="108"/>
        <v>12719.999999999998</v>
      </c>
      <c r="AC434" s="1146">
        <f t="shared" si="109"/>
        <v>9425.8823529411748</v>
      </c>
      <c r="AD434" s="1146">
        <f t="shared" si="110"/>
        <v>3294.1176470588234</v>
      </c>
      <c r="AE434" s="1146">
        <f t="shared" si="111"/>
        <v>10702.299651567944</v>
      </c>
      <c r="AF434" s="1146">
        <f t="shared" si="112"/>
        <v>9425.8823529411748</v>
      </c>
      <c r="AG434" s="1146">
        <f t="shared" si="113"/>
        <v>1276.4172986267695</v>
      </c>
    </row>
    <row r="435" spans="2:33" ht="14.4">
      <c r="B435" s="1134">
        <v>8900564</v>
      </c>
      <c r="C435" s="1135"/>
      <c r="D435" s="1134">
        <v>280345</v>
      </c>
      <c r="E435" s="1136">
        <v>42027</v>
      </c>
      <c r="F435" s="1137">
        <v>56500</v>
      </c>
      <c r="G435" s="1134">
        <v>10</v>
      </c>
      <c r="H435" s="1137">
        <v>56500</v>
      </c>
      <c r="I435" s="1134">
        <v>16.50</v>
      </c>
      <c r="J435" s="1138">
        <v>4550</v>
      </c>
      <c r="K435" s="1139"/>
      <c r="L435" s="1140">
        <v>42240</v>
      </c>
      <c r="M435" s="269">
        <f t="shared" si="96"/>
        <v>3</v>
      </c>
      <c r="N435" s="1141">
        <v>375</v>
      </c>
      <c r="O435" s="1087">
        <f t="shared" si="97"/>
        <v>6116.3818181818197</v>
      </c>
      <c r="P435" s="269">
        <f t="shared" si="114"/>
        <v>1</v>
      </c>
      <c r="Q435" s="269" t="str">
        <f t="shared" si="98"/>
        <v/>
      </c>
      <c r="R435" s="1147"/>
      <c r="S435" s="1143" t="str">
        <f t="shared" si="99"/>
        <v>Same Size</v>
      </c>
      <c r="T435" s="1144">
        <f t="shared" si="100"/>
        <v>2228</v>
      </c>
      <c r="U435" s="1144">
        <f t="shared" si="101"/>
        <v>889</v>
      </c>
      <c r="V435" s="1146">
        <f t="shared" si="102"/>
        <v>19111.381818181817</v>
      </c>
      <c r="W435" s="1146">
        <f t="shared" si="103"/>
        <v>13538.447415329769</v>
      </c>
      <c r="X435" s="1146">
        <f t="shared" si="104"/>
        <v>5572.9344028520482</v>
      </c>
      <c r="Y435" s="1146">
        <f t="shared" si="105"/>
        <v>15116.998257839721</v>
      </c>
      <c r="Z435" s="1146">
        <f t="shared" si="106"/>
        <v>13538.447415329769</v>
      </c>
      <c r="AA435" s="1146">
        <f t="shared" si="107"/>
        <v>1578.5508425099524</v>
      </c>
      <c r="AB435" s="1146">
        <f t="shared" si="108"/>
        <v>19111.381818181817</v>
      </c>
      <c r="AC435" s="1146">
        <f t="shared" si="109"/>
        <v>13538.447415329769</v>
      </c>
      <c r="AD435" s="1146">
        <f t="shared" si="110"/>
        <v>5572.9344028520482</v>
      </c>
      <c r="AE435" s="1146">
        <f t="shared" si="111"/>
        <v>15116.998257839721</v>
      </c>
      <c r="AF435" s="1146">
        <f t="shared" si="112"/>
        <v>13538.447415329769</v>
      </c>
      <c r="AG435" s="1146">
        <f t="shared" si="113"/>
        <v>1578.5508425099524</v>
      </c>
    </row>
    <row r="436" spans="2:33" ht="14.4">
      <c r="B436" s="1134">
        <v>7604218</v>
      </c>
      <c r="C436" s="1135"/>
      <c r="D436" s="1134">
        <v>736865</v>
      </c>
      <c r="E436" s="1136">
        <v>42213</v>
      </c>
      <c r="F436" s="1137">
        <v>60000</v>
      </c>
      <c r="G436" s="1134">
        <v>12</v>
      </c>
      <c r="H436" s="1137">
        <v>59000</v>
      </c>
      <c r="I436" s="1134">
        <v>15</v>
      </c>
      <c r="J436" s="1138">
        <v>7351</v>
      </c>
      <c r="K436" s="1139"/>
      <c r="L436" s="1140">
        <v>42235</v>
      </c>
      <c r="M436" s="269">
        <f t="shared" si="96"/>
        <v>3</v>
      </c>
      <c r="N436" s="1141">
        <v>325</v>
      </c>
      <c r="O436" s="1087">
        <f t="shared" si="97"/>
        <v>2931.20</v>
      </c>
      <c r="P436" s="269">
        <f t="shared" si="114"/>
        <v>1</v>
      </c>
      <c r="Q436" s="269" t="str">
        <f t="shared" si="98"/>
        <v/>
      </c>
      <c r="R436" s="1147"/>
      <c r="S436" s="1143" t="str">
        <f t="shared" si="99"/>
        <v>Downsize</v>
      </c>
      <c r="T436" s="1144">
        <f t="shared" si="100"/>
        <v>2265.7627118644068</v>
      </c>
      <c r="U436" s="1144">
        <f t="shared" si="101"/>
        <v>904.06779661016947</v>
      </c>
      <c r="V436" s="1146">
        <f t="shared" si="102"/>
        <v>18373.497688751926</v>
      </c>
      <c r="W436" s="1146">
        <f t="shared" si="103"/>
        <v>15187.29411764706</v>
      </c>
      <c r="X436" s="1146">
        <f t="shared" si="104"/>
        <v>3186.2035711048666</v>
      </c>
      <c r="Y436" s="1146">
        <f t="shared" si="105"/>
        <v>16325.54184137483</v>
      </c>
      <c r="Z436" s="1146">
        <f t="shared" si="106"/>
        <v>15187.29411764706</v>
      </c>
      <c r="AA436" s="1146">
        <f t="shared" si="107"/>
        <v>1138.2477237277708</v>
      </c>
      <c r="AB436" s="1146">
        <f t="shared" si="108"/>
        <v>18067.272727272728</v>
      </c>
      <c r="AC436" s="1146">
        <f t="shared" si="109"/>
        <v>15187.29411764706</v>
      </c>
      <c r="AD436" s="1146">
        <f t="shared" si="110"/>
        <v>2879.9786096256685</v>
      </c>
      <c r="AE436" s="1146">
        <f t="shared" si="111"/>
        <v>16053.449477351916</v>
      </c>
      <c r="AF436" s="1146">
        <f t="shared" si="112"/>
        <v>15187.29411764706</v>
      </c>
      <c r="AG436" s="1146">
        <f t="shared" si="113"/>
        <v>866.15535970485689</v>
      </c>
    </row>
    <row r="437" spans="2:33" ht="14.4">
      <c r="B437" s="1134">
        <v>4635231</v>
      </c>
      <c r="C437" s="1135"/>
      <c r="D437" s="1134">
        <v>99856</v>
      </c>
      <c r="E437" s="1136">
        <v>42165</v>
      </c>
      <c r="F437" s="1137">
        <v>20000</v>
      </c>
      <c r="G437" s="1134">
        <v>10</v>
      </c>
      <c r="H437" s="1137">
        <v>28400</v>
      </c>
      <c r="I437" s="1134">
        <v>15</v>
      </c>
      <c r="J437" s="1138">
        <v>5500</v>
      </c>
      <c r="K437" s="1139"/>
      <c r="L437" s="1140">
        <v>42235</v>
      </c>
      <c r="M437" s="269">
        <f t="shared" si="96"/>
        <v>3</v>
      </c>
      <c r="N437" s="1141">
        <v>150</v>
      </c>
      <c r="O437" s="1087">
        <f t="shared" si="97"/>
        <v>293.12000000000023</v>
      </c>
      <c r="P437" s="269">
        <f t="shared" si="114"/>
        <v>1</v>
      </c>
      <c r="Q437" s="269" t="str">
        <f t="shared" si="98"/>
        <v/>
      </c>
      <c r="R437" s="1147"/>
      <c r="S437" s="1143" t="str">
        <f t="shared" si="99"/>
        <v>Upsize</v>
      </c>
      <c r="T437" s="1144">
        <f t="shared" si="100"/>
        <v>1569.0140845070421</v>
      </c>
      <c r="U437" s="1144">
        <f t="shared" si="101"/>
        <v>626.05633802816897</v>
      </c>
      <c r="V437" s="1146">
        <f t="shared" si="102"/>
        <v>4764.1485275288087</v>
      </c>
      <c r="W437" s="1146">
        <f t="shared" si="103"/>
        <v>5062.4313725490192</v>
      </c>
      <c r="X437" s="1146">
        <f t="shared" si="104"/>
        <v>-298.28284502021052</v>
      </c>
      <c r="Y437" s="1146">
        <f t="shared" si="105"/>
        <v>3768.4153702704025</v>
      </c>
      <c r="Z437" s="1146">
        <f t="shared" si="106"/>
        <v>5062.4313725490192</v>
      </c>
      <c r="AA437" s="1146">
        <f t="shared" si="107"/>
        <v>-1294.0160022786167</v>
      </c>
      <c r="AB437" s="1146">
        <f t="shared" si="108"/>
        <v>6765.0909090909081</v>
      </c>
      <c r="AC437" s="1146">
        <f t="shared" si="109"/>
        <v>5062.4313725490192</v>
      </c>
      <c r="AD437" s="1146">
        <f t="shared" si="110"/>
        <v>1702.6595365418889</v>
      </c>
      <c r="AE437" s="1146">
        <f t="shared" si="111"/>
        <v>5351.1498257839712</v>
      </c>
      <c r="AF437" s="1146">
        <f t="shared" si="112"/>
        <v>5062.4313725490192</v>
      </c>
      <c r="AG437" s="1146">
        <f t="shared" si="113"/>
        <v>288.71845323495199</v>
      </c>
    </row>
    <row r="438" spans="2:33" ht="14.4">
      <c r="B438" s="1134">
        <v>1175413</v>
      </c>
      <c r="C438" s="1135"/>
      <c r="D438" s="1134">
        <v>117541</v>
      </c>
      <c r="E438" s="1136">
        <v>42219</v>
      </c>
      <c r="F438" s="1137">
        <v>42000</v>
      </c>
      <c r="G438" s="1134">
        <v>11</v>
      </c>
      <c r="H438" s="1137">
        <v>46000</v>
      </c>
      <c r="I438" s="1134">
        <v>18</v>
      </c>
      <c r="J438" s="1138">
        <v>8230</v>
      </c>
      <c r="K438" s="1139"/>
      <c r="L438" s="1140">
        <v>42235</v>
      </c>
      <c r="M438" s="269">
        <f t="shared" si="96"/>
        <v>3</v>
      </c>
      <c r="N438" s="1141">
        <v>350</v>
      </c>
      <c r="O438" s="1087">
        <f t="shared" si="97"/>
        <v>3469.6969696969691</v>
      </c>
      <c r="P438" s="269">
        <f t="shared" si="114"/>
        <v>1</v>
      </c>
      <c r="Q438" s="269" t="str">
        <f t="shared" si="98"/>
        <v/>
      </c>
      <c r="R438" s="1147"/>
      <c r="S438" s="1143" t="str">
        <f t="shared" si="99"/>
        <v>Upsize</v>
      </c>
      <c r="T438" s="1144">
        <f t="shared" si="100"/>
        <v>2034.2608695652173</v>
      </c>
      <c r="U438" s="1144">
        <f t="shared" si="101"/>
        <v>811.695652173913</v>
      </c>
      <c r="V438" s="1146">
        <f t="shared" si="102"/>
        <v>12194.608695652172</v>
      </c>
      <c r="W438" s="1146">
        <f t="shared" si="103"/>
        <v>9591.3725490196066</v>
      </c>
      <c r="X438" s="1146">
        <f t="shared" si="104"/>
        <v>2603.2361466325656</v>
      </c>
      <c r="Y438" s="1146">
        <f t="shared" si="105"/>
        <v>10260.248144220572</v>
      </c>
      <c r="Z438" s="1146">
        <f t="shared" si="106"/>
        <v>9591.3725490196066</v>
      </c>
      <c r="AA438" s="1146">
        <f t="shared" si="107"/>
        <v>668.87559520096511</v>
      </c>
      <c r="AB438" s="1146">
        <f t="shared" si="108"/>
        <v>13356</v>
      </c>
      <c r="AC438" s="1146">
        <f t="shared" si="109"/>
        <v>9591.3725490196066</v>
      </c>
      <c r="AD438" s="1146">
        <f t="shared" si="110"/>
        <v>3764.6274509803934</v>
      </c>
      <c r="AE438" s="1146">
        <f t="shared" si="111"/>
        <v>11237.41463414634</v>
      </c>
      <c r="AF438" s="1146">
        <f t="shared" si="112"/>
        <v>9591.3725490196066</v>
      </c>
      <c r="AG438" s="1146">
        <f t="shared" si="113"/>
        <v>1646.0420851267336</v>
      </c>
    </row>
    <row r="439" spans="2:33" ht="14.4">
      <c r="B439" s="1134">
        <v>7721111</v>
      </c>
      <c r="C439" s="1135"/>
      <c r="D439" s="1134">
        <v>479302</v>
      </c>
      <c r="E439" s="1136">
        <v>42110</v>
      </c>
      <c r="F439" s="1137">
        <v>30000</v>
      </c>
      <c r="G439" s="1134">
        <v>13</v>
      </c>
      <c r="H439" s="1137">
        <v>41500</v>
      </c>
      <c r="I439" s="1134">
        <v>15</v>
      </c>
      <c r="J439" s="1138">
        <v>5263.24</v>
      </c>
      <c r="K439" s="1139"/>
      <c r="L439" s="1140">
        <v>42235</v>
      </c>
      <c r="M439" s="269">
        <f t="shared" si="96"/>
        <v>3</v>
      </c>
      <c r="N439" s="1141">
        <v>225</v>
      </c>
      <c r="O439" s="1087">
        <f t="shared" si="97"/>
        <v>-1261.2615384615383</v>
      </c>
      <c r="P439" s="269">
        <f t="shared" si="114"/>
        <v>1</v>
      </c>
      <c r="Q439" s="269" t="str">
        <f t="shared" si="98"/>
        <v/>
      </c>
      <c r="R439" s="1147"/>
      <c r="S439" s="1143" t="str">
        <f t="shared" si="99"/>
        <v>Upsize</v>
      </c>
      <c r="T439" s="1144">
        <f t="shared" si="100"/>
        <v>1610.6024096385543</v>
      </c>
      <c r="U439" s="1144">
        <f t="shared" si="101"/>
        <v>642.65060240963851</v>
      </c>
      <c r="V439" s="1146">
        <f t="shared" si="102"/>
        <v>6220.6083073552954</v>
      </c>
      <c r="W439" s="1146">
        <f t="shared" si="103"/>
        <v>7593.6470588235288</v>
      </c>
      <c r="X439" s="1146">
        <f t="shared" si="104"/>
        <v>-1373.0387514682334</v>
      </c>
      <c r="Y439" s="1146">
        <f t="shared" si="105"/>
        <v>5802.4516183199703</v>
      </c>
      <c r="Z439" s="1146">
        <f t="shared" si="106"/>
        <v>7593.6470588235288</v>
      </c>
      <c r="AA439" s="1146">
        <f t="shared" si="107"/>
        <v>-1791.1954405035585</v>
      </c>
      <c r="AB439" s="1146">
        <f t="shared" si="108"/>
        <v>8605.1748251748249</v>
      </c>
      <c r="AC439" s="1146">
        <f t="shared" si="109"/>
        <v>7593.6470588235288</v>
      </c>
      <c r="AD439" s="1146">
        <f t="shared" si="110"/>
        <v>1011.5277663512961</v>
      </c>
      <c r="AE439" s="1146">
        <f t="shared" si="111"/>
        <v>8026.7247386759582</v>
      </c>
      <c r="AF439" s="1146">
        <f t="shared" si="112"/>
        <v>7593.6470588235288</v>
      </c>
      <c r="AG439" s="1146">
        <f t="shared" si="113"/>
        <v>433.07767985242936</v>
      </c>
    </row>
    <row r="440" spans="2:33" ht="14.4">
      <c r="B440" s="1134">
        <v>2133239</v>
      </c>
      <c r="C440" s="1135"/>
      <c r="D440" s="1134">
        <v>146284</v>
      </c>
      <c r="E440" s="1136">
        <v>42192</v>
      </c>
      <c r="F440" s="1137">
        <v>20000</v>
      </c>
      <c r="G440" s="1134">
        <v>10</v>
      </c>
      <c r="H440" s="1137">
        <v>28600</v>
      </c>
      <c r="I440" s="1134">
        <v>16</v>
      </c>
      <c r="J440" s="1138">
        <v>4295</v>
      </c>
      <c r="K440" s="1139"/>
      <c r="L440" s="1140">
        <v>42235</v>
      </c>
      <c r="M440" s="269">
        <f t="shared" si="96"/>
        <v>3</v>
      </c>
      <c r="N440" s="1141">
        <v>175</v>
      </c>
      <c r="O440" s="1087">
        <f t="shared" si="97"/>
        <v>583.95000000000005</v>
      </c>
      <c r="P440" s="269">
        <f t="shared" si="114"/>
        <v>1</v>
      </c>
      <c r="Q440" s="269" t="str">
        <f t="shared" si="98"/>
        <v/>
      </c>
      <c r="R440" s="1147"/>
      <c r="S440" s="1143" t="str">
        <f t="shared" si="99"/>
        <v>Upsize</v>
      </c>
      <c r="T440" s="1144">
        <f t="shared" si="100"/>
        <v>1558.041958041958</v>
      </c>
      <c r="U440" s="1144">
        <f t="shared" si="101"/>
        <v>621.67832167832159</v>
      </c>
      <c r="V440" s="1146">
        <f t="shared" si="102"/>
        <v>4730.8328035600753</v>
      </c>
      <c r="W440" s="1146">
        <f t="shared" si="103"/>
        <v>4876.7647058823532</v>
      </c>
      <c r="X440" s="1146">
        <f t="shared" si="104"/>
        <v>-145.93190232227789</v>
      </c>
      <c r="Y440" s="1146">
        <f t="shared" si="105"/>
        <v>3742.0628152335466</v>
      </c>
      <c r="Z440" s="1146">
        <f t="shared" si="106"/>
        <v>4876.7647058823532</v>
      </c>
      <c r="AA440" s="1146">
        <f t="shared" si="107"/>
        <v>-1134.7018906488065</v>
      </c>
      <c r="AB440" s="1146">
        <f t="shared" si="108"/>
        <v>6765.0909090909081</v>
      </c>
      <c r="AC440" s="1146">
        <f t="shared" si="109"/>
        <v>4876.7647058823532</v>
      </c>
      <c r="AD440" s="1146">
        <f t="shared" si="110"/>
        <v>1888.3262032085549</v>
      </c>
      <c r="AE440" s="1146">
        <f t="shared" si="111"/>
        <v>5351.1498257839721</v>
      </c>
      <c r="AF440" s="1146">
        <f t="shared" si="112"/>
        <v>4876.7647058823532</v>
      </c>
      <c r="AG440" s="1146">
        <f t="shared" si="113"/>
        <v>474.38511990161896</v>
      </c>
    </row>
    <row r="441" spans="2:33" ht="14.4">
      <c r="B441" s="1134">
        <v>1007426</v>
      </c>
      <c r="C441" s="1135"/>
      <c r="D441" s="1134">
        <v>100742</v>
      </c>
      <c r="E441" s="1136">
        <v>42181</v>
      </c>
      <c r="F441" s="1137">
        <v>48000</v>
      </c>
      <c r="G441" s="1134">
        <v>10</v>
      </c>
      <c r="H441" s="1137">
        <v>45500</v>
      </c>
      <c r="I441" s="1134">
        <v>15</v>
      </c>
      <c r="J441" s="1138">
        <v>4350</v>
      </c>
      <c r="K441" s="1139"/>
      <c r="L441" s="1140">
        <v>42235</v>
      </c>
      <c r="M441" s="269">
        <f t="shared" si="96"/>
        <v>3</v>
      </c>
      <c r="N441" s="1141">
        <v>250</v>
      </c>
      <c r="O441" s="1087">
        <f t="shared" si="97"/>
        <v>4854.80</v>
      </c>
      <c r="P441" s="269">
        <f t="shared" si="114"/>
        <v>1</v>
      </c>
      <c r="Q441" s="269" t="str">
        <f t="shared" si="98"/>
        <v/>
      </c>
      <c r="R441" s="1147"/>
      <c r="S441" s="1143" t="str">
        <f t="shared" si="99"/>
        <v>Downsize</v>
      </c>
      <c r="T441" s="1144">
        <f t="shared" si="100"/>
        <v>2350.4175824175823</v>
      </c>
      <c r="U441" s="1144">
        <f t="shared" si="101"/>
        <v>937.84615384615392</v>
      </c>
      <c r="V441" s="1146">
        <f t="shared" si="102"/>
        <v>17128.318081918082</v>
      </c>
      <c r="W441" s="1146">
        <f t="shared" si="103"/>
        <v>12149.835294117645</v>
      </c>
      <c r="X441" s="1146">
        <f t="shared" si="104"/>
        <v>4978.4827878004362</v>
      </c>
      <c r="Y441" s="1146">
        <f t="shared" si="105"/>
        <v>13548.405712754144</v>
      </c>
      <c r="Z441" s="1146">
        <f t="shared" si="106"/>
        <v>12149.835294117645</v>
      </c>
      <c r="AA441" s="1146">
        <f t="shared" si="107"/>
        <v>1398.5704186364983</v>
      </c>
      <c r="AB441" s="1146">
        <f t="shared" si="108"/>
        <v>16236.218181818182</v>
      </c>
      <c r="AC441" s="1146">
        <f t="shared" si="109"/>
        <v>12149.835294117645</v>
      </c>
      <c r="AD441" s="1146">
        <f t="shared" si="110"/>
        <v>4086.3828877005362</v>
      </c>
      <c r="AE441" s="1146">
        <f t="shared" si="111"/>
        <v>12842.759581881532</v>
      </c>
      <c r="AF441" s="1146">
        <f t="shared" si="112"/>
        <v>12149.835294117645</v>
      </c>
      <c r="AG441" s="1146">
        <f t="shared" si="113"/>
        <v>692.92428776388624</v>
      </c>
    </row>
    <row r="442" spans="2:33" ht="14.4">
      <c r="B442" s="1134">
        <v>4682225</v>
      </c>
      <c r="C442" s="1135"/>
      <c r="D442" s="1134">
        <v>142074</v>
      </c>
      <c r="E442" s="1136">
        <v>42146</v>
      </c>
      <c r="F442" s="1137">
        <v>20000</v>
      </c>
      <c r="G442" s="1134">
        <v>10</v>
      </c>
      <c r="H442" s="1137">
        <v>22400</v>
      </c>
      <c r="I442" s="1134">
        <v>19</v>
      </c>
      <c r="J442" s="1138">
        <v>5594</v>
      </c>
      <c r="K442" s="1139"/>
      <c r="L442" s="1140">
        <v>42235</v>
      </c>
      <c r="M442" s="269">
        <f t="shared" si="96"/>
        <v>3</v>
      </c>
      <c r="N442" s="1141">
        <v>200</v>
      </c>
      <c r="O442" s="1087">
        <f t="shared" si="97"/>
        <v>2256.2526315789473</v>
      </c>
      <c r="P442" s="269">
        <f t="shared" si="114"/>
        <v>1</v>
      </c>
      <c r="Q442" s="269" t="str">
        <f t="shared" si="98"/>
        <v/>
      </c>
      <c r="R442" s="1147"/>
      <c r="S442" s="1143" t="str">
        <f t="shared" si="99"/>
        <v>Upsize</v>
      </c>
      <c r="T442" s="1144">
        <f t="shared" si="100"/>
        <v>1989.2857142857145</v>
      </c>
      <c r="U442" s="1144">
        <f t="shared" si="101"/>
        <v>793.75</v>
      </c>
      <c r="V442" s="1146">
        <f t="shared" si="102"/>
        <v>6040.2597402597403</v>
      </c>
      <c r="W442" s="1146">
        <f t="shared" si="103"/>
        <v>4437.0278637770889</v>
      </c>
      <c r="X442" s="1146">
        <f t="shared" si="104"/>
        <v>1603.2318764826514</v>
      </c>
      <c r="Y442" s="1146">
        <f t="shared" si="105"/>
        <v>4777.8123444499752</v>
      </c>
      <c r="Z442" s="1146">
        <f t="shared" si="106"/>
        <v>4437.0278637770889</v>
      </c>
      <c r="AA442" s="1146">
        <f t="shared" si="107"/>
        <v>340.78448067288627</v>
      </c>
      <c r="AB442" s="1146">
        <f t="shared" si="108"/>
        <v>6765.090909090909</v>
      </c>
      <c r="AC442" s="1146">
        <f t="shared" si="109"/>
        <v>4437.0278637770889</v>
      </c>
      <c r="AD442" s="1146">
        <f t="shared" si="110"/>
        <v>2328.0630453138201</v>
      </c>
      <c r="AE442" s="1146">
        <f t="shared" si="111"/>
        <v>5351.1498257839721</v>
      </c>
      <c r="AF442" s="1146">
        <f t="shared" si="112"/>
        <v>4437.0278637770889</v>
      </c>
      <c r="AG442" s="1146">
        <f t="shared" si="113"/>
        <v>914.12196200688322</v>
      </c>
    </row>
    <row r="443" spans="2:33" ht="14.4">
      <c r="B443" s="1134">
        <v>4570743</v>
      </c>
      <c r="C443" s="1135"/>
      <c r="D443" s="1134">
        <v>4570743</v>
      </c>
      <c r="E443" s="1136">
        <v>42182</v>
      </c>
      <c r="F443" s="1137">
        <v>30000</v>
      </c>
      <c r="G443" s="1134">
        <v>10</v>
      </c>
      <c r="H443" s="1137">
        <v>42000</v>
      </c>
      <c r="I443" s="1134">
        <v>15</v>
      </c>
      <c r="J443" s="1138">
        <v>6400</v>
      </c>
      <c r="K443" s="1139"/>
      <c r="L443" s="1140">
        <v>42235</v>
      </c>
      <c r="M443" s="269">
        <f t="shared" si="96"/>
        <v>3</v>
      </c>
      <c r="N443" s="1141">
        <v>225</v>
      </c>
      <c r="O443" s="1087">
        <f t="shared" si="97"/>
        <v>549.60</v>
      </c>
      <c r="P443" s="269">
        <f t="shared" si="114"/>
        <v>1</v>
      </c>
      <c r="Q443" s="269" t="str">
        <f t="shared" si="98"/>
        <v/>
      </c>
      <c r="R443" s="1147"/>
      <c r="S443" s="1143" t="str">
        <f t="shared" si="99"/>
        <v>Upsize</v>
      </c>
      <c r="T443" s="1144">
        <f t="shared" si="100"/>
        <v>1591.4285714285716</v>
      </c>
      <c r="U443" s="1144">
        <f t="shared" si="101"/>
        <v>635</v>
      </c>
      <c r="V443" s="1146">
        <f t="shared" si="102"/>
        <v>7248.3116883116891</v>
      </c>
      <c r="W443" s="1146">
        <f t="shared" si="103"/>
        <v>7593.6470588235297</v>
      </c>
      <c r="X443" s="1146">
        <f t="shared" si="104"/>
        <v>-345.33537051184067</v>
      </c>
      <c r="Y443" s="1146">
        <f t="shared" si="105"/>
        <v>5733.3748133399704</v>
      </c>
      <c r="Z443" s="1146">
        <f t="shared" si="106"/>
        <v>7593.6470588235297</v>
      </c>
      <c r="AA443" s="1146">
        <f t="shared" si="107"/>
        <v>-1860.2722454835594</v>
      </c>
      <c r="AB443" s="1146">
        <f t="shared" si="108"/>
        <v>10147.636363636364</v>
      </c>
      <c r="AC443" s="1146">
        <f t="shared" si="109"/>
        <v>7593.6470588235297</v>
      </c>
      <c r="AD443" s="1146">
        <f t="shared" si="110"/>
        <v>2553.9893048128342</v>
      </c>
      <c r="AE443" s="1146">
        <f t="shared" si="111"/>
        <v>8026.7247386759591</v>
      </c>
      <c r="AF443" s="1146">
        <f t="shared" si="112"/>
        <v>7593.6470588235297</v>
      </c>
      <c r="AG443" s="1146">
        <f t="shared" si="113"/>
        <v>433.07767985242936</v>
      </c>
    </row>
    <row r="444" spans="2:33" ht="14.4">
      <c r="B444" s="1134">
        <v>5553649</v>
      </c>
      <c r="C444" s="1135"/>
      <c r="D444" s="1134">
        <v>5553649</v>
      </c>
      <c r="E444" s="1136">
        <v>42193</v>
      </c>
      <c r="F444" s="1137">
        <v>50000</v>
      </c>
      <c r="G444" s="1134">
        <v>10</v>
      </c>
      <c r="H444" s="1137">
        <v>56500</v>
      </c>
      <c r="I444" s="1134">
        <v>15</v>
      </c>
      <c r="J444" s="1138">
        <v>6973</v>
      </c>
      <c r="K444" s="1139"/>
      <c r="L444" s="1140">
        <v>42236</v>
      </c>
      <c r="M444" s="269">
        <f t="shared" si="115" ref="M444:M507">IF(MAX(K444,L444)&lt;40000,"",ROUNDUP(MONTH(MAX(K444,L444))/3,0))</f>
        <v>3</v>
      </c>
      <c r="N444" s="1141">
        <v>325</v>
      </c>
      <c r="O444" s="1087">
        <f t="shared" si="116" ref="O444:O507">IF(F444&lt;1,"",2.748*(F444/G444-H444/I444))</f>
        <v>3389.2000000000007</v>
      </c>
      <c r="P444" s="269">
        <f t="shared" si="114"/>
        <v>1</v>
      </c>
      <c r="Q444" s="269" t="str">
        <f t="shared" si="117" ref="Q444:Q507">IF(K444&gt;0,1,"")</f>
        <v/>
      </c>
      <c r="R444" s="1147"/>
      <c r="S444" s="1143" t="str">
        <f t="shared" si="99"/>
        <v>Upsize</v>
      </c>
      <c r="T444" s="1144">
        <f t="shared" si="100"/>
        <v>1971.6814159292037</v>
      </c>
      <c r="U444" s="1144">
        <f t="shared" si="101"/>
        <v>786.72566371681421</v>
      </c>
      <c r="V444" s="1146">
        <f t="shared" si="102"/>
        <v>14967.015285599357</v>
      </c>
      <c r="W444" s="1146">
        <f t="shared" si="103"/>
        <v>12656.078431372549</v>
      </c>
      <c r="X444" s="1146">
        <f t="shared" si="104"/>
        <v>2310.9368542268076</v>
      </c>
      <c r="Y444" s="1146">
        <f t="shared" si="105"/>
        <v>11838.827048194629</v>
      </c>
      <c r="Z444" s="1146">
        <f t="shared" si="106"/>
        <v>12656.078431372549</v>
      </c>
      <c r="AA444" s="1146">
        <f t="shared" si="107"/>
        <v>-817.25138317791971</v>
      </c>
      <c r="AB444" s="1146">
        <f t="shared" si="108"/>
        <v>16912.727272727272</v>
      </c>
      <c r="AC444" s="1146">
        <f t="shared" si="109"/>
        <v>12656.078431372549</v>
      </c>
      <c r="AD444" s="1146">
        <f t="shared" si="110"/>
        <v>4256.6488413547231</v>
      </c>
      <c r="AE444" s="1146">
        <f t="shared" si="111"/>
        <v>13377.874564459931</v>
      </c>
      <c r="AF444" s="1146">
        <f t="shared" si="112"/>
        <v>12656.078431372549</v>
      </c>
      <c r="AG444" s="1146">
        <f t="shared" si="113"/>
        <v>721.79613308738226</v>
      </c>
    </row>
    <row r="445" spans="2:33" ht="14.4">
      <c r="B445" s="1134">
        <v>8815603</v>
      </c>
      <c r="C445" s="1135"/>
      <c r="D445" s="1134">
        <v>8815603</v>
      </c>
      <c r="E445" s="1136">
        <v>42185</v>
      </c>
      <c r="F445" s="1137">
        <v>40000</v>
      </c>
      <c r="G445" s="1134">
        <v>10</v>
      </c>
      <c r="H445" s="1137">
        <v>56500</v>
      </c>
      <c r="I445" s="1134">
        <v>15</v>
      </c>
      <c r="J445" s="1138">
        <v>6000</v>
      </c>
      <c r="K445" s="1139"/>
      <c r="L445" s="1140">
        <v>42236</v>
      </c>
      <c r="M445" s="269">
        <f t="shared" si="115"/>
        <v>3</v>
      </c>
      <c r="N445" s="1141">
        <v>325</v>
      </c>
      <c r="O445" s="1087">
        <f t="shared" si="116"/>
        <v>641.2000000000005</v>
      </c>
      <c r="P445" s="269">
        <f t="shared" si="114"/>
        <v>1</v>
      </c>
      <c r="Q445" s="269" t="str">
        <f t="shared" si="117"/>
        <v/>
      </c>
      <c r="R445" s="1147"/>
      <c r="S445" s="1143" t="str">
        <f t="shared" si="118" ref="S445:S508">IF(F445=H445,"Same Size",IF(F445&lt;H445,"Upsize","Downsize"))</f>
        <v>Upsize</v>
      </c>
      <c r="T445" s="1144">
        <f t="shared" si="119" ref="T445:T508">($F445/$H445)*$K$35</f>
        <v>1577.3451327433629</v>
      </c>
      <c r="U445" s="1144">
        <f t="shared" si="120" ref="U445:U508">($F445/$H445)*$K$36</f>
        <v>629.3805309734513</v>
      </c>
      <c r="V445" s="1146">
        <f t="shared" si="121" ref="V445:V508">$P445*$F445/1000*($T445/$G445+$U445/$K$33)</f>
        <v>9578.8897827835881</v>
      </c>
      <c r="W445" s="1146">
        <f t="shared" si="122" ref="W445:W508">$P445*$H445/1000*($T445/$I445+$U445/$K$32)</f>
        <v>10124.86274509804</v>
      </c>
      <c r="X445" s="1146">
        <f t="shared" si="123" ref="X445:X508">V445-W445</f>
        <v>-545.97296231445216</v>
      </c>
      <c r="Y445" s="1146">
        <f t="shared" si="124" ref="Y445:Y508">$P445*$F445/1000*($T445/14+$U445/$K$34)</f>
        <v>7576.8493108445628</v>
      </c>
      <c r="Z445" s="1146">
        <f t="shared" si="125" ref="Z445:Z508">$P445*$H445/1000*($T445/$I445+$U445/$K$32)</f>
        <v>10124.86274509804</v>
      </c>
      <c r="AA445" s="1146">
        <f t="shared" si="126" ref="AA445:AA508">Y445-Z445</f>
        <v>-2548.0134342534775</v>
      </c>
      <c r="AB445" s="1146">
        <f t="shared" si="127" ref="AB445:AB508">$P445*$H445/1000*($T445/$G445+$U445/$K$33)</f>
        <v>13530.181818181818</v>
      </c>
      <c r="AC445" s="1146">
        <f t="shared" si="128" ref="AC445:AC508">$P445*$H445/1000*($T445/$I445+$U445/$K$32)</f>
        <v>10124.86274509804</v>
      </c>
      <c r="AD445" s="1146">
        <f t="shared" si="129" ref="AD445:AD508">AB445-AC445</f>
        <v>3405.3190730837778</v>
      </c>
      <c r="AE445" s="1146">
        <f t="shared" si="130" ref="AE445:AE508">$P445*$H445/1000*($T445/14+$U445/$K$34)</f>
        <v>10702.299651567944</v>
      </c>
      <c r="AF445" s="1146">
        <f t="shared" si="131" ref="AF445:AF508">$P445*$H445/1000*($T445/$I445+$U445/$K$32)</f>
        <v>10124.86274509804</v>
      </c>
      <c r="AG445" s="1146">
        <f t="shared" si="132" ref="AG445:AG508">AE445-AF445</f>
        <v>577.43690646990399</v>
      </c>
    </row>
    <row r="446" spans="2:33" ht="14.4">
      <c r="B446" s="1134">
        <v>8805879</v>
      </c>
      <c r="C446" s="1135"/>
      <c r="D446" s="1134">
        <v>435436</v>
      </c>
      <c r="E446" s="1136">
        <v>42174</v>
      </c>
      <c r="F446" s="1137">
        <v>20000</v>
      </c>
      <c r="G446" s="1134">
        <v>10</v>
      </c>
      <c r="H446" s="1137">
        <v>28800</v>
      </c>
      <c r="I446" s="1134">
        <v>15</v>
      </c>
      <c r="J446" s="1138">
        <v>3300</v>
      </c>
      <c r="K446" s="1139"/>
      <c r="L446" s="1140">
        <v>42236</v>
      </c>
      <c r="M446" s="269">
        <f t="shared" si="115"/>
        <v>3</v>
      </c>
      <c r="N446" s="1141">
        <v>150</v>
      </c>
      <c r="O446" s="1087">
        <f t="shared" si="116"/>
        <v>219.84000000000003</v>
      </c>
      <c r="P446" s="269">
        <f t="shared" si="114"/>
        <v>1</v>
      </c>
      <c r="Q446" s="269" t="str">
        <f t="shared" si="117"/>
        <v/>
      </c>
      <c r="R446" s="1147"/>
      <c r="S446" s="1143" t="str">
        <f t="shared" si="118"/>
        <v>Upsize</v>
      </c>
      <c r="T446" s="1144">
        <f t="shared" si="119"/>
        <v>1547.2222222222222</v>
      </c>
      <c r="U446" s="1144">
        <f t="shared" si="120"/>
        <v>617.36111111111109</v>
      </c>
      <c r="V446" s="1146">
        <f t="shared" si="121"/>
        <v>4697.9797979797977</v>
      </c>
      <c r="W446" s="1146">
        <f t="shared" si="122"/>
        <v>5062.4313725490192</v>
      </c>
      <c r="X446" s="1146">
        <f t="shared" si="123"/>
        <v>-364.45157456922152</v>
      </c>
      <c r="Y446" s="1146">
        <f t="shared" si="124"/>
        <v>3716.076267905536</v>
      </c>
      <c r="Z446" s="1146">
        <f t="shared" si="125"/>
        <v>5062.4313725490192</v>
      </c>
      <c r="AA446" s="1146">
        <f t="shared" si="126"/>
        <v>-1346.3551046434832</v>
      </c>
      <c r="AB446" s="1146">
        <f t="shared" si="127"/>
        <v>6765.090909090909</v>
      </c>
      <c r="AC446" s="1146">
        <f t="shared" si="128"/>
        <v>5062.4313725490192</v>
      </c>
      <c r="AD446" s="1146">
        <f t="shared" si="129"/>
        <v>1702.6595365418898</v>
      </c>
      <c r="AE446" s="1146">
        <f t="shared" si="130"/>
        <v>5351.1498257839721</v>
      </c>
      <c r="AF446" s="1146">
        <f t="shared" si="131"/>
        <v>5062.4313725490192</v>
      </c>
      <c r="AG446" s="1146">
        <f t="shared" si="132"/>
        <v>288.7184532349529</v>
      </c>
    </row>
    <row r="447" spans="2:33" ht="14.4">
      <c r="B447" s="1134">
        <v>1883255</v>
      </c>
      <c r="C447" s="1135"/>
      <c r="D447" s="1134">
        <v>1883255</v>
      </c>
      <c r="E447" s="1136">
        <v>42199</v>
      </c>
      <c r="F447" s="1137">
        <v>48000</v>
      </c>
      <c r="G447" s="1134">
        <v>10</v>
      </c>
      <c r="H447" s="1137">
        <v>47000</v>
      </c>
      <c r="I447" s="1134">
        <v>16</v>
      </c>
      <c r="J447" s="1138">
        <v>6400</v>
      </c>
      <c r="K447" s="1139"/>
      <c r="L447" s="1140">
        <v>42236</v>
      </c>
      <c r="M447" s="269">
        <f t="shared" si="115"/>
        <v>3</v>
      </c>
      <c r="N447" s="1141">
        <v>300</v>
      </c>
      <c r="O447" s="1087">
        <f t="shared" si="116"/>
        <v>5118.1500000000005</v>
      </c>
      <c r="P447" s="269">
        <f t="shared" si="114"/>
        <v>1</v>
      </c>
      <c r="Q447" s="269" t="str">
        <f t="shared" si="117"/>
        <v/>
      </c>
      <c r="R447" s="1147"/>
      <c r="S447" s="1143" t="str">
        <f t="shared" si="118"/>
        <v>Downsize</v>
      </c>
      <c r="T447" s="1144">
        <f t="shared" si="119"/>
        <v>2275.4042553191489</v>
      </c>
      <c r="U447" s="1144">
        <f t="shared" si="120"/>
        <v>907.91489361702122</v>
      </c>
      <c r="V447" s="1146">
        <f t="shared" si="121"/>
        <v>16581.669632495163</v>
      </c>
      <c r="W447" s="1146">
        <f t="shared" si="122"/>
        <v>11704.235294117647</v>
      </c>
      <c r="X447" s="1146">
        <f t="shared" si="123"/>
        <v>4877.4343383775158</v>
      </c>
      <c r="Y447" s="1146">
        <f t="shared" si="124"/>
        <v>13116.009785751354</v>
      </c>
      <c r="Z447" s="1146">
        <f t="shared" si="125"/>
        <v>11704.235294117647</v>
      </c>
      <c r="AA447" s="1146">
        <f t="shared" si="126"/>
        <v>1411.7744916337069</v>
      </c>
      <c r="AB447" s="1146">
        <f t="shared" si="127"/>
        <v>16236.218181818182</v>
      </c>
      <c r="AC447" s="1146">
        <f t="shared" si="128"/>
        <v>11704.235294117647</v>
      </c>
      <c r="AD447" s="1146">
        <f t="shared" si="129"/>
        <v>4531.9828877005348</v>
      </c>
      <c r="AE447" s="1146">
        <f t="shared" si="130"/>
        <v>12842.759581881533</v>
      </c>
      <c r="AF447" s="1146">
        <f t="shared" si="131"/>
        <v>11704.235294117647</v>
      </c>
      <c r="AG447" s="1146">
        <f t="shared" si="132"/>
        <v>1138.5242877638866</v>
      </c>
    </row>
    <row r="448" spans="2:33" ht="14.4">
      <c r="B448" s="1134">
        <v>2275204</v>
      </c>
      <c r="C448" s="1135"/>
      <c r="D448" s="1134">
        <v>2275204</v>
      </c>
      <c r="E448" s="1136">
        <v>42208</v>
      </c>
      <c r="F448" s="1137">
        <v>56500</v>
      </c>
      <c r="G448" s="1134">
        <v>10</v>
      </c>
      <c r="H448" s="1137">
        <v>56500</v>
      </c>
      <c r="I448" s="1134">
        <v>16</v>
      </c>
      <c r="J448" s="1138">
        <v>9027.23</v>
      </c>
      <c r="K448" s="1139"/>
      <c r="L448" s="1140">
        <v>42236</v>
      </c>
      <c r="M448" s="269">
        <f t="shared" si="115"/>
        <v>3</v>
      </c>
      <c r="N448" s="1141">
        <v>375</v>
      </c>
      <c r="O448" s="1087">
        <f t="shared" si="116"/>
        <v>5822.3250000000007</v>
      </c>
      <c r="P448" s="269">
        <f t="shared" si="114"/>
        <v>1</v>
      </c>
      <c r="Q448" s="269" t="str">
        <f t="shared" si="117"/>
        <v/>
      </c>
      <c r="R448" s="1147"/>
      <c r="S448" s="1143" t="str">
        <f t="shared" si="118"/>
        <v>Same Size</v>
      </c>
      <c r="T448" s="1144">
        <f t="shared" si="119"/>
        <v>2228</v>
      </c>
      <c r="U448" s="1144">
        <f t="shared" si="120"/>
        <v>889</v>
      </c>
      <c r="V448" s="1146">
        <f t="shared" si="121"/>
        <v>19111.381818181817</v>
      </c>
      <c r="W448" s="1146">
        <f t="shared" si="122"/>
        <v>13776.860294117647</v>
      </c>
      <c r="X448" s="1146">
        <f t="shared" si="123"/>
        <v>5334.5215240641701</v>
      </c>
      <c r="Y448" s="1146">
        <f t="shared" si="124"/>
        <v>15116.998257839721</v>
      </c>
      <c r="Z448" s="1146">
        <f t="shared" si="125"/>
        <v>13776.860294117647</v>
      </c>
      <c r="AA448" s="1146">
        <f t="shared" si="126"/>
        <v>1340.1379637220744</v>
      </c>
      <c r="AB448" s="1146">
        <f t="shared" si="127"/>
        <v>19111.381818181817</v>
      </c>
      <c r="AC448" s="1146">
        <f t="shared" si="128"/>
        <v>13776.860294117647</v>
      </c>
      <c r="AD448" s="1146">
        <f t="shared" si="129"/>
        <v>5334.5215240641701</v>
      </c>
      <c r="AE448" s="1146">
        <f t="shared" si="130"/>
        <v>15116.998257839721</v>
      </c>
      <c r="AF448" s="1146">
        <f t="shared" si="131"/>
        <v>13776.860294117647</v>
      </c>
      <c r="AG448" s="1146">
        <f t="shared" si="132"/>
        <v>1340.1379637220744</v>
      </c>
    </row>
    <row r="449" spans="2:33" ht="14.4">
      <c r="B449" s="1134">
        <v>1479112</v>
      </c>
      <c r="C449" s="1135"/>
      <c r="D449" s="1134">
        <v>147911</v>
      </c>
      <c r="E449" s="1136">
        <v>42208</v>
      </c>
      <c r="F449" s="1137">
        <v>30000</v>
      </c>
      <c r="G449" s="1134">
        <v>12</v>
      </c>
      <c r="H449" s="1137">
        <v>35600</v>
      </c>
      <c r="I449" s="1134">
        <v>15</v>
      </c>
      <c r="J449" s="1138">
        <v>5180</v>
      </c>
      <c r="K449" s="1139"/>
      <c r="L449" s="1140">
        <v>42236</v>
      </c>
      <c r="M449" s="269">
        <f t="shared" si="115"/>
        <v>3</v>
      </c>
      <c r="N449" s="1141">
        <v>175</v>
      </c>
      <c r="O449" s="1087">
        <f t="shared" si="116"/>
        <v>348.07999999999959</v>
      </c>
      <c r="P449" s="269">
        <f t="shared" si="114"/>
        <v>1</v>
      </c>
      <c r="Q449" s="269" t="str">
        <f t="shared" si="117"/>
        <v/>
      </c>
      <c r="R449" s="1147"/>
      <c r="S449" s="1143" t="str">
        <f t="shared" si="118"/>
        <v>Upsize</v>
      </c>
      <c r="T449" s="1144">
        <f t="shared" si="119"/>
        <v>1877.5280898876404</v>
      </c>
      <c r="U449" s="1144">
        <f t="shared" si="120"/>
        <v>749.15730337078651</v>
      </c>
      <c r="V449" s="1146">
        <f t="shared" si="121"/>
        <v>7612.6149131767106</v>
      </c>
      <c r="W449" s="1146">
        <f t="shared" si="122"/>
        <v>7593.6470588235288</v>
      </c>
      <c r="X449" s="1146">
        <f t="shared" si="123"/>
        <v>18.967854353181792</v>
      </c>
      <c r="Y449" s="1146">
        <f t="shared" si="124"/>
        <v>6764.0938809067065</v>
      </c>
      <c r="Z449" s="1146">
        <f t="shared" si="125"/>
        <v>7593.6470588235288</v>
      </c>
      <c r="AA449" s="1146">
        <f t="shared" si="126"/>
        <v>-829.55317791682228</v>
      </c>
      <c r="AB449" s="1146">
        <f t="shared" si="127"/>
        <v>9033.636363636364</v>
      </c>
      <c r="AC449" s="1146">
        <f t="shared" si="128"/>
        <v>7593.6470588235288</v>
      </c>
      <c r="AD449" s="1146">
        <f t="shared" si="129"/>
        <v>1439.9893048128351</v>
      </c>
      <c r="AE449" s="1146">
        <f t="shared" si="130"/>
        <v>8026.7247386759591</v>
      </c>
      <c r="AF449" s="1146">
        <f t="shared" si="131"/>
        <v>7593.6470588235288</v>
      </c>
      <c r="AG449" s="1146">
        <f t="shared" si="132"/>
        <v>433.07767985243026</v>
      </c>
    </row>
    <row r="450" spans="2:33" ht="14.4">
      <c r="B450" s="1134">
        <v>2842813</v>
      </c>
      <c r="C450" s="1135"/>
      <c r="D450" s="1134">
        <v>151186</v>
      </c>
      <c r="E450" s="1136">
        <v>42201</v>
      </c>
      <c r="F450" s="1137">
        <v>50000</v>
      </c>
      <c r="G450" s="1134">
        <v>10</v>
      </c>
      <c r="H450" s="1137">
        <v>58000</v>
      </c>
      <c r="I450" s="1134">
        <v>15</v>
      </c>
      <c r="J450" s="1138">
        <v>7585</v>
      </c>
      <c r="K450" s="1139"/>
      <c r="L450" s="1140">
        <v>42236</v>
      </c>
      <c r="M450" s="269">
        <f t="shared" si="115"/>
        <v>3</v>
      </c>
      <c r="N450" s="1141">
        <v>325</v>
      </c>
      <c r="O450" s="1087">
        <f t="shared" si="116"/>
        <v>3114.4000000000005</v>
      </c>
      <c r="P450" s="269">
        <f t="shared" si="114"/>
        <v>1</v>
      </c>
      <c r="Q450" s="269" t="str">
        <f t="shared" si="117"/>
        <v/>
      </c>
      <c r="R450" s="1147"/>
      <c r="S450" s="1143" t="str">
        <f t="shared" si="118"/>
        <v>Upsize</v>
      </c>
      <c r="T450" s="1144">
        <f t="shared" si="119"/>
        <v>1920.6896551724137</v>
      </c>
      <c r="U450" s="1144">
        <f t="shared" si="120"/>
        <v>766.37931034482756</v>
      </c>
      <c r="V450" s="1146">
        <f t="shared" si="121"/>
        <v>14579.937304075236</v>
      </c>
      <c r="W450" s="1146">
        <f t="shared" si="122"/>
        <v>12656.078431372549</v>
      </c>
      <c r="X450" s="1146">
        <f t="shared" si="123"/>
        <v>1923.8588727026872</v>
      </c>
      <c r="Y450" s="1146">
        <f t="shared" si="124"/>
        <v>11532.650486603387</v>
      </c>
      <c r="Z450" s="1146">
        <f t="shared" si="125"/>
        <v>12656.078431372549</v>
      </c>
      <c r="AA450" s="1146">
        <f t="shared" si="126"/>
        <v>-1123.4279447691624</v>
      </c>
      <c r="AB450" s="1146">
        <f t="shared" si="127"/>
        <v>16912.727272727272</v>
      </c>
      <c r="AC450" s="1146">
        <f t="shared" si="128"/>
        <v>12656.078431372549</v>
      </c>
      <c r="AD450" s="1146">
        <f t="shared" si="129"/>
        <v>4256.6488413547231</v>
      </c>
      <c r="AE450" s="1146">
        <f t="shared" si="130"/>
        <v>13377.874564459929</v>
      </c>
      <c r="AF450" s="1146">
        <f t="shared" si="131"/>
        <v>12656.078431372549</v>
      </c>
      <c r="AG450" s="1146">
        <f t="shared" si="132"/>
        <v>721.79613308738044</v>
      </c>
    </row>
    <row r="451" spans="2:33" ht="14.4">
      <c r="B451" s="1134">
        <v>833160</v>
      </c>
      <c r="C451" s="1135"/>
      <c r="D451" s="1134">
        <v>83316</v>
      </c>
      <c r="E451" s="1136">
        <v>42172</v>
      </c>
      <c r="F451" s="1137">
        <v>24000</v>
      </c>
      <c r="G451" s="1134">
        <v>10</v>
      </c>
      <c r="H451" s="1137">
        <v>24200</v>
      </c>
      <c r="I451" s="1134">
        <v>16.50</v>
      </c>
      <c r="J451" s="1138">
        <v>7240.24</v>
      </c>
      <c r="K451" s="1139"/>
      <c r="L451" s="1140">
        <v>42236</v>
      </c>
      <c r="M451" s="269">
        <f t="shared" si="115"/>
        <v>3</v>
      </c>
      <c r="N451" s="1141">
        <v>150</v>
      </c>
      <c r="O451" s="1087">
        <f t="shared" si="116"/>
        <v>2564.8000000000002</v>
      </c>
      <c r="P451" s="269">
        <f t="shared" si="114"/>
        <v>1</v>
      </c>
      <c r="Q451" s="269" t="str">
        <f t="shared" si="117"/>
        <v/>
      </c>
      <c r="R451" s="1147"/>
      <c r="S451" s="1143" t="str">
        <f t="shared" si="118"/>
        <v>Upsize</v>
      </c>
      <c r="T451" s="1144">
        <f t="shared" si="119"/>
        <v>2209.586776859504</v>
      </c>
      <c r="U451" s="1144">
        <f t="shared" si="120"/>
        <v>881.65289256198355</v>
      </c>
      <c r="V451" s="1146">
        <f t="shared" si="121"/>
        <v>8051.0172802404195</v>
      </c>
      <c r="W451" s="1146">
        <f t="shared" si="122"/>
        <v>5750.8449197860964</v>
      </c>
      <c r="X451" s="1146">
        <f t="shared" si="123"/>
        <v>2300.1723604543231</v>
      </c>
      <c r="Y451" s="1146">
        <f t="shared" si="124"/>
        <v>6368.3105364701823</v>
      </c>
      <c r="Z451" s="1146">
        <f t="shared" si="125"/>
        <v>5750.8449197860964</v>
      </c>
      <c r="AA451" s="1146">
        <f t="shared" si="126"/>
        <v>617.46561668408594</v>
      </c>
      <c r="AB451" s="1146">
        <f t="shared" si="127"/>
        <v>8118.1090909090899</v>
      </c>
      <c r="AC451" s="1146">
        <f t="shared" si="128"/>
        <v>5750.8449197860964</v>
      </c>
      <c r="AD451" s="1146">
        <f t="shared" si="129"/>
        <v>2367.2641711229935</v>
      </c>
      <c r="AE451" s="1146">
        <f t="shared" si="130"/>
        <v>6421.3797909407667</v>
      </c>
      <c r="AF451" s="1146">
        <f t="shared" si="131"/>
        <v>5750.8449197860964</v>
      </c>
      <c r="AG451" s="1146">
        <f t="shared" si="132"/>
        <v>670.53487115467033</v>
      </c>
    </row>
    <row r="452" spans="2:33" ht="14.4">
      <c r="B452" s="1134">
        <v>2192953</v>
      </c>
      <c r="C452" s="1135"/>
      <c r="D452" s="1134">
        <v>219295</v>
      </c>
      <c r="E452" s="1136">
        <v>42209</v>
      </c>
      <c r="F452" s="1137">
        <v>42000</v>
      </c>
      <c r="G452" s="1134">
        <v>10</v>
      </c>
      <c r="H452" s="1137">
        <v>42500</v>
      </c>
      <c r="I452" s="1134">
        <v>15</v>
      </c>
      <c r="J452" s="1138">
        <v>6278</v>
      </c>
      <c r="K452" s="1139"/>
      <c r="L452" s="1140">
        <v>42236</v>
      </c>
      <c r="M452" s="269">
        <f t="shared" si="115"/>
        <v>3</v>
      </c>
      <c r="N452" s="1141">
        <v>225</v>
      </c>
      <c r="O452" s="1087">
        <f t="shared" si="116"/>
        <v>3755.60</v>
      </c>
      <c r="P452" s="269">
        <f t="shared" si="114"/>
        <v>1</v>
      </c>
      <c r="Q452" s="269" t="str">
        <f t="shared" si="117"/>
        <v/>
      </c>
      <c r="R452" s="1147"/>
      <c r="S452" s="1143" t="str">
        <f t="shared" si="118"/>
        <v>Upsize</v>
      </c>
      <c r="T452" s="1144">
        <f t="shared" si="119"/>
        <v>2201.7882352941178</v>
      </c>
      <c r="U452" s="1144">
        <f t="shared" si="120"/>
        <v>878.54117647058831</v>
      </c>
      <c r="V452" s="1146">
        <f t="shared" si="121"/>
        <v>14039.553368983959</v>
      </c>
      <c r="W452" s="1146">
        <f t="shared" si="122"/>
        <v>10631.105882352944</v>
      </c>
      <c r="X452" s="1146">
        <f t="shared" si="123"/>
        <v>3408.4474866310156</v>
      </c>
      <c r="Y452" s="1146">
        <f t="shared" si="124"/>
        <v>11105.209756097562</v>
      </c>
      <c r="Z452" s="1146">
        <f t="shared" si="125"/>
        <v>10631.105882352944</v>
      </c>
      <c r="AA452" s="1146">
        <f t="shared" si="126"/>
        <v>474.10387374461789</v>
      </c>
      <c r="AB452" s="1146">
        <f t="shared" si="127"/>
        <v>14206.69090909091</v>
      </c>
      <c r="AC452" s="1146">
        <f t="shared" si="128"/>
        <v>10631.105882352944</v>
      </c>
      <c r="AD452" s="1146">
        <f t="shared" si="129"/>
        <v>3575.5850267379665</v>
      </c>
      <c r="AE452" s="1146">
        <f t="shared" si="130"/>
        <v>11237.414634146342</v>
      </c>
      <c r="AF452" s="1146">
        <f t="shared" si="131"/>
        <v>10631.105882352944</v>
      </c>
      <c r="AG452" s="1146">
        <f t="shared" si="132"/>
        <v>606.30875179339819</v>
      </c>
    </row>
    <row r="453" spans="2:33" ht="14.4">
      <c r="B453" s="1134">
        <v>6395388</v>
      </c>
      <c r="C453" s="1135"/>
      <c r="D453" s="1134">
        <v>443726</v>
      </c>
      <c r="E453" s="1136">
        <v>42124</v>
      </c>
      <c r="F453" s="1137">
        <v>30000</v>
      </c>
      <c r="G453" s="1134">
        <v>10</v>
      </c>
      <c r="H453" s="1137">
        <v>28400</v>
      </c>
      <c r="I453" s="1134">
        <v>15.50</v>
      </c>
      <c r="J453" s="1138">
        <v>8162.05</v>
      </c>
      <c r="K453" s="1139"/>
      <c r="L453" s="1140">
        <v>42236</v>
      </c>
      <c r="M453" s="269">
        <f t="shared" si="115"/>
        <v>3</v>
      </c>
      <c r="N453" s="1141">
        <v>150</v>
      </c>
      <c r="O453" s="1087">
        <f t="shared" si="116"/>
        <v>3208.9548387096779</v>
      </c>
      <c r="P453" s="269">
        <f t="shared" si="114"/>
        <v>1</v>
      </c>
      <c r="Q453" s="269" t="str">
        <f t="shared" si="117"/>
        <v/>
      </c>
      <c r="R453" s="1147"/>
      <c r="S453" s="1143" t="str">
        <f t="shared" si="118"/>
        <v>Downsize</v>
      </c>
      <c r="T453" s="1144">
        <f t="shared" si="119"/>
        <v>2353.5211267605632</v>
      </c>
      <c r="U453" s="1144">
        <f t="shared" si="120"/>
        <v>939.08450704225345</v>
      </c>
      <c r="V453" s="1146">
        <f t="shared" si="121"/>
        <v>10719.334186939819</v>
      </c>
      <c r="W453" s="1146">
        <f t="shared" si="122"/>
        <v>7449.9051233396576</v>
      </c>
      <c r="X453" s="1146">
        <f t="shared" si="123"/>
        <v>3269.4290636001615</v>
      </c>
      <c r="Y453" s="1146">
        <f t="shared" si="124"/>
        <v>8478.9345831084065</v>
      </c>
      <c r="Z453" s="1146">
        <f t="shared" si="125"/>
        <v>7449.9051233396576</v>
      </c>
      <c r="AA453" s="1146">
        <f t="shared" si="126"/>
        <v>1029.0294597687489</v>
      </c>
      <c r="AB453" s="1146">
        <f t="shared" si="127"/>
        <v>10147.636363636362</v>
      </c>
      <c r="AC453" s="1146">
        <f t="shared" si="128"/>
        <v>7449.9051233396576</v>
      </c>
      <c r="AD453" s="1146">
        <f t="shared" si="129"/>
        <v>2697.7312402967045</v>
      </c>
      <c r="AE453" s="1146">
        <f t="shared" si="130"/>
        <v>8026.7247386759573</v>
      </c>
      <c r="AF453" s="1146">
        <f t="shared" si="131"/>
        <v>7449.9051233396576</v>
      </c>
      <c r="AG453" s="1146">
        <f t="shared" si="132"/>
        <v>576.81961533629965</v>
      </c>
    </row>
    <row r="454" spans="2:33" ht="14.4">
      <c r="B454" s="1134">
        <v>8038770</v>
      </c>
      <c r="C454" s="1135"/>
      <c r="D454" s="1134">
        <v>530221</v>
      </c>
      <c r="E454" s="1136">
        <v>42165</v>
      </c>
      <c r="F454" s="1137">
        <v>42000</v>
      </c>
      <c r="G454" s="1134">
        <v>10</v>
      </c>
      <c r="H454" s="1137">
        <v>47500</v>
      </c>
      <c r="I454" s="1134">
        <v>15</v>
      </c>
      <c r="J454" s="1138">
        <v>6130</v>
      </c>
      <c r="K454" s="1139"/>
      <c r="L454" s="1140">
        <v>42236</v>
      </c>
      <c r="M454" s="269">
        <f t="shared" si="115"/>
        <v>3</v>
      </c>
      <c r="N454" s="1141">
        <v>250</v>
      </c>
      <c r="O454" s="1087">
        <f t="shared" si="116"/>
        <v>2839.6000000000008</v>
      </c>
      <c r="P454" s="269">
        <f t="shared" si="114"/>
        <v>1</v>
      </c>
      <c r="Q454" s="269" t="str">
        <f t="shared" si="117"/>
        <v/>
      </c>
      <c r="R454" s="1147"/>
      <c r="S454" s="1143" t="str">
        <f t="shared" si="118"/>
        <v>Upsize</v>
      </c>
      <c r="T454" s="1144">
        <f t="shared" si="119"/>
        <v>1970.0210526315789</v>
      </c>
      <c r="U454" s="1144">
        <f t="shared" si="120"/>
        <v>786.06315789473683</v>
      </c>
      <c r="V454" s="1146">
        <f t="shared" si="121"/>
        <v>12561.705645933014</v>
      </c>
      <c r="W454" s="1146">
        <f t="shared" si="122"/>
        <v>10631.10588235294</v>
      </c>
      <c r="X454" s="1146">
        <f t="shared" si="123"/>
        <v>1930.5997635800741</v>
      </c>
      <c r="Y454" s="1146">
        <f t="shared" si="124"/>
        <v>9936.24030808729</v>
      </c>
      <c r="Z454" s="1146">
        <f t="shared" si="125"/>
        <v>10631.10588235294</v>
      </c>
      <c r="AA454" s="1146">
        <f t="shared" si="126"/>
        <v>-694.86557426565014</v>
      </c>
      <c r="AB454" s="1146">
        <f t="shared" si="127"/>
        <v>14206.690909090909</v>
      </c>
      <c r="AC454" s="1146">
        <f t="shared" si="128"/>
        <v>10631.10588235294</v>
      </c>
      <c r="AD454" s="1146">
        <f t="shared" si="129"/>
        <v>3575.5850267379683</v>
      </c>
      <c r="AE454" s="1146">
        <f t="shared" si="130"/>
        <v>11237.41463414634</v>
      </c>
      <c r="AF454" s="1146">
        <f t="shared" si="131"/>
        <v>10631.10588235294</v>
      </c>
      <c r="AG454" s="1146">
        <f t="shared" si="132"/>
        <v>606.30875179340001</v>
      </c>
    </row>
    <row r="455" spans="2:33" ht="14.4">
      <c r="B455" s="1134">
        <v>8838036</v>
      </c>
      <c r="C455" s="1135"/>
      <c r="D455" s="1134">
        <v>470726</v>
      </c>
      <c r="E455" s="1136">
        <v>42193</v>
      </c>
      <c r="F455" s="1137">
        <v>30000</v>
      </c>
      <c r="G455" s="1134">
        <v>10</v>
      </c>
      <c r="H455" s="1137">
        <v>41500</v>
      </c>
      <c r="I455" s="1134">
        <v>15</v>
      </c>
      <c r="J455" s="1138">
        <v>5400</v>
      </c>
      <c r="K455" s="1139"/>
      <c r="L455" s="1140">
        <v>42240</v>
      </c>
      <c r="M455" s="269">
        <f t="shared" si="115"/>
        <v>3</v>
      </c>
      <c r="N455" s="1141">
        <v>225</v>
      </c>
      <c r="O455" s="1087">
        <f t="shared" si="116"/>
        <v>641.2000000000005</v>
      </c>
      <c r="P455" s="269">
        <f t="shared" si="114"/>
        <v>1</v>
      </c>
      <c r="Q455" s="269" t="str">
        <f t="shared" si="117"/>
        <v/>
      </c>
      <c r="R455" s="1147"/>
      <c r="S455" s="1143" t="str">
        <f t="shared" si="118"/>
        <v>Upsize</v>
      </c>
      <c r="T455" s="1144">
        <f t="shared" si="119"/>
        <v>1610.6024096385543</v>
      </c>
      <c r="U455" s="1144">
        <f t="shared" si="120"/>
        <v>642.65060240963851</v>
      </c>
      <c r="V455" s="1146">
        <f t="shared" si="121"/>
        <v>7335.6407447973716</v>
      </c>
      <c r="W455" s="1146">
        <f t="shared" si="122"/>
        <v>7593.6470588235288</v>
      </c>
      <c r="X455" s="1146">
        <f t="shared" si="123"/>
        <v>-258.00631402615727</v>
      </c>
      <c r="Y455" s="1146">
        <f t="shared" si="124"/>
        <v>5802.4516183199703</v>
      </c>
      <c r="Z455" s="1146">
        <f t="shared" si="125"/>
        <v>7593.6470588235288</v>
      </c>
      <c r="AA455" s="1146">
        <f t="shared" si="126"/>
        <v>-1791.1954405035585</v>
      </c>
      <c r="AB455" s="1146">
        <f t="shared" si="127"/>
        <v>10147.636363636364</v>
      </c>
      <c r="AC455" s="1146">
        <f t="shared" si="128"/>
        <v>7593.6470588235288</v>
      </c>
      <c r="AD455" s="1146">
        <f t="shared" si="129"/>
        <v>2553.9893048128351</v>
      </c>
      <c r="AE455" s="1146">
        <f t="shared" si="130"/>
        <v>8026.7247386759582</v>
      </c>
      <c r="AF455" s="1146">
        <f t="shared" si="131"/>
        <v>7593.6470588235288</v>
      </c>
      <c r="AG455" s="1146">
        <f t="shared" si="132"/>
        <v>433.07767985242936</v>
      </c>
    </row>
    <row r="456" spans="2:33" ht="14.4">
      <c r="B456" s="1134">
        <v>1034180</v>
      </c>
      <c r="C456" s="1135"/>
      <c r="D456" s="1134">
        <v>103418</v>
      </c>
      <c r="E456" s="1136">
        <v>42205</v>
      </c>
      <c r="F456" s="1137">
        <v>30000</v>
      </c>
      <c r="G456" s="1134">
        <v>10</v>
      </c>
      <c r="H456" s="1137">
        <v>39500</v>
      </c>
      <c r="I456" s="1134">
        <v>15</v>
      </c>
      <c r="J456" s="1138">
        <v>5185.72</v>
      </c>
      <c r="K456" s="1139"/>
      <c r="L456" s="1140">
        <v>42240</v>
      </c>
      <c r="M456" s="269">
        <f t="shared" si="115"/>
        <v>3</v>
      </c>
      <c r="N456" s="1141">
        <v>225</v>
      </c>
      <c r="O456" s="1087">
        <f t="shared" si="116"/>
        <v>1007.5999999999997</v>
      </c>
      <c r="P456" s="269">
        <f t="shared" si="114"/>
        <v>1</v>
      </c>
      <c r="Q456" s="269" t="str">
        <f t="shared" si="117"/>
        <v/>
      </c>
      <c r="R456" s="1147"/>
      <c r="S456" s="1143" t="str">
        <f t="shared" si="118"/>
        <v>Upsize</v>
      </c>
      <c r="T456" s="1144">
        <f t="shared" si="119"/>
        <v>1692.1518987341774</v>
      </c>
      <c r="U456" s="1144">
        <f t="shared" si="120"/>
        <v>675.18987341772151</v>
      </c>
      <c r="V456" s="1146">
        <f t="shared" si="121"/>
        <v>7707.0655926352138</v>
      </c>
      <c r="W456" s="1146">
        <f t="shared" si="122"/>
        <v>7593.6470588235297</v>
      </c>
      <c r="X456" s="1146">
        <f t="shared" si="123"/>
        <v>113.41853381168403</v>
      </c>
      <c r="Y456" s="1146">
        <f t="shared" si="124"/>
        <v>6096.2466369690828</v>
      </c>
      <c r="Z456" s="1146">
        <f t="shared" si="125"/>
        <v>7593.6470588235297</v>
      </c>
      <c r="AA456" s="1146">
        <f t="shared" si="126"/>
        <v>-1497.4004218544469</v>
      </c>
      <c r="AB456" s="1146">
        <f t="shared" si="127"/>
        <v>10147.636363636364</v>
      </c>
      <c r="AC456" s="1146">
        <f t="shared" si="128"/>
        <v>7593.6470588235297</v>
      </c>
      <c r="AD456" s="1146">
        <f t="shared" si="129"/>
        <v>2553.9893048128342</v>
      </c>
      <c r="AE456" s="1146">
        <f t="shared" si="130"/>
        <v>8026.72473867596</v>
      </c>
      <c r="AF456" s="1146">
        <f t="shared" si="131"/>
        <v>7593.6470588235297</v>
      </c>
      <c r="AG456" s="1146">
        <f t="shared" si="132"/>
        <v>433.07767985243026</v>
      </c>
    </row>
    <row r="457" spans="2:33" ht="14.4">
      <c r="B457" s="1134">
        <v>4271003</v>
      </c>
      <c r="C457" s="1135"/>
      <c r="D457" s="1134">
        <v>427100</v>
      </c>
      <c r="E457" s="1136">
        <v>42214</v>
      </c>
      <c r="F457" s="1137">
        <v>40000</v>
      </c>
      <c r="G457" s="1134">
        <v>9</v>
      </c>
      <c r="H457" s="1137">
        <v>48500</v>
      </c>
      <c r="I457" s="1134">
        <v>15</v>
      </c>
      <c r="J457" s="1138">
        <v>5300</v>
      </c>
      <c r="K457" s="1139"/>
      <c r="L457" s="1140">
        <v>42241</v>
      </c>
      <c r="M457" s="269">
        <f t="shared" si="115"/>
        <v>3</v>
      </c>
      <c r="N457" s="1141">
        <v>250</v>
      </c>
      <c r="O457" s="1087">
        <f t="shared" si="116"/>
        <v>3328.1333333333328</v>
      </c>
      <c r="P457" s="269">
        <f t="shared" si="114"/>
        <v>1</v>
      </c>
      <c r="Q457" s="269" t="str">
        <f t="shared" si="117"/>
        <v/>
      </c>
      <c r="R457" s="1147"/>
      <c r="S457" s="1143" t="str">
        <f t="shared" si="118"/>
        <v>Upsize</v>
      </c>
      <c r="T457" s="1144">
        <f t="shared" si="119"/>
        <v>1837.5257731958761</v>
      </c>
      <c r="U457" s="1144">
        <f t="shared" si="120"/>
        <v>733.19587628865975</v>
      </c>
      <c r="V457" s="1146">
        <f t="shared" si="121"/>
        <v>11975.59096115797</v>
      </c>
      <c r="W457" s="1146">
        <f t="shared" si="122"/>
        <v>10124.862745098038</v>
      </c>
      <c r="X457" s="1146">
        <f t="shared" si="123"/>
        <v>1850.7282160599316</v>
      </c>
      <c r="Y457" s="1146">
        <f t="shared" si="124"/>
        <v>8826.6388878910875</v>
      </c>
      <c r="Z457" s="1146">
        <f t="shared" si="125"/>
        <v>10124.862745098038</v>
      </c>
      <c r="AA457" s="1146">
        <f t="shared" si="126"/>
        <v>-1298.2238572069509</v>
      </c>
      <c r="AB457" s="1146">
        <f t="shared" si="127"/>
        <v>14520.404040404039</v>
      </c>
      <c r="AC457" s="1146">
        <f t="shared" si="128"/>
        <v>10124.862745098038</v>
      </c>
      <c r="AD457" s="1146">
        <f t="shared" si="129"/>
        <v>4395.5412953060004</v>
      </c>
      <c r="AE457" s="1146">
        <f t="shared" si="130"/>
        <v>10702.299651567944</v>
      </c>
      <c r="AF457" s="1146">
        <f t="shared" si="131"/>
        <v>10124.862745098038</v>
      </c>
      <c r="AG457" s="1146">
        <f t="shared" si="132"/>
        <v>577.43690646990581</v>
      </c>
    </row>
    <row r="458" spans="2:33" ht="14.4">
      <c r="B458" s="1134">
        <v>5413539</v>
      </c>
      <c r="C458" s="1135"/>
      <c r="D458" s="1134">
        <v>527196</v>
      </c>
      <c r="E458" s="1136">
        <v>42177</v>
      </c>
      <c r="F458" s="1137">
        <v>48000</v>
      </c>
      <c r="G458" s="1134">
        <v>10</v>
      </c>
      <c r="H458" s="1137">
        <v>57000</v>
      </c>
      <c r="I458" s="1134">
        <v>15</v>
      </c>
      <c r="J458" s="1138">
        <v>5825</v>
      </c>
      <c r="K458" s="1139"/>
      <c r="L458" s="1140">
        <v>42241</v>
      </c>
      <c r="M458" s="269">
        <f t="shared" si="115"/>
        <v>3</v>
      </c>
      <c r="N458" s="1141">
        <v>325</v>
      </c>
      <c r="O458" s="1087">
        <f t="shared" si="116"/>
        <v>2748</v>
      </c>
      <c r="P458" s="269">
        <f t="shared" si="114"/>
        <v>1</v>
      </c>
      <c r="Q458" s="269" t="str">
        <f t="shared" si="117"/>
        <v/>
      </c>
      <c r="R458" s="1147"/>
      <c r="S458" s="1143" t="str">
        <f t="shared" si="118"/>
        <v>Upsize</v>
      </c>
      <c r="T458" s="1144">
        <f t="shared" si="119"/>
        <v>1876.2105263157894</v>
      </c>
      <c r="U458" s="1144">
        <f t="shared" si="120"/>
        <v>748.63157894736833</v>
      </c>
      <c r="V458" s="1146">
        <f t="shared" si="121"/>
        <v>13672.604784688994</v>
      </c>
      <c r="W458" s="1146">
        <f t="shared" si="122"/>
        <v>12149.835294117645</v>
      </c>
      <c r="X458" s="1146">
        <f t="shared" si="123"/>
        <v>1522.7694905713488</v>
      </c>
      <c r="Y458" s="1146">
        <f t="shared" si="124"/>
        <v>10814.955437373923</v>
      </c>
      <c r="Z458" s="1146">
        <f t="shared" si="125"/>
        <v>12149.835294117645</v>
      </c>
      <c r="AA458" s="1146">
        <f t="shared" si="126"/>
        <v>-1334.8798567437225</v>
      </c>
      <c r="AB458" s="1146">
        <f t="shared" si="127"/>
        <v>16236.21818181818</v>
      </c>
      <c r="AC458" s="1146">
        <f t="shared" si="128"/>
        <v>12149.835294117645</v>
      </c>
      <c r="AD458" s="1146">
        <f t="shared" si="129"/>
        <v>4086.3828877005344</v>
      </c>
      <c r="AE458" s="1146">
        <f t="shared" si="130"/>
        <v>12842.759581881532</v>
      </c>
      <c r="AF458" s="1146">
        <f t="shared" si="131"/>
        <v>12149.835294117645</v>
      </c>
      <c r="AG458" s="1146">
        <f t="shared" si="132"/>
        <v>692.92428776388624</v>
      </c>
    </row>
    <row r="459" spans="2:33" ht="14.4">
      <c r="B459" s="1134">
        <v>3592060</v>
      </c>
      <c r="C459" s="1135"/>
      <c r="D459" s="1134">
        <v>96600</v>
      </c>
      <c r="E459" s="1136">
        <v>42214</v>
      </c>
      <c r="F459" s="1137">
        <v>50000</v>
      </c>
      <c r="G459" s="1134">
        <v>9</v>
      </c>
      <c r="H459" s="1137">
        <v>56500</v>
      </c>
      <c r="I459" s="1134">
        <v>17</v>
      </c>
      <c r="J459" s="1138">
        <v>12312</v>
      </c>
      <c r="K459" s="1139"/>
      <c r="L459" s="1140">
        <v>42241</v>
      </c>
      <c r="M459" s="269">
        <f t="shared" si="115"/>
        <v>3</v>
      </c>
      <c r="N459" s="1141">
        <v>425</v>
      </c>
      <c r="O459" s="1087">
        <f t="shared" si="116"/>
        <v>6133.6078431372562</v>
      </c>
      <c r="P459" s="269">
        <f t="shared" si="114"/>
        <v>1</v>
      </c>
      <c r="Q459" s="269" t="str">
        <f t="shared" si="117"/>
        <v/>
      </c>
      <c r="R459" s="1147"/>
      <c r="S459" s="1143" t="str">
        <f t="shared" si="118"/>
        <v>Upsize</v>
      </c>
      <c r="T459" s="1144">
        <f t="shared" si="119"/>
        <v>1971.6814159292037</v>
      </c>
      <c r="U459" s="1144">
        <f t="shared" si="120"/>
        <v>786.72566371681421</v>
      </c>
      <c r="V459" s="1146">
        <f t="shared" si="121"/>
        <v>16062.393850004472</v>
      </c>
      <c r="W459" s="1146">
        <f t="shared" si="122"/>
        <v>11782.352941176472</v>
      </c>
      <c r="X459" s="1146">
        <f t="shared" si="123"/>
        <v>4280.0409088279994</v>
      </c>
      <c r="Y459" s="1146">
        <f t="shared" si="124"/>
        <v>11838.827048194629</v>
      </c>
      <c r="Z459" s="1146">
        <f t="shared" si="125"/>
        <v>11782.352941176472</v>
      </c>
      <c r="AA459" s="1146">
        <f t="shared" si="126"/>
        <v>56.474107018157156</v>
      </c>
      <c r="AB459" s="1146">
        <f t="shared" si="127"/>
        <v>18150.505050505053</v>
      </c>
      <c r="AC459" s="1146">
        <f t="shared" si="128"/>
        <v>11782.352941176472</v>
      </c>
      <c r="AD459" s="1146">
        <f t="shared" si="129"/>
        <v>6368.152109328581</v>
      </c>
      <c r="AE459" s="1146">
        <f t="shared" si="130"/>
        <v>13377.874564459931</v>
      </c>
      <c r="AF459" s="1146">
        <f t="shared" si="131"/>
        <v>11782.352941176472</v>
      </c>
      <c r="AG459" s="1146">
        <f t="shared" si="132"/>
        <v>1595.5216232834591</v>
      </c>
    </row>
    <row r="460" spans="2:33" ht="14.4">
      <c r="B460" s="1134">
        <v>8848985</v>
      </c>
      <c r="C460" s="1135"/>
      <c r="D460" s="1134">
        <v>610214</v>
      </c>
      <c r="E460" s="1136">
        <v>42188</v>
      </c>
      <c r="F460" s="1137">
        <v>40800</v>
      </c>
      <c r="G460" s="1134">
        <v>10</v>
      </c>
      <c r="H460" s="1137">
        <v>41500</v>
      </c>
      <c r="I460" s="1134">
        <v>15</v>
      </c>
      <c r="J460" s="1138">
        <v>9043</v>
      </c>
      <c r="K460" s="1139"/>
      <c r="L460" s="1140">
        <v>42241</v>
      </c>
      <c r="M460" s="269">
        <f t="shared" si="115"/>
        <v>3</v>
      </c>
      <c r="N460" s="1141">
        <v>225</v>
      </c>
      <c r="O460" s="1087">
        <f t="shared" si="116"/>
        <v>3609.0400000000009</v>
      </c>
      <c r="P460" s="269">
        <f t="shared" si="114"/>
        <v>1</v>
      </c>
      <c r="Q460" s="269" t="str">
        <f t="shared" si="117"/>
        <v/>
      </c>
      <c r="R460" s="1147"/>
      <c r="S460" s="1143" t="str">
        <f t="shared" si="118"/>
        <v>Upsize</v>
      </c>
      <c r="T460" s="1144">
        <f t="shared" si="119"/>
        <v>2190.419277108434</v>
      </c>
      <c r="U460" s="1144">
        <f t="shared" si="120"/>
        <v>874.00481927710848</v>
      </c>
      <c r="V460" s="1146">
        <f t="shared" si="121"/>
        <v>13568.001121577219</v>
      </c>
      <c r="W460" s="1146">
        <f t="shared" si="122"/>
        <v>10327.360000000002</v>
      </c>
      <c r="X460" s="1146">
        <f t="shared" si="123"/>
        <v>3240.6411215772168</v>
      </c>
      <c r="Y460" s="1146">
        <f t="shared" si="124"/>
        <v>10732.214513244617</v>
      </c>
      <c r="Z460" s="1146">
        <f t="shared" si="125"/>
        <v>10327.360000000002</v>
      </c>
      <c r="AA460" s="1146">
        <f t="shared" si="126"/>
        <v>404.85451324461428</v>
      </c>
      <c r="AB460" s="1146">
        <f t="shared" si="127"/>
        <v>13800.785454545456</v>
      </c>
      <c r="AC460" s="1146">
        <f t="shared" si="128"/>
        <v>10327.360000000002</v>
      </c>
      <c r="AD460" s="1146">
        <f t="shared" si="129"/>
        <v>3473.4254545454532</v>
      </c>
      <c r="AE460" s="1146">
        <f t="shared" si="130"/>
        <v>10916.345644599305</v>
      </c>
      <c r="AF460" s="1146">
        <f t="shared" si="131"/>
        <v>10327.360000000002</v>
      </c>
      <c r="AG460" s="1146">
        <f t="shared" si="132"/>
        <v>588.98564459930276</v>
      </c>
    </row>
    <row r="461" spans="2:33" ht="14.4">
      <c r="B461" s="1134">
        <v>3186368</v>
      </c>
      <c r="C461" s="1135"/>
      <c r="D461" s="1134">
        <v>233065</v>
      </c>
      <c r="E461" s="1136">
        <v>42213</v>
      </c>
      <c r="F461" s="1137">
        <v>20000</v>
      </c>
      <c r="G461" s="1134">
        <v>10</v>
      </c>
      <c r="H461" s="1137">
        <v>28600</v>
      </c>
      <c r="I461" s="1134">
        <v>15</v>
      </c>
      <c r="J461" s="1138">
        <v>4908</v>
      </c>
      <c r="K461" s="1139"/>
      <c r="L461" s="1140">
        <v>42241</v>
      </c>
      <c r="M461" s="269">
        <f t="shared" si="115"/>
        <v>3</v>
      </c>
      <c r="N461" s="1141">
        <v>150</v>
      </c>
      <c r="O461" s="1087">
        <f t="shared" si="116"/>
        <v>256.47999999999979</v>
      </c>
      <c r="P461" s="269">
        <f t="shared" si="114"/>
        <v>1</v>
      </c>
      <c r="Q461" s="269" t="str">
        <f t="shared" si="117"/>
        <v/>
      </c>
      <c r="R461" s="1147"/>
      <c r="S461" s="1143" t="str">
        <f t="shared" si="118"/>
        <v>Upsize</v>
      </c>
      <c r="T461" s="1144">
        <f t="shared" si="119"/>
        <v>1558.041958041958</v>
      </c>
      <c r="U461" s="1144">
        <f t="shared" si="120"/>
        <v>621.67832167832159</v>
      </c>
      <c r="V461" s="1146">
        <f t="shared" si="121"/>
        <v>4730.8328035600753</v>
      </c>
      <c r="W461" s="1146">
        <f t="shared" si="122"/>
        <v>5062.4313725490192</v>
      </c>
      <c r="X461" s="1146">
        <f t="shared" si="123"/>
        <v>-331.59856898894395</v>
      </c>
      <c r="Y461" s="1146">
        <f t="shared" si="124"/>
        <v>3742.0628152335466</v>
      </c>
      <c r="Z461" s="1146">
        <f t="shared" si="125"/>
        <v>5062.4313725490192</v>
      </c>
      <c r="AA461" s="1146">
        <f t="shared" si="126"/>
        <v>-1320.3685573154726</v>
      </c>
      <c r="AB461" s="1146">
        <f t="shared" si="127"/>
        <v>6765.0909090909081</v>
      </c>
      <c r="AC461" s="1146">
        <f t="shared" si="128"/>
        <v>5062.4313725490192</v>
      </c>
      <c r="AD461" s="1146">
        <f t="shared" si="129"/>
        <v>1702.6595365418889</v>
      </c>
      <c r="AE461" s="1146">
        <f t="shared" si="130"/>
        <v>5351.1498257839721</v>
      </c>
      <c r="AF461" s="1146">
        <f t="shared" si="131"/>
        <v>5062.4313725490192</v>
      </c>
      <c r="AG461" s="1146">
        <f t="shared" si="132"/>
        <v>288.7184532349529</v>
      </c>
    </row>
    <row r="462" spans="2:33" ht="14.4">
      <c r="B462" s="1134">
        <v>5015854</v>
      </c>
      <c r="C462" s="1135"/>
      <c r="D462" s="1134">
        <v>357676</v>
      </c>
      <c r="E462" s="1136">
        <v>42199</v>
      </c>
      <c r="F462" s="1137">
        <v>20000</v>
      </c>
      <c r="G462" s="1134">
        <v>10</v>
      </c>
      <c r="H462" s="1137">
        <v>24000</v>
      </c>
      <c r="I462" s="1134">
        <v>16</v>
      </c>
      <c r="J462" s="1138">
        <v>3587</v>
      </c>
      <c r="K462" s="1139"/>
      <c r="L462" s="1140">
        <v>42241</v>
      </c>
      <c r="M462" s="269">
        <f t="shared" si="115"/>
        <v>3</v>
      </c>
      <c r="N462" s="1141">
        <v>150</v>
      </c>
      <c r="O462" s="1087">
        <f t="shared" si="116"/>
        <v>1374</v>
      </c>
      <c r="P462" s="269">
        <f t="shared" si="114"/>
        <v>1</v>
      </c>
      <c r="Q462" s="269" t="str">
        <f t="shared" si="117"/>
        <v/>
      </c>
      <c r="R462" s="1147"/>
      <c r="S462" s="1143" t="str">
        <f t="shared" si="118"/>
        <v>Upsize</v>
      </c>
      <c r="T462" s="1144">
        <f t="shared" si="119"/>
        <v>1856.6666666666667</v>
      </c>
      <c r="U462" s="1144">
        <f t="shared" si="120"/>
        <v>740.83333333333337</v>
      </c>
      <c r="V462" s="1146">
        <f t="shared" si="121"/>
        <v>5637.575757575758</v>
      </c>
      <c r="W462" s="1146">
        <f t="shared" si="122"/>
        <v>4876.7647058823532</v>
      </c>
      <c r="X462" s="1146">
        <f t="shared" si="123"/>
        <v>760.81105169340481</v>
      </c>
      <c r="Y462" s="1146">
        <f t="shared" si="124"/>
        <v>4459.2915214866434</v>
      </c>
      <c r="Z462" s="1146">
        <f t="shared" si="125"/>
        <v>4876.7647058823532</v>
      </c>
      <c r="AA462" s="1146">
        <f t="shared" si="126"/>
        <v>-417.47318439570972</v>
      </c>
      <c r="AB462" s="1146">
        <f t="shared" si="127"/>
        <v>6765.090909090909</v>
      </c>
      <c r="AC462" s="1146">
        <f t="shared" si="128"/>
        <v>4876.7647058823532</v>
      </c>
      <c r="AD462" s="1146">
        <f t="shared" si="129"/>
        <v>1888.3262032085559</v>
      </c>
      <c r="AE462" s="1146">
        <f t="shared" si="130"/>
        <v>5351.1498257839721</v>
      </c>
      <c r="AF462" s="1146">
        <f t="shared" si="131"/>
        <v>4876.7647058823532</v>
      </c>
      <c r="AG462" s="1146">
        <f t="shared" si="132"/>
        <v>474.38511990161896</v>
      </c>
    </row>
    <row r="463" spans="2:33" ht="14.4">
      <c r="B463" s="1134">
        <v>2006559</v>
      </c>
      <c r="C463" s="1135"/>
      <c r="D463" s="1134">
        <v>200655</v>
      </c>
      <c r="E463" s="1136">
        <v>42073</v>
      </c>
      <c r="F463" s="1137">
        <v>40000</v>
      </c>
      <c r="G463" s="1134">
        <v>12</v>
      </c>
      <c r="H463" s="1137">
        <v>47500</v>
      </c>
      <c r="I463" s="1134">
        <v>15</v>
      </c>
      <c r="J463" s="1138">
        <v>5298</v>
      </c>
      <c r="K463" s="1139"/>
      <c r="L463" s="1140">
        <v>42241</v>
      </c>
      <c r="M463" s="269">
        <f t="shared" si="115"/>
        <v>3</v>
      </c>
      <c r="N463" s="1141">
        <v>250</v>
      </c>
      <c r="O463" s="1087">
        <f t="shared" si="116"/>
        <v>458.00000000000085</v>
      </c>
      <c r="P463" s="269">
        <f t="shared" si="114"/>
        <v>1</v>
      </c>
      <c r="Q463" s="269" t="str">
        <f t="shared" si="117"/>
        <v/>
      </c>
      <c r="R463" s="1147"/>
      <c r="S463" s="1143" t="str">
        <f t="shared" si="118"/>
        <v>Upsize</v>
      </c>
      <c r="T463" s="1144">
        <f t="shared" si="119"/>
        <v>1876.2105263157894</v>
      </c>
      <c r="U463" s="1144">
        <f t="shared" si="120"/>
        <v>748.63157894736833</v>
      </c>
      <c r="V463" s="1146">
        <f t="shared" si="121"/>
        <v>10143.030303030302</v>
      </c>
      <c r="W463" s="1146">
        <f t="shared" si="122"/>
        <v>10124.862745098038</v>
      </c>
      <c r="X463" s="1146">
        <f t="shared" si="123"/>
        <v>18.167557932263662</v>
      </c>
      <c r="Y463" s="1146">
        <f t="shared" si="124"/>
        <v>9012.4628644782679</v>
      </c>
      <c r="Z463" s="1146">
        <f t="shared" si="125"/>
        <v>10124.862745098038</v>
      </c>
      <c r="AA463" s="1146">
        <f t="shared" si="126"/>
        <v>-1112.3998806197706</v>
      </c>
      <c r="AB463" s="1146">
        <f t="shared" si="127"/>
        <v>12044.848484848484</v>
      </c>
      <c r="AC463" s="1146">
        <f t="shared" si="128"/>
        <v>10124.862745098038</v>
      </c>
      <c r="AD463" s="1146">
        <f t="shared" si="129"/>
        <v>1919.9857397504457</v>
      </c>
      <c r="AE463" s="1146">
        <f t="shared" si="130"/>
        <v>10702.299651567944</v>
      </c>
      <c r="AF463" s="1146">
        <f t="shared" si="131"/>
        <v>10124.862745098038</v>
      </c>
      <c r="AG463" s="1146">
        <f t="shared" si="132"/>
        <v>577.43690646990581</v>
      </c>
    </row>
    <row r="464" spans="2:33" ht="14.4">
      <c r="B464" s="1134">
        <v>1019348</v>
      </c>
      <c r="C464" s="1135"/>
      <c r="D464" s="1134">
        <v>101934</v>
      </c>
      <c r="E464" s="1136">
        <v>42122</v>
      </c>
      <c r="F464" s="1137">
        <v>35000</v>
      </c>
      <c r="G464" s="1134">
        <v>10</v>
      </c>
      <c r="H464" s="1137">
        <v>35600</v>
      </c>
      <c r="I464" s="1134">
        <v>15</v>
      </c>
      <c r="J464" s="1138">
        <v>4461</v>
      </c>
      <c r="K464" s="1139"/>
      <c r="L464" s="1140">
        <v>42241</v>
      </c>
      <c r="M464" s="269">
        <f t="shared" si="115"/>
        <v>3</v>
      </c>
      <c r="N464" s="1141">
        <v>175</v>
      </c>
      <c r="O464" s="1087">
        <f t="shared" si="116"/>
        <v>3096.08</v>
      </c>
      <c r="P464" s="269">
        <f t="shared" si="114"/>
        <v>1</v>
      </c>
      <c r="Q464" s="269" t="str">
        <f t="shared" si="117"/>
        <v/>
      </c>
      <c r="R464" s="1147"/>
      <c r="S464" s="1143" t="str">
        <f t="shared" si="118"/>
        <v>Upsize</v>
      </c>
      <c r="T464" s="1144">
        <f t="shared" si="119"/>
        <v>2190.4494382022472</v>
      </c>
      <c r="U464" s="1144">
        <f t="shared" si="120"/>
        <v>874.01685393258424</v>
      </c>
      <c r="V464" s="1146">
        <f t="shared" si="121"/>
        <v>11639.376915219613</v>
      </c>
      <c r="W464" s="1146">
        <f t="shared" si="122"/>
        <v>8859.254901960785</v>
      </c>
      <c r="X464" s="1146">
        <f t="shared" si="123"/>
        <v>2780.1220132588278</v>
      </c>
      <c r="Y464" s="1146">
        <f t="shared" si="124"/>
        <v>9206.6833379007949</v>
      </c>
      <c r="Z464" s="1146">
        <f t="shared" si="125"/>
        <v>8859.254901960785</v>
      </c>
      <c r="AA464" s="1146">
        <f t="shared" si="126"/>
        <v>347.42843594000988</v>
      </c>
      <c r="AB464" s="1146">
        <f t="shared" si="127"/>
        <v>11838.909090909092</v>
      </c>
      <c r="AC464" s="1146">
        <f t="shared" si="128"/>
        <v>8859.254901960785</v>
      </c>
      <c r="AD464" s="1146">
        <f t="shared" si="129"/>
        <v>2979.6541889483069</v>
      </c>
      <c r="AE464" s="1146">
        <f t="shared" si="130"/>
        <v>9364.5121951219517</v>
      </c>
      <c r="AF464" s="1146">
        <f t="shared" si="131"/>
        <v>8859.254901960785</v>
      </c>
      <c r="AG464" s="1146">
        <f t="shared" si="132"/>
        <v>505.25729316116667</v>
      </c>
    </row>
    <row r="465" spans="2:33" ht="14.4">
      <c r="B465" s="1134">
        <v>2740298</v>
      </c>
      <c r="C465" s="1135"/>
      <c r="D465" s="1134">
        <v>266363</v>
      </c>
      <c r="E465" s="1136">
        <v>42221</v>
      </c>
      <c r="F465" s="1137">
        <v>30000</v>
      </c>
      <c r="G465" s="1134">
        <v>10</v>
      </c>
      <c r="H465" s="1137">
        <v>35600</v>
      </c>
      <c r="I465" s="1134">
        <v>21</v>
      </c>
      <c r="J465" s="1138">
        <v>10750</v>
      </c>
      <c r="K465" s="1139"/>
      <c r="L465" s="1140">
        <v>42241</v>
      </c>
      <c r="M465" s="269">
        <f t="shared" si="115"/>
        <v>3</v>
      </c>
      <c r="N465" s="1141">
        <v>300</v>
      </c>
      <c r="O465" s="1087">
        <f t="shared" si="116"/>
        <v>3585.4857142857149</v>
      </c>
      <c r="P465" s="269">
        <f t="shared" si="114"/>
        <v>1</v>
      </c>
      <c r="Q465" s="269" t="str">
        <f t="shared" si="117"/>
        <v/>
      </c>
      <c r="R465" s="1147"/>
      <c r="S465" s="1143" t="str">
        <f t="shared" si="118"/>
        <v>Upsize</v>
      </c>
      <c r="T465" s="1144">
        <f t="shared" si="119"/>
        <v>1877.5280898876404</v>
      </c>
      <c r="U465" s="1144">
        <f t="shared" si="120"/>
        <v>749.15730337078651</v>
      </c>
      <c r="V465" s="1146">
        <f t="shared" si="121"/>
        <v>8551.378958120531</v>
      </c>
      <c r="W465" s="1146">
        <f t="shared" si="122"/>
        <v>6320.5042016806719</v>
      </c>
      <c r="X465" s="1146">
        <f t="shared" si="123"/>
        <v>2230.8747564398591</v>
      </c>
      <c r="Y465" s="1146">
        <f t="shared" si="124"/>
        <v>6764.0938809067065</v>
      </c>
      <c r="Z465" s="1146">
        <f t="shared" si="125"/>
        <v>6320.5042016806719</v>
      </c>
      <c r="AA465" s="1146">
        <f t="shared" si="126"/>
        <v>443.5896792260346</v>
      </c>
      <c r="AB465" s="1146">
        <f t="shared" si="127"/>
        <v>10147.636363636364</v>
      </c>
      <c r="AC465" s="1146">
        <f t="shared" si="128"/>
        <v>6320.5042016806719</v>
      </c>
      <c r="AD465" s="1146">
        <f t="shared" si="129"/>
        <v>3827.132161955692</v>
      </c>
      <c r="AE465" s="1146">
        <f t="shared" si="130"/>
        <v>8026.7247386759591</v>
      </c>
      <c r="AF465" s="1146">
        <f t="shared" si="131"/>
        <v>6320.5042016806719</v>
      </c>
      <c r="AG465" s="1146">
        <f t="shared" si="132"/>
        <v>1706.2205369952872</v>
      </c>
    </row>
    <row r="466" spans="2:33" ht="14.4">
      <c r="B466" s="1134">
        <v>8830738</v>
      </c>
      <c r="C466" s="1135"/>
      <c r="D466" s="1134">
        <v>276241</v>
      </c>
      <c r="E466" s="1136">
        <v>42213</v>
      </c>
      <c r="F466" s="1137">
        <v>20000</v>
      </c>
      <c r="G466" s="1134">
        <v>10</v>
      </c>
      <c r="H466" s="1137">
        <v>23600</v>
      </c>
      <c r="I466" s="1134">
        <v>15.50</v>
      </c>
      <c r="J466" s="1138">
        <v>4905</v>
      </c>
      <c r="K466" s="1139"/>
      <c r="L466" s="1140">
        <v>42241</v>
      </c>
      <c r="M466" s="269">
        <f t="shared" si="115"/>
        <v>3</v>
      </c>
      <c r="N466" s="1141">
        <v>125</v>
      </c>
      <c r="O466" s="1087">
        <f t="shared" si="116"/>
        <v>1311.9483870967745</v>
      </c>
      <c r="P466" s="269">
        <f t="shared" si="114"/>
        <v>1</v>
      </c>
      <c r="Q466" s="269" t="str">
        <f t="shared" si="117"/>
        <v/>
      </c>
      <c r="R466" s="1147"/>
      <c r="S466" s="1143" t="str">
        <f t="shared" si="118"/>
        <v>Upsize</v>
      </c>
      <c r="T466" s="1144">
        <f t="shared" si="119"/>
        <v>1888.1355932203389</v>
      </c>
      <c r="U466" s="1144">
        <f t="shared" si="120"/>
        <v>753.38983050847457</v>
      </c>
      <c r="V466" s="1146">
        <f t="shared" si="121"/>
        <v>5733.1278890600925</v>
      </c>
      <c r="W466" s="1146">
        <f t="shared" si="122"/>
        <v>4966.6034155597727</v>
      </c>
      <c r="X466" s="1146">
        <f t="shared" si="123"/>
        <v>766.5244735003198</v>
      </c>
      <c r="Y466" s="1146">
        <f t="shared" si="124"/>
        <v>4534.8727337152304</v>
      </c>
      <c r="Z466" s="1146">
        <f t="shared" si="125"/>
        <v>4966.6034155597727</v>
      </c>
      <c r="AA466" s="1146">
        <f t="shared" si="126"/>
        <v>-431.73068184454223</v>
      </c>
      <c r="AB466" s="1146">
        <f t="shared" si="127"/>
        <v>6765.0909090909099</v>
      </c>
      <c r="AC466" s="1146">
        <f t="shared" si="128"/>
        <v>4966.6034155597727</v>
      </c>
      <c r="AD466" s="1146">
        <f t="shared" si="129"/>
        <v>1798.4874935311373</v>
      </c>
      <c r="AE466" s="1146">
        <f t="shared" si="130"/>
        <v>5351.149825783973</v>
      </c>
      <c r="AF466" s="1146">
        <f t="shared" si="131"/>
        <v>4966.6034155597727</v>
      </c>
      <c r="AG466" s="1146">
        <f t="shared" si="132"/>
        <v>384.54641022420037</v>
      </c>
    </row>
    <row r="467" spans="2:33" ht="14.4">
      <c r="B467" s="1134">
        <v>3800448</v>
      </c>
      <c r="C467" s="1135"/>
      <c r="D467" s="1134">
        <v>184732</v>
      </c>
      <c r="E467" s="1136">
        <v>42209</v>
      </c>
      <c r="F467" s="1137">
        <v>30000</v>
      </c>
      <c r="G467" s="1134">
        <v>10</v>
      </c>
      <c r="H467" s="1137">
        <v>35000</v>
      </c>
      <c r="I467" s="1134">
        <v>16</v>
      </c>
      <c r="J467" s="1138">
        <v>8402</v>
      </c>
      <c r="K467" s="1139"/>
      <c r="L467" s="1140">
        <v>42241</v>
      </c>
      <c r="M467" s="269">
        <f t="shared" si="115"/>
        <v>3</v>
      </c>
      <c r="N467" s="1141">
        <v>225</v>
      </c>
      <c r="O467" s="1087">
        <f t="shared" si="116"/>
        <v>2232.75</v>
      </c>
      <c r="P467" s="269">
        <f t="shared" si="114"/>
        <v>1</v>
      </c>
      <c r="Q467" s="269" t="str">
        <f t="shared" si="117"/>
        <v/>
      </c>
      <c r="R467" s="1147"/>
      <c r="S467" s="1143" t="str">
        <f t="shared" si="118"/>
        <v>Upsize</v>
      </c>
      <c r="T467" s="1144">
        <f t="shared" si="119"/>
        <v>1909.7142857142856</v>
      </c>
      <c r="U467" s="1144">
        <f t="shared" si="120"/>
        <v>762</v>
      </c>
      <c r="V467" s="1146">
        <f t="shared" si="121"/>
        <v>8697.9740259740247</v>
      </c>
      <c r="W467" s="1146">
        <f t="shared" si="122"/>
        <v>7315.1470588235288</v>
      </c>
      <c r="X467" s="1146">
        <f t="shared" si="123"/>
        <v>1382.8269671504959</v>
      </c>
      <c r="Y467" s="1146">
        <f t="shared" si="124"/>
        <v>6880.0497760079643</v>
      </c>
      <c r="Z467" s="1146">
        <f t="shared" si="125"/>
        <v>7315.1470588235288</v>
      </c>
      <c r="AA467" s="1146">
        <f t="shared" si="126"/>
        <v>-435.09728281556454</v>
      </c>
      <c r="AB467" s="1146">
        <f t="shared" si="127"/>
        <v>10147.636363636362</v>
      </c>
      <c r="AC467" s="1146">
        <f t="shared" si="128"/>
        <v>7315.1470588235288</v>
      </c>
      <c r="AD467" s="1146">
        <f t="shared" si="129"/>
        <v>2832.4893048128333</v>
      </c>
      <c r="AE467" s="1146">
        <f t="shared" si="130"/>
        <v>8026.7247386759582</v>
      </c>
      <c r="AF467" s="1146">
        <f t="shared" si="131"/>
        <v>7315.1470588235288</v>
      </c>
      <c r="AG467" s="1146">
        <f t="shared" si="132"/>
        <v>711.57767985242936</v>
      </c>
    </row>
    <row r="468" spans="2:33" ht="14.4">
      <c r="B468" s="1134">
        <v>5727870</v>
      </c>
      <c r="C468" s="1135"/>
      <c r="D468" s="1134">
        <v>305595</v>
      </c>
      <c r="E468" s="1136">
        <v>42174</v>
      </c>
      <c r="F468" s="1137">
        <v>40000</v>
      </c>
      <c r="G468" s="1134">
        <v>10</v>
      </c>
      <c r="H468" s="1137">
        <v>47500</v>
      </c>
      <c r="I468" s="1134">
        <v>15</v>
      </c>
      <c r="J468" s="1138">
        <v>3765</v>
      </c>
      <c r="K468" s="1139"/>
      <c r="L468" s="1140">
        <v>42241</v>
      </c>
      <c r="M468" s="269">
        <f t="shared" si="115"/>
        <v>3</v>
      </c>
      <c r="N468" s="1141">
        <v>250</v>
      </c>
      <c r="O468" s="1087">
        <f t="shared" si="116"/>
        <v>2290.0000000000005</v>
      </c>
      <c r="P468" s="269">
        <f t="shared" si="114"/>
        <v>1</v>
      </c>
      <c r="Q468" s="269" t="str">
        <f t="shared" si="117"/>
        <v/>
      </c>
      <c r="R468" s="1147"/>
      <c r="S468" s="1143" t="str">
        <f t="shared" si="118"/>
        <v>Upsize</v>
      </c>
      <c r="T468" s="1144">
        <f t="shared" si="119"/>
        <v>1876.2105263157894</v>
      </c>
      <c r="U468" s="1144">
        <f t="shared" si="120"/>
        <v>748.63157894736833</v>
      </c>
      <c r="V468" s="1146">
        <f t="shared" si="121"/>
        <v>11393.837320574163</v>
      </c>
      <c r="W468" s="1146">
        <f t="shared" si="122"/>
        <v>10124.862745098038</v>
      </c>
      <c r="X468" s="1146">
        <f t="shared" si="123"/>
        <v>1268.9745754761243</v>
      </c>
      <c r="Y468" s="1146">
        <f t="shared" si="124"/>
        <v>9012.4628644782679</v>
      </c>
      <c r="Z468" s="1146">
        <f t="shared" si="125"/>
        <v>10124.862745098038</v>
      </c>
      <c r="AA468" s="1146">
        <f t="shared" si="126"/>
        <v>-1112.3998806197706</v>
      </c>
      <c r="AB468" s="1146">
        <f t="shared" si="127"/>
        <v>13530.181818181818</v>
      </c>
      <c r="AC468" s="1146">
        <f t="shared" si="128"/>
        <v>10124.862745098038</v>
      </c>
      <c r="AD468" s="1146">
        <f t="shared" si="129"/>
        <v>3405.3190730837796</v>
      </c>
      <c r="AE468" s="1146">
        <f t="shared" si="130"/>
        <v>10702.299651567944</v>
      </c>
      <c r="AF468" s="1146">
        <f t="shared" si="131"/>
        <v>10124.862745098038</v>
      </c>
      <c r="AG468" s="1146">
        <f t="shared" si="132"/>
        <v>577.43690646990581</v>
      </c>
    </row>
    <row r="469" spans="2:33" ht="14.4">
      <c r="B469" s="1134">
        <v>987768</v>
      </c>
      <c r="C469" s="1135"/>
      <c r="D469" s="1134">
        <v>98776</v>
      </c>
      <c r="E469" s="1136">
        <v>42207</v>
      </c>
      <c r="F469" s="1137">
        <v>41500</v>
      </c>
      <c r="G469" s="1134">
        <v>10</v>
      </c>
      <c r="H469" s="1137">
        <v>42500</v>
      </c>
      <c r="I469" s="1134">
        <v>15</v>
      </c>
      <c r="J469" s="1138">
        <v>4062</v>
      </c>
      <c r="K469" s="1139"/>
      <c r="L469" s="1140">
        <v>42241</v>
      </c>
      <c r="M469" s="269">
        <f t="shared" si="115"/>
        <v>3</v>
      </c>
      <c r="N469" s="1141">
        <v>225</v>
      </c>
      <c r="O469" s="1087">
        <f t="shared" si="116"/>
        <v>3618.20</v>
      </c>
      <c r="P469" s="269">
        <f t="shared" si="114"/>
        <v>1</v>
      </c>
      <c r="Q469" s="269" t="str">
        <f t="shared" si="117"/>
        <v/>
      </c>
      <c r="R469" s="1147"/>
      <c r="S469" s="1143" t="str">
        <f t="shared" si="118"/>
        <v>Upsize</v>
      </c>
      <c r="T469" s="1144">
        <f t="shared" si="119"/>
        <v>2175.5764705882352</v>
      </c>
      <c r="U469" s="1144">
        <f t="shared" si="120"/>
        <v>868.0823529411764</v>
      </c>
      <c r="V469" s="1146">
        <f t="shared" si="121"/>
        <v>13707.268021390373</v>
      </c>
      <c r="W469" s="1146">
        <f t="shared" si="122"/>
        <v>10504.545098039214</v>
      </c>
      <c r="X469" s="1146">
        <f t="shared" si="123"/>
        <v>3202.7229233511589</v>
      </c>
      <c r="Y469" s="1146">
        <f t="shared" si="124"/>
        <v>10842.373867595819</v>
      </c>
      <c r="Z469" s="1146">
        <f t="shared" si="125"/>
        <v>10504.545098039214</v>
      </c>
      <c r="AA469" s="1146">
        <f t="shared" si="126"/>
        <v>337.82876955660504</v>
      </c>
      <c r="AB469" s="1146">
        <f t="shared" si="127"/>
        <v>14037.563636363635</v>
      </c>
      <c r="AC469" s="1146">
        <f t="shared" si="128"/>
        <v>10504.545098039214</v>
      </c>
      <c r="AD469" s="1146">
        <f t="shared" si="129"/>
        <v>3533.0185383244207</v>
      </c>
      <c r="AE469" s="1146">
        <f t="shared" si="130"/>
        <v>11103.635888501742</v>
      </c>
      <c r="AF469" s="1146">
        <f t="shared" si="131"/>
        <v>10504.545098039214</v>
      </c>
      <c r="AG469" s="1146">
        <f t="shared" si="132"/>
        <v>599.09079046252737</v>
      </c>
    </row>
    <row r="470" spans="2:33" ht="14.4">
      <c r="B470" s="1134">
        <v>8443939</v>
      </c>
      <c r="C470" s="1135"/>
      <c r="D470" s="1134">
        <v>200672</v>
      </c>
      <c r="E470" s="1136">
        <v>42166</v>
      </c>
      <c r="F470" s="1137">
        <v>34000</v>
      </c>
      <c r="G470" s="1134">
        <v>14</v>
      </c>
      <c r="H470" s="1137">
        <v>34600</v>
      </c>
      <c r="I470" s="1134">
        <v>15</v>
      </c>
      <c r="J470" s="1138">
        <v>6215</v>
      </c>
      <c r="K470" s="1139"/>
      <c r="L470" s="1140">
        <v>42241</v>
      </c>
      <c r="M470" s="269">
        <f t="shared" si="115"/>
        <v>3</v>
      </c>
      <c r="N470" s="1141">
        <v>175</v>
      </c>
      <c r="O470" s="1087">
        <f t="shared" si="116"/>
        <v>334.99428571428581</v>
      </c>
      <c r="P470" s="269">
        <f t="shared" si="114"/>
        <v>1</v>
      </c>
      <c r="Q470" s="269" t="str">
        <f t="shared" si="117"/>
        <v/>
      </c>
      <c r="R470" s="1147"/>
      <c r="S470" s="1143" t="str">
        <f t="shared" si="118"/>
        <v>Upsize</v>
      </c>
      <c r="T470" s="1144">
        <f t="shared" si="119"/>
        <v>2189.3641618497109</v>
      </c>
      <c r="U470" s="1144">
        <f t="shared" si="120"/>
        <v>873.58381502890165</v>
      </c>
      <c r="V470" s="1146">
        <f t="shared" si="121"/>
        <v>9174.4103295548375</v>
      </c>
      <c r="W470" s="1146">
        <f t="shared" si="122"/>
        <v>8606.1333333333332</v>
      </c>
      <c r="X470" s="1146">
        <f t="shared" si="123"/>
        <v>568.27699622150431</v>
      </c>
      <c r="Y470" s="1146">
        <f t="shared" si="124"/>
        <v>8939.2040442287162</v>
      </c>
      <c r="Z470" s="1146">
        <f t="shared" si="125"/>
        <v>8606.1333333333332</v>
      </c>
      <c r="AA470" s="1146">
        <f t="shared" si="126"/>
        <v>333.07071089538294</v>
      </c>
      <c r="AB470" s="1146">
        <f t="shared" si="127"/>
        <v>9336.3116883116891</v>
      </c>
      <c r="AC470" s="1146">
        <f t="shared" si="128"/>
        <v>8606.1333333333332</v>
      </c>
      <c r="AD470" s="1146">
        <f t="shared" si="129"/>
        <v>730.17835497835586</v>
      </c>
      <c r="AE470" s="1146">
        <f t="shared" si="130"/>
        <v>9096.9547038327528</v>
      </c>
      <c r="AF470" s="1146">
        <f t="shared" si="131"/>
        <v>8606.1333333333332</v>
      </c>
      <c r="AG470" s="1146">
        <f t="shared" si="132"/>
        <v>490.82137049941957</v>
      </c>
    </row>
    <row r="471" spans="2:33" ht="14.4">
      <c r="B471" s="1134">
        <v>5453865</v>
      </c>
      <c r="C471" s="1135"/>
      <c r="D471" s="1134">
        <v>532136</v>
      </c>
      <c r="E471" s="1136">
        <v>42209</v>
      </c>
      <c r="F471" s="1137">
        <v>30000</v>
      </c>
      <c r="G471" s="1134">
        <v>13</v>
      </c>
      <c r="H471" s="1137">
        <v>46000</v>
      </c>
      <c r="I471" s="1134">
        <v>18</v>
      </c>
      <c r="J471" s="1138">
        <v>11445</v>
      </c>
      <c r="K471" s="1139"/>
      <c r="L471" s="1140">
        <v>42241</v>
      </c>
      <c r="M471" s="269">
        <f t="shared" si="115"/>
        <v>3</v>
      </c>
      <c r="N471" s="1141">
        <v>350</v>
      </c>
      <c r="O471" s="1087">
        <f t="shared" si="116"/>
        <v>-681.12820512820565</v>
      </c>
      <c r="P471" s="269">
        <f t="shared" si="114"/>
        <v>1</v>
      </c>
      <c r="Q471" s="269" t="str">
        <f t="shared" si="117"/>
        <v/>
      </c>
      <c r="R471" s="1147"/>
      <c r="S471" s="1143" t="str">
        <f t="shared" si="118"/>
        <v>Upsize</v>
      </c>
      <c r="T471" s="1144">
        <f t="shared" si="119"/>
        <v>1453.0434782608695</v>
      </c>
      <c r="U471" s="1144">
        <f t="shared" si="120"/>
        <v>579.78260869565213</v>
      </c>
      <c r="V471" s="1146">
        <f t="shared" si="121"/>
        <v>5612.0705381574944</v>
      </c>
      <c r="W471" s="1146">
        <f t="shared" si="122"/>
        <v>6850.9803921568628</v>
      </c>
      <c r="X471" s="1146">
        <f t="shared" si="123"/>
        <v>-1238.9098539993684</v>
      </c>
      <c r="Y471" s="1146">
        <f t="shared" si="124"/>
        <v>5234.8204817451897</v>
      </c>
      <c r="Z471" s="1146">
        <f t="shared" si="125"/>
        <v>6850.9803921568628</v>
      </c>
      <c r="AA471" s="1146">
        <f t="shared" si="126"/>
        <v>-1616.1599104116731</v>
      </c>
      <c r="AB471" s="1146">
        <f t="shared" si="127"/>
        <v>8605.1748251748249</v>
      </c>
      <c r="AC471" s="1146">
        <f t="shared" si="128"/>
        <v>6850.9803921568628</v>
      </c>
      <c r="AD471" s="1146">
        <f t="shared" si="129"/>
        <v>1754.1944330179622</v>
      </c>
      <c r="AE471" s="1146">
        <f t="shared" si="130"/>
        <v>8026.7247386759582</v>
      </c>
      <c r="AF471" s="1146">
        <f t="shared" si="131"/>
        <v>6850.9803921568628</v>
      </c>
      <c r="AG471" s="1146">
        <f t="shared" si="132"/>
        <v>1175.7443465190954</v>
      </c>
    </row>
    <row r="472" spans="2:33" ht="14.4">
      <c r="B472" s="1134">
        <v>5899596</v>
      </c>
      <c r="C472" s="1135"/>
      <c r="D472" s="1134">
        <v>589959</v>
      </c>
      <c r="E472" s="1136">
        <v>42188</v>
      </c>
      <c r="F472" s="1137">
        <v>30000</v>
      </c>
      <c r="G472" s="1134">
        <v>10</v>
      </c>
      <c r="H472" s="1137">
        <v>36000</v>
      </c>
      <c r="I472" s="1134">
        <v>17</v>
      </c>
      <c r="J472" s="1138">
        <v>3731</v>
      </c>
      <c r="K472" s="1139"/>
      <c r="L472" s="1140">
        <v>42241</v>
      </c>
      <c r="M472" s="269">
        <f t="shared" si="115"/>
        <v>3</v>
      </c>
      <c r="N472" s="1141">
        <v>250</v>
      </c>
      <c r="O472" s="1087">
        <f t="shared" si="116"/>
        <v>2424.7058823529419</v>
      </c>
      <c r="P472" s="269">
        <f t="shared" si="114"/>
        <v>1</v>
      </c>
      <c r="Q472" s="269" t="str">
        <f t="shared" si="117"/>
        <v/>
      </c>
      <c r="R472" s="1147"/>
      <c r="S472" s="1143" t="str">
        <f t="shared" si="118"/>
        <v>Upsize</v>
      </c>
      <c r="T472" s="1144">
        <f t="shared" si="119"/>
        <v>1856.6666666666667</v>
      </c>
      <c r="U472" s="1144">
        <f t="shared" si="120"/>
        <v>740.83333333333337</v>
      </c>
      <c r="V472" s="1146">
        <f t="shared" si="121"/>
        <v>8456.363636363636</v>
      </c>
      <c r="W472" s="1146">
        <f t="shared" si="122"/>
        <v>7069.4117647058829</v>
      </c>
      <c r="X472" s="1146">
        <f t="shared" si="123"/>
        <v>1386.9518716577531</v>
      </c>
      <c r="Y472" s="1146">
        <f t="shared" si="124"/>
        <v>6688.9372822299647</v>
      </c>
      <c r="Z472" s="1146">
        <f t="shared" si="125"/>
        <v>7069.4117647058829</v>
      </c>
      <c r="AA472" s="1146">
        <f t="shared" si="126"/>
        <v>-380.47448247591819</v>
      </c>
      <c r="AB472" s="1146">
        <f t="shared" si="127"/>
        <v>10147.636363636364</v>
      </c>
      <c r="AC472" s="1146">
        <f t="shared" si="128"/>
        <v>7069.4117647058829</v>
      </c>
      <c r="AD472" s="1146">
        <f t="shared" si="129"/>
        <v>3078.2245989304811</v>
      </c>
      <c r="AE472" s="1146">
        <f t="shared" si="130"/>
        <v>8026.7247386759582</v>
      </c>
      <c r="AF472" s="1146">
        <f t="shared" si="131"/>
        <v>7069.4117647058829</v>
      </c>
      <c r="AG472" s="1146">
        <f t="shared" si="132"/>
        <v>957.31297397007529</v>
      </c>
    </row>
    <row r="473" spans="2:33" ht="14.4">
      <c r="B473" s="1134">
        <v>5899596</v>
      </c>
      <c r="C473" s="1135"/>
      <c r="D473" s="1134">
        <v>589959</v>
      </c>
      <c r="E473" s="1136">
        <v>42188</v>
      </c>
      <c r="F473" s="1137">
        <v>40000</v>
      </c>
      <c r="G473" s="1134">
        <v>10</v>
      </c>
      <c r="H473" s="1137">
        <v>47500</v>
      </c>
      <c r="I473" s="1134">
        <v>17</v>
      </c>
      <c r="J473" s="1138">
        <v>3731</v>
      </c>
      <c r="K473" s="1139"/>
      <c r="L473" s="1140">
        <v>42241</v>
      </c>
      <c r="M473" s="269">
        <f t="shared" si="115"/>
        <v>3</v>
      </c>
      <c r="N473" s="1141">
        <v>325</v>
      </c>
      <c r="O473" s="1087">
        <f t="shared" si="116"/>
        <v>3313.7647058823536</v>
      </c>
      <c r="P473" s="269">
        <f t="shared" si="114"/>
        <v>1</v>
      </c>
      <c r="Q473" s="269" t="str">
        <f t="shared" si="117"/>
        <v/>
      </c>
      <c r="R473" s="1147"/>
      <c r="S473" s="1143" t="str">
        <f t="shared" si="118"/>
        <v>Upsize</v>
      </c>
      <c r="T473" s="1144">
        <f t="shared" si="119"/>
        <v>1876.2105263157894</v>
      </c>
      <c r="U473" s="1144">
        <f t="shared" si="120"/>
        <v>748.63157894736833</v>
      </c>
      <c r="V473" s="1146">
        <f t="shared" si="121"/>
        <v>11393.837320574163</v>
      </c>
      <c r="W473" s="1146">
        <f t="shared" si="122"/>
        <v>9425.8823529411766</v>
      </c>
      <c r="X473" s="1146">
        <f t="shared" si="123"/>
        <v>1967.9549676329862</v>
      </c>
      <c r="Y473" s="1146">
        <f t="shared" si="124"/>
        <v>9012.4628644782679</v>
      </c>
      <c r="Z473" s="1146">
        <f t="shared" si="125"/>
        <v>9425.8823529411766</v>
      </c>
      <c r="AA473" s="1146">
        <f t="shared" si="126"/>
        <v>-413.4194884629087</v>
      </c>
      <c r="AB473" s="1146">
        <f t="shared" si="127"/>
        <v>13530.181818181818</v>
      </c>
      <c r="AC473" s="1146">
        <f t="shared" si="128"/>
        <v>9425.8823529411766</v>
      </c>
      <c r="AD473" s="1146">
        <f t="shared" si="129"/>
        <v>4104.2994652406414</v>
      </c>
      <c r="AE473" s="1146">
        <f t="shared" si="130"/>
        <v>10702.299651567944</v>
      </c>
      <c r="AF473" s="1146">
        <f t="shared" si="131"/>
        <v>9425.8823529411766</v>
      </c>
      <c r="AG473" s="1146">
        <f t="shared" si="132"/>
        <v>1276.4172986267677</v>
      </c>
    </row>
    <row r="474" spans="2:33" ht="14.4">
      <c r="B474" s="1134">
        <v>7218266</v>
      </c>
      <c r="C474" s="1135"/>
      <c r="D474" s="1134">
        <v>339970</v>
      </c>
      <c r="E474" s="1136">
        <v>42173</v>
      </c>
      <c r="F474" s="1137">
        <v>40000</v>
      </c>
      <c r="G474" s="1134">
        <v>9</v>
      </c>
      <c r="H474" s="1137">
        <v>41500</v>
      </c>
      <c r="I474" s="1134">
        <v>15</v>
      </c>
      <c r="J474" s="1138">
        <v>6547</v>
      </c>
      <c r="K474" s="1139"/>
      <c r="L474" s="1140">
        <v>42241</v>
      </c>
      <c r="M474" s="269">
        <f t="shared" si="115"/>
        <v>3</v>
      </c>
      <c r="N474" s="1141">
        <v>225</v>
      </c>
      <c r="O474" s="1087">
        <f t="shared" si="116"/>
        <v>4610.5333333333338</v>
      </c>
      <c r="P474" s="269">
        <f t="shared" si="114"/>
        <v>1</v>
      </c>
      <c r="Q474" s="269" t="str">
        <f t="shared" si="117"/>
        <v/>
      </c>
      <c r="R474" s="1147"/>
      <c r="S474" s="1143" t="str">
        <f t="shared" si="118"/>
        <v>Upsize</v>
      </c>
      <c r="T474" s="1144">
        <f t="shared" si="119"/>
        <v>2147.4698795180725</v>
      </c>
      <c r="U474" s="1144">
        <f t="shared" si="120"/>
        <v>856.86746987951801</v>
      </c>
      <c r="V474" s="1146">
        <f t="shared" si="121"/>
        <v>13995.570159425581</v>
      </c>
      <c r="W474" s="1146">
        <f t="shared" si="122"/>
        <v>10124.86274509804</v>
      </c>
      <c r="X474" s="1146">
        <f t="shared" si="123"/>
        <v>3870.7074143275404</v>
      </c>
      <c r="Y474" s="1146">
        <f t="shared" si="124"/>
        <v>10315.469543679947</v>
      </c>
      <c r="Z474" s="1146">
        <f t="shared" si="125"/>
        <v>10124.86274509804</v>
      </c>
      <c r="AA474" s="1146">
        <f t="shared" si="126"/>
        <v>190.60679858190633</v>
      </c>
      <c r="AB474" s="1146">
        <f t="shared" si="127"/>
        <v>14520.404040404041</v>
      </c>
      <c r="AC474" s="1146">
        <f t="shared" si="128"/>
        <v>10124.86274509804</v>
      </c>
      <c r="AD474" s="1146">
        <f t="shared" si="129"/>
        <v>4395.5412953060004</v>
      </c>
      <c r="AE474" s="1146">
        <f t="shared" si="130"/>
        <v>10702.299651567944</v>
      </c>
      <c r="AF474" s="1146">
        <f t="shared" si="131"/>
        <v>10124.86274509804</v>
      </c>
      <c r="AG474" s="1146">
        <f t="shared" si="132"/>
        <v>577.43690646990399</v>
      </c>
    </row>
    <row r="475" spans="2:33" ht="14.4">
      <c r="B475" s="1134">
        <v>5232087</v>
      </c>
      <c r="C475" s="1135"/>
      <c r="D475" s="1134">
        <v>192141</v>
      </c>
      <c r="E475" s="1136">
        <v>42115</v>
      </c>
      <c r="F475" s="1137">
        <v>50000</v>
      </c>
      <c r="G475" s="1134">
        <v>10</v>
      </c>
      <c r="H475" s="1137">
        <v>57000</v>
      </c>
      <c r="I475" s="1134">
        <v>15</v>
      </c>
      <c r="J475" s="1138">
        <v>6722</v>
      </c>
      <c r="K475" s="1139"/>
      <c r="L475" s="1140">
        <v>42241</v>
      </c>
      <c r="M475" s="269">
        <f t="shared" si="115"/>
        <v>3</v>
      </c>
      <c r="N475" s="1141">
        <v>325</v>
      </c>
      <c r="O475" s="1087">
        <f t="shared" si="116"/>
        <v>3297.6000000000004</v>
      </c>
      <c r="P475" s="269">
        <f t="shared" si="133" ref="P475:P492">IF(L475&gt;0,1,"")</f>
        <v>1</v>
      </c>
      <c r="Q475" s="269" t="str">
        <f t="shared" si="117"/>
        <v/>
      </c>
      <c r="R475" s="1147"/>
      <c r="S475" s="1143" t="str">
        <f t="shared" si="118"/>
        <v>Upsize</v>
      </c>
      <c r="T475" s="1144">
        <f t="shared" si="119"/>
        <v>1954.3859649122805</v>
      </c>
      <c r="U475" s="1144">
        <f t="shared" si="120"/>
        <v>779.82456140350871</v>
      </c>
      <c r="V475" s="1146">
        <f t="shared" si="121"/>
        <v>14835.725677830938</v>
      </c>
      <c r="W475" s="1146">
        <f t="shared" si="122"/>
        <v>12656.078431372547</v>
      </c>
      <c r="X475" s="1146">
        <f t="shared" si="123"/>
        <v>2179.6472464583912</v>
      </c>
      <c r="Y475" s="1146">
        <f t="shared" si="124"/>
        <v>11734.977688122746</v>
      </c>
      <c r="Z475" s="1146">
        <f t="shared" si="125"/>
        <v>12656.078431372547</v>
      </c>
      <c r="AA475" s="1146">
        <f t="shared" si="126"/>
        <v>-921.10074324980087</v>
      </c>
      <c r="AB475" s="1146">
        <f t="shared" si="127"/>
        <v>16912.727272727272</v>
      </c>
      <c r="AC475" s="1146">
        <f t="shared" si="128"/>
        <v>12656.078431372547</v>
      </c>
      <c r="AD475" s="1146">
        <f t="shared" si="129"/>
        <v>4256.6488413547249</v>
      </c>
      <c r="AE475" s="1146">
        <f t="shared" si="130"/>
        <v>13377.874564459929</v>
      </c>
      <c r="AF475" s="1146">
        <f t="shared" si="131"/>
        <v>12656.078431372547</v>
      </c>
      <c r="AG475" s="1146">
        <f t="shared" si="132"/>
        <v>721.79613308738226</v>
      </c>
    </row>
    <row r="476" spans="2:33" ht="14.4">
      <c r="B476" s="1134">
        <v>4350716</v>
      </c>
      <c r="C476" s="1135"/>
      <c r="D476" s="1134">
        <v>254674</v>
      </c>
      <c r="E476" s="1136">
        <v>42173</v>
      </c>
      <c r="F476" s="1137">
        <v>30000</v>
      </c>
      <c r="G476" s="1134">
        <v>10</v>
      </c>
      <c r="H476" s="1137">
        <v>34800</v>
      </c>
      <c r="I476" s="1134">
        <v>15</v>
      </c>
      <c r="J476" s="1138">
        <v>4545</v>
      </c>
      <c r="K476" s="1139"/>
      <c r="L476" s="1140">
        <v>42242</v>
      </c>
      <c r="M476" s="269">
        <f t="shared" si="115"/>
        <v>3</v>
      </c>
      <c r="N476" s="1141">
        <v>175</v>
      </c>
      <c r="O476" s="1087">
        <f t="shared" si="116"/>
        <v>1868.64</v>
      </c>
      <c r="P476" s="269">
        <f t="shared" si="133"/>
        <v>1</v>
      </c>
      <c r="Q476" s="269" t="str">
        <f t="shared" si="117"/>
        <v/>
      </c>
      <c r="R476" s="1147"/>
      <c r="S476" s="1143" t="str">
        <f t="shared" si="118"/>
        <v>Upsize</v>
      </c>
      <c r="T476" s="1144">
        <f t="shared" si="119"/>
        <v>1920.6896551724137</v>
      </c>
      <c r="U476" s="1144">
        <f t="shared" si="120"/>
        <v>766.37931034482756</v>
      </c>
      <c r="V476" s="1146">
        <f t="shared" si="121"/>
        <v>8747.962382445141</v>
      </c>
      <c r="W476" s="1146">
        <f t="shared" si="122"/>
        <v>7593.6470588235288</v>
      </c>
      <c r="X476" s="1146">
        <f t="shared" si="123"/>
        <v>1154.3153236216122</v>
      </c>
      <c r="Y476" s="1146">
        <f t="shared" si="124"/>
        <v>6919.5902919620321</v>
      </c>
      <c r="Z476" s="1146">
        <f t="shared" si="125"/>
        <v>7593.6470588235288</v>
      </c>
      <c r="AA476" s="1146">
        <f t="shared" si="126"/>
        <v>-674.05676686149673</v>
      </c>
      <c r="AB476" s="1146">
        <f t="shared" si="127"/>
        <v>10147.636363636364</v>
      </c>
      <c r="AC476" s="1146">
        <f t="shared" si="128"/>
        <v>7593.6470588235288</v>
      </c>
      <c r="AD476" s="1146">
        <f t="shared" si="129"/>
        <v>2553.9893048128351</v>
      </c>
      <c r="AE476" s="1146">
        <f t="shared" si="130"/>
        <v>8026.7247386759573</v>
      </c>
      <c r="AF476" s="1146">
        <f t="shared" si="131"/>
        <v>7593.6470588235288</v>
      </c>
      <c r="AG476" s="1146">
        <f t="shared" si="132"/>
        <v>433.07767985242845</v>
      </c>
    </row>
    <row r="477" spans="2:33" ht="14.4">
      <c r="B477" s="1134">
        <v>4271003</v>
      </c>
      <c r="C477" s="1135"/>
      <c r="D477" s="1134">
        <v>151754</v>
      </c>
      <c r="E477" s="1136">
        <v>42041</v>
      </c>
      <c r="F477" s="1137">
        <v>30000</v>
      </c>
      <c r="G477" s="1134">
        <v>10</v>
      </c>
      <c r="H477" s="1137">
        <v>35000</v>
      </c>
      <c r="I477" s="1134">
        <v>17.50</v>
      </c>
      <c r="J477" s="1138">
        <v>7236</v>
      </c>
      <c r="K477" s="1139"/>
      <c r="L477" s="1140">
        <v>42243</v>
      </c>
      <c r="M477" s="269">
        <f t="shared" si="115"/>
        <v>3</v>
      </c>
      <c r="N477" s="1141">
        <v>250</v>
      </c>
      <c r="O477" s="1087">
        <f t="shared" si="116"/>
        <v>2748</v>
      </c>
      <c r="P477" s="269">
        <f t="shared" si="133"/>
        <v>1</v>
      </c>
      <c r="Q477" s="269" t="str">
        <f t="shared" si="117"/>
        <v/>
      </c>
      <c r="R477" s="1147"/>
      <c r="S477" s="1143" t="str">
        <f t="shared" si="118"/>
        <v>Upsize</v>
      </c>
      <c r="T477" s="1144">
        <f t="shared" si="119"/>
        <v>1909.7142857142856</v>
      </c>
      <c r="U477" s="1144">
        <f t="shared" si="120"/>
        <v>762</v>
      </c>
      <c r="V477" s="1146">
        <f t="shared" si="121"/>
        <v>8697.9740259740247</v>
      </c>
      <c r="W477" s="1146">
        <f t="shared" si="122"/>
        <v>6957.0756302521004</v>
      </c>
      <c r="X477" s="1146">
        <f t="shared" si="123"/>
        <v>1740.8983957219243</v>
      </c>
      <c r="Y477" s="1146">
        <f t="shared" si="124"/>
        <v>6880.0497760079643</v>
      </c>
      <c r="Z477" s="1146">
        <f t="shared" si="125"/>
        <v>6957.0756302521004</v>
      </c>
      <c r="AA477" s="1146">
        <f t="shared" si="126"/>
        <v>-77.025854244136099</v>
      </c>
      <c r="AB477" s="1146">
        <f t="shared" si="127"/>
        <v>10147.636363636362</v>
      </c>
      <c r="AC477" s="1146">
        <f t="shared" si="128"/>
        <v>6957.0756302521004</v>
      </c>
      <c r="AD477" s="1146">
        <f t="shared" si="129"/>
        <v>3190.5607333842618</v>
      </c>
      <c r="AE477" s="1146">
        <f t="shared" si="130"/>
        <v>8026.7247386759582</v>
      </c>
      <c r="AF477" s="1146">
        <f t="shared" si="131"/>
        <v>6957.0756302521004</v>
      </c>
      <c r="AG477" s="1146">
        <f t="shared" si="132"/>
        <v>1069.6491084238578</v>
      </c>
    </row>
    <row r="478" spans="2:33" ht="14.4">
      <c r="B478" s="1134">
        <v>4989695</v>
      </c>
      <c r="C478" s="1135"/>
      <c r="D478" s="1134">
        <v>487059</v>
      </c>
      <c r="E478" s="1136">
        <v>42214</v>
      </c>
      <c r="F478" s="1137">
        <v>34400</v>
      </c>
      <c r="G478" s="1134">
        <v>10</v>
      </c>
      <c r="H478" s="1137">
        <v>34400</v>
      </c>
      <c r="I478" s="1134">
        <v>15</v>
      </c>
      <c r="J478" s="1138">
        <v>4597</v>
      </c>
      <c r="K478" s="1139"/>
      <c r="L478" s="1140">
        <v>42258</v>
      </c>
      <c r="M478" s="269">
        <f t="shared" si="115"/>
        <v>3</v>
      </c>
      <c r="N478" s="1141">
        <v>175</v>
      </c>
      <c r="O478" s="1087">
        <f t="shared" si="116"/>
        <v>3151.04</v>
      </c>
      <c r="P478" s="269">
        <f t="shared" si="133"/>
        <v>1</v>
      </c>
      <c r="Q478" s="269" t="str">
        <f t="shared" si="117"/>
        <v/>
      </c>
      <c r="R478" s="1147"/>
      <c r="S478" s="1143" t="str">
        <f t="shared" si="118"/>
        <v>Same Size</v>
      </c>
      <c r="T478" s="1144">
        <f t="shared" si="119"/>
        <v>2228</v>
      </c>
      <c r="U478" s="1144">
        <f t="shared" si="120"/>
        <v>889</v>
      </c>
      <c r="V478" s="1146">
        <f t="shared" si="121"/>
        <v>11635.956363636364</v>
      </c>
      <c r="W478" s="1146">
        <f t="shared" si="122"/>
        <v>8707.3819607843143</v>
      </c>
      <c r="X478" s="1146">
        <f t="shared" si="123"/>
        <v>2928.5744028520494</v>
      </c>
      <c r="Y478" s="1146">
        <f t="shared" si="124"/>
        <v>9203.9777003484305</v>
      </c>
      <c r="Z478" s="1146">
        <f t="shared" si="125"/>
        <v>8707.3819607843143</v>
      </c>
      <c r="AA478" s="1146">
        <f t="shared" si="126"/>
        <v>496.59573956411623</v>
      </c>
      <c r="AB478" s="1146">
        <f t="shared" si="127"/>
        <v>11635.956363636364</v>
      </c>
      <c r="AC478" s="1146">
        <f t="shared" si="128"/>
        <v>8707.3819607843143</v>
      </c>
      <c r="AD478" s="1146">
        <f t="shared" si="129"/>
        <v>2928.5744028520494</v>
      </c>
      <c r="AE478" s="1146">
        <f t="shared" si="130"/>
        <v>9203.9777003484305</v>
      </c>
      <c r="AF478" s="1146">
        <f t="shared" si="131"/>
        <v>8707.3819607843143</v>
      </c>
      <c r="AG478" s="1146">
        <f t="shared" si="132"/>
        <v>496.59573956411623</v>
      </c>
    </row>
    <row r="479" spans="2:33" ht="14.4">
      <c r="B479" s="1134">
        <v>1533645</v>
      </c>
      <c r="C479" s="1135"/>
      <c r="D479" s="1134">
        <v>153364</v>
      </c>
      <c r="E479" s="1136">
        <v>42191</v>
      </c>
      <c r="F479" s="1137">
        <v>20000</v>
      </c>
      <c r="G479" s="1134">
        <v>10</v>
      </c>
      <c r="H479" s="1137">
        <v>40500</v>
      </c>
      <c r="I479" s="1134">
        <v>15</v>
      </c>
      <c r="J479" s="1138">
        <v>5000</v>
      </c>
      <c r="K479" s="1139"/>
      <c r="L479" s="1140">
        <v>42258</v>
      </c>
      <c r="M479" s="269">
        <f t="shared" si="115"/>
        <v>3</v>
      </c>
      <c r="N479" s="1141">
        <v>225</v>
      </c>
      <c r="O479" s="1087">
        <f t="shared" si="116"/>
        <v>-1923.60</v>
      </c>
      <c r="P479" s="269">
        <f t="shared" si="133"/>
        <v>1</v>
      </c>
      <c r="Q479" s="269" t="str">
        <f t="shared" si="117"/>
        <v/>
      </c>
      <c r="R479" s="1147"/>
      <c r="S479" s="1143" t="str">
        <f t="shared" si="118"/>
        <v>Upsize</v>
      </c>
      <c r="T479" s="1144">
        <f t="shared" si="119"/>
        <v>1100.2469135802469</v>
      </c>
      <c r="U479" s="1144">
        <f t="shared" si="120"/>
        <v>439.0123456790123</v>
      </c>
      <c r="V479" s="1146">
        <f t="shared" si="121"/>
        <v>3340.7856341189672</v>
      </c>
      <c r="W479" s="1146">
        <f t="shared" si="122"/>
        <v>5062.4313725490201</v>
      </c>
      <c r="X479" s="1146">
        <f t="shared" si="123"/>
        <v>-1721.6457384300529</v>
      </c>
      <c r="Y479" s="1146">
        <f t="shared" si="124"/>
        <v>2642.5431238439369</v>
      </c>
      <c r="Z479" s="1146">
        <f t="shared" si="125"/>
        <v>5062.4313725490201</v>
      </c>
      <c r="AA479" s="1146">
        <f t="shared" si="126"/>
        <v>-2419.8882487050832</v>
      </c>
      <c r="AB479" s="1146">
        <f t="shared" si="127"/>
        <v>6765.0909090909081</v>
      </c>
      <c r="AC479" s="1146">
        <f t="shared" si="128"/>
        <v>5062.4313725490201</v>
      </c>
      <c r="AD479" s="1146">
        <f t="shared" si="129"/>
        <v>1702.659536541888</v>
      </c>
      <c r="AE479" s="1146">
        <f t="shared" si="130"/>
        <v>5351.1498257839721</v>
      </c>
      <c r="AF479" s="1146">
        <f t="shared" si="131"/>
        <v>5062.4313725490201</v>
      </c>
      <c r="AG479" s="1146">
        <f t="shared" si="132"/>
        <v>288.71845323495199</v>
      </c>
    </row>
    <row r="480" spans="2:33" ht="14.4">
      <c r="B480" s="1134">
        <v>6023279</v>
      </c>
      <c r="C480" s="1135"/>
      <c r="D480" s="1134">
        <v>157672</v>
      </c>
      <c r="E480" s="1136">
        <v>42222</v>
      </c>
      <c r="F480" s="1137">
        <v>36000</v>
      </c>
      <c r="G480" s="1134">
        <v>10</v>
      </c>
      <c r="H480" s="1137">
        <v>42000</v>
      </c>
      <c r="I480" s="1134">
        <v>15</v>
      </c>
      <c r="J480" s="1138">
        <v>6975</v>
      </c>
      <c r="K480" s="1139"/>
      <c r="L480" s="1140">
        <v>42262</v>
      </c>
      <c r="M480" s="269">
        <f t="shared" si="115"/>
        <v>3</v>
      </c>
      <c r="N480" s="1141">
        <v>225</v>
      </c>
      <c r="O480" s="1087">
        <f t="shared" si="116"/>
        <v>2198.40</v>
      </c>
      <c r="P480" s="269">
        <f t="shared" si="133"/>
        <v>1</v>
      </c>
      <c r="Q480" s="269" t="str">
        <f t="shared" si="117"/>
        <v/>
      </c>
      <c r="R480" s="1147"/>
      <c r="S480" s="1143" t="str">
        <f t="shared" si="118"/>
        <v>Upsize</v>
      </c>
      <c r="T480" s="1144">
        <f t="shared" si="119"/>
        <v>1909.7142857142856</v>
      </c>
      <c r="U480" s="1144">
        <f t="shared" si="120"/>
        <v>762</v>
      </c>
      <c r="V480" s="1146">
        <f t="shared" si="121"/>
        <v>10437.56883116883</v>
      </c>
      <c r="W480" s="1146">
        <f t="shared" si="122"/>
        <v>9112.376470588235</v>
      </c>
      <c r="X480" s="1146">
        <f t="shared" si="123"/>
        <v>1325.1923605805951</v>
      </c>
      <c r="Y480" s="1146">
        <f t="shared" si="124"/>
        <v>8256.0597312095579</v>
      </c>
      <c r="Z480" s="1146">
        <f t="shared" si="125"/>
        <v>9112.376470588235</v>
      </c>
      <c r="AA480" s="1146">
        <f t="shared" si="126"/>
        <v>-856.31673937867708</v>
      </c>
      <c r="AB480" s="1146">
        <f t="shared" si="127"/>
        <v>12177.163636363635</v>
      </c>
      <c r="AC480" s="1146">
        <f t="shared" si="128"/>
        <v>9112.376470588235</v>
      </c>
      <c r="AD480" s="1146">
        <f t="shared" si="129"/>
        <v>3064.7871657754004</v>
      </c>
      <c r="AE480" s="1146">
        <f t="shared" si="130"/>
        <v>9632.0696864111505</v>
      </c>
      <c r="AF480" s="1146">
        <f t="shared" si="131"/>
        <v>9112.376470588235</v>
      </c>
      <c r="AG480" s="1146">
        <f t="shared" si="132"/>
        <v>519.69321582291559</v>
      </c>
    </row>
    <row r="481" spans="2:33" ht="14.4">
      <c r="B481" s="1134">
        <v>3861101</v>
      </c>
      <c r="C481" s="1135"/>
      <c r="D481" s="1134">
        <v>386110</v>
      </c>
      <c r="E481" s="1136">
        <v>42073</v>
      </c>
      <c r="F481" s="1137">
        <v>30000</v>
      </c>
      <c r="G481" s="1134">
        <v>12</v>
      </c>
      <c r="H481" s="1137">
        <v>34800</v>
      </c>
      <c r="I481" s="1134">
        <v>15</v>
      </c>
      <c r="J481" s="1138">
        <v>6800</v>
      </c>
      <c r="K481" s="1139"/>
      <c r="L481" s="1140">
        <v>42262</v>
      </c>
      <c r="M481" s="269">
        <f t="shared" si="115"/>
        <v>3</v>
      </c>
      <c r="N481" s="1141">
        <v>175</v>
      </c>
      <c r="O481" s="1087">
        <f t="shared" si="116"/>
        <v>494.64000000000004</v>
      </c>
      <c r="P481" s="269">
        <f t="shared" si="133"/>
        <v>1</v>
      </c>
      <c r="Q481" s="269" t="str">
        <f t="shared" si="117"/>
        <v/>
      </c>
      <c r="R481" s="1147"/>
      <c r="S481" s="1143" t="str">
        <f t="shared" si="118"/>
        <v>Upsize</v>
      </c>
      <c r="T481" s="1144">
        <f t="shared" si="119"/>
        <v>1920.6896551724137</v>
      </c>
      <c r="U481" s="1144">
        <f t="shared" si="120"/>
        <v>766.37931034482756</v>
      </c>
      <c r="V481" s="1146">
        <f t="shared" si="121"/>
        <v>7787.6175548589335</v>
      </c>
      <c r="W481" s="1146">
        <f t="shared" si="122"/>
        <v>7593.6470588235288</v>
      </c>
      <c r="X481" s="1146">
        <f t="shared" si="123"/>
        <v>193.97049603540472</v>
      </c>
      <c r="Y481" s="1146">
        <f t="shared" si="124"/>
        <v>6919.5902919620321</v>
      </c>
      <c r="Z481" s="1146">
        <f t="shared" si="125"/>
        <v>7593.6470588235288</v>
      </c>
      <c r="AA481" s="1146">
        <f t="shared" si="126"/>
        <v>-674.05676686149673</v>
      </c>
      <c r="AB481" s="1146">
        <f t="shared" si="127"/>
        <v>9033.6363636363621</v>
      </c>
      <c r="AC481" s="1146">
        <f t="shared" si="128"/>
        <v>7593.6470588235288</v>
      </c>
      <c r="AD481" s="1146">
        <f t="shared" si="129"/>
        <v>1439.9893048128333</v>
      </c>
      <c r="AE481" s="1146">
        <f t="shared" si="130"/>
        <v>8026.7247386759573</v>
      </c>
      <c r="AF481" s="1146">
        <f t="shared" si="131"/>
        <v>7593.6470588235288</v>
      </c>
      <c r="AG481" s="1146">
        <f t="shared" si="132"/>
        <v>433.07767985242845</v>
      </c>
    </row>
    <row r="482" spans="2:33" ht="14.4">
      <c r="B482" s="1134">
        <v>1610534</v>
      </c>
      <c r="C482" s="1135"/>
      <c r="D482" s="1134">
        <v>161053</v>
      </c>
      <c r="E482" s="1136">
        <v>42198</v>
      </c>
      <c r="F482" s="1137">
        <v>34000</v>
      </c>
      <c r="G482" s="1134">
        <v>13</v>
      </c>
      <c r="H482" s="1137">
        <v>46500</v>
      </c>
      <c r="I482" s="1134">
        <v>15</v>
      </c>
      <c r="J482" s="1138">
        <v>7159</v>
      </c>
      <c r="K482" s="1139"/>
      <c r="L482" s="1140">
        <v>42262</v>
      </c>
      <c r="M482" s="269">
        <f t="shared" si="115"/>
        <v>3</v>
      </c>
      <c r="N482" s="1141">
        <v>250</v>
      </c>
      <c r="O482" s="1087">
        <f t="shared" si="116"/>
        <v>-1331.7230769230773</v>
      </c>
      <c r="P482" s="269">
        <f t="shared" si="133"/>
        <v>1</v>
      </c>
      <c r="Q482" s="269" t="str">
        <f t="shared" si="117"/>
        <v/>
      </c>
      <c r="R482" s="1147"/>
      <c r="S482" s="1143" t="str">
        <f t="shared" si="118"/>
        <v>Upsize</v>
      </c>
      <c r="T482" s="1144">
        <f t="shared" si="119"/>
        <v>1629.0752688172042</v>
      </c>
      <c r="U482" s="1144">
        <f t="shared" si="120"/>
        <v>650.02150537634407</v>
      </c>
      <c r="V482" s="1146">
        <f t="shared" si="121"/>
        <v>7130.883224302579</v>
      </c>
      <c r="W482" s="1146">
        <f t="shared" si="122"/>
        <v>8606.1333333333332</v>
      </c>
      <c r="X482" s="1146">
        <f t="shared" si="123"/>
        <v>-1475.2501090307542</v>
      </c>
      <c r="Y482" s="1146">
        <f t="shared" si="124"/>
        <v>6651.5367726949162</v>
      </c>
      <c r="Z482" s="1146">
        <f t="shared" si="125"/>
        <v>8606.1333333333332</v>
      </c>
      <c r="AA482" s="1146">
        <f t="shared" si="126"/>
        <v>-1954.596560638417</v>
      </c>
      <c r="AB482" s="1146">
        <f t="shared" si="127"/>
        <v>9752.5314685314679</v>
      </c>
      <c r="AC482" s="1146">
        <f t="shared" si="128"/>
        <v>8606.1333333333332</v>
      </c>
      <c r="AD482" s="1146">
        <f t="shared" si="129"/>
        <v>1146.3981351981347</v>
      </c>
      <c r="AE482" s="1146">
        <f t="shared" si="130"/>
        <v>9096.9547038327528</v>
      </c>
      <c r="AF482" s="1146">
        <f t="shared" si="131"/>
        <v>8606.1333333333332</v>
      </c>
      <c r="AG482" s="1146">
        <f t="shared" si="132"/>
        <v>490.82137049941957</v>
      </c>
    </row>
    <row r="483" spans="2:33" ht="14.4">
      <c r="B483" s="1134">
        <v>1950138</v>
      </c>
      <c r="C483" s="1135"/>
      <c r="D483" s="1134">
        <v>195013</v>
      </c>
      <c r="E483" s="1136">
        <v>42194</v>
      </c>
      <c r="F483" s="1137">
        <v>47500</v>
      </c>
      <c r="G483" s="1134">
        <v>10</v>
      </c>
      <c r="H483" s="1137">
        <v>47500</v>
      </c>
      <c r="I483" s="1134">
        <v>15</v>
      </c>
      <c r="J483" s="1138">
        <v>5449</v>
      </c>
      <c r="K483" s="1139"/>
      <c r="L483" s="1140">
        <v>42262</v>
      </c>
      <c r="M483" s="269">
        <f t="shared" si="115"/>
        <v>3</v>
      </c>
      <c r="N483" s="1141">
        <v>250</v>
      </c>
      <c r="O483" s="1087">
        <f t="shared" si="116"/>
        <v>4351.0000000000009</v>
      </c>
      <c r="P483" s="269">
        <f t="shared" si="133"/>
        <v>1</v>
      </c>
      <c r="Q483" s="269" t="str">
        <f t="shared" si="117"/>
        <v/>
      </c>
      <c r="R483" s="1147"/>
      <c r="S483" s="1143" t="str">
        <f t="shared" si="118"/>
        <v>Same Size</v>
      </c>
      <c r="T483" s="1144">
        <f t="shared" si="119"/>
        <v>2228</v>
      </c>
      <c r="U483" s="1144">
        <f t="shared" si="120"/>
        <v>889</v>
      </c>
      <c r="V483" s="1146">
        <f t="shared" si="121"/>
        <v>16067.090909090908</v>
      </c>
      <c r="W483" s="1146">
        <f t="shared" si="122"/>
        <v>12023.274509803921</v>
      </c>
      <c r="X483" s="1146">
        <f t="shared" si="123"/>
        <v>4043.8163992869868</v>
      </c>
      <c r="Y483" s="1146">
        <f t="shared" si="124"/>
        <v>12708.980836236933</v>
      </c>
      <c r="Z483" s="1146">
        <f t="shared" si="125"/>
        <v>12023.274509803921</v>
      </c>
      <c r="AA483" s="1146">
        <f t="shared" si="126"/>
        <v>685.70632643301178</v>
      </c>
      <c r="AB483" s="1146">
        <f t="shared" si="127"/>
        <v>16067.090909090908</v>
      </c>
      <c r="AC483" s="1146">
        <f t="shared" si="128"/>
        <v>12023.274509803921</v>
      </c>
      <c r="AD483" s="1146">
        <f t="shared" si="129"/>
        <v>4043.8163992869868</v>
      </c>
      <c r="AE483" s="1146">
        <f t="shared" si="130"/>
        <v>12708.980836236933</v>
      </c>
      <c r="AF483" s="1146">
        <f t="shared" si="131"/>
        <v>12023.274509803921</v>
      </c>
      <c r="AG483" s="1146">
        <f t="shared" si="132"/>
        <v>685.70632643301178</v>
      </c>
    </row>
    <row r="484" spans="2:33" ht="14.4">
      <c r="B484" s="1134">
        <v>4478640</v>
      </c>
      <c r="C484" s="1135"/>
      <c r="D484" s="1134">
        <v>447864</v>
      </c>
      <c r="E484" s="1136">
        <v>42234</v>
      </c>
      <c r="F484" s="1137">
        <v>36000</v>
      </c>
      <c r="G484" s="1134">
        <v>10</v>
      </c>
      <c r="H484" s="1137">
        <v>34800</v>
      </c>
      <c r="I484" s="1134">
        <v>15</v>
      </c>
      <c r="J484" s="1138">
        <v>4720</v>
      </c>
      <c r="K484" s="1139"/>
      <c r="L484" s="1140">
        <v>42262</v>
      </c>
      <c r="M484" s="269">
        <f t="shared" si="115"/>
        <v>3</v>
      </c>
      <c r="N484" s="1141">
        <v>175</v>
      </c>
      <c r="O484" s="1087">
        <f t="shared" si="116"/>
        <v>3517.4400000000005</v>
      </c>
      <c r="P484" s="269">
        <f t="shared" si="133"/>
        <v>1</v>
      </c>
      <c r="Q484" s="269" t="str">
        <f t="shared" si="117"/>
        <v/>
      </c>
      <c r="R484" s="1147"/>
      <c r="S484" s="1143" t="str">
        <f t="shared" si="118"/>
        <v>Downsize</v>
      </c>
      <c r="T484" s="1144">
        <f t="shared" si="119"/>
        <v>2304.8275862068967</v>
      </c>
      <c r="U484" s="1144">
        <f t="shared" si="120"/>
        <v>919.65517241379314</v>
      </c>
      <c r="V484" s="1146">
        <f t="shared" si="121"/>
        <v>12597.065830721003</v>
      </c>
      <c r="W484" s="1146">
        <f t="shared" si="122"/>
        <v>9112.376470588235</v>
      </c>
      <c r="X484" s="1146">
        <f t="shared" si="123"/>
        <v>3484.6893601327683</v>
      </c>
      <c r="Y484" s="1146">
        <f t="shared" si="124"/>
        <v>9964.2100204253293</v>
      </c>
      <c r="Z484" s="1146">
        <f t="shared" si="125"/>
        <v>9112.376470588235</v>
      </c>
      <c r="AA484" s="1146">
        <f t="shared" si="126"/>
        <v>851.83354983709432</v>
      </c>
      <c r="AB484" s="1146">
        <f t="shared" si="127"/>
        <v>12177.163636363635</v>
      </c>
      <c r="AC484" s="1146">
        <f t="shared" si="128"/>
        <v>9112.376470588235</v>
      </c>
      <c r="AD484" s="1146">
        <f t="shared" si="129"/>
        <v>3064.7871657754004</v>
      </c>
      <c r="AE484" s="1146">
        <f t="shared" si="130"/>
        <v>9632.0696864111505</v>
      </c>
      <c r="AF484" s="1146">
        <f t="shared" si="131"/>
        <v>9112.376470588235</v>
      </c>
      <c r="AG484" s="1146">
        <f t="shared" si="132"/>
        <v>519.69321582291559</v>
      </c>
    </row>
    <row r="485" spans="2:33" ht="14.4">
      <c r="B485" s="1134">
        <v>6738322</v>
      </c>
      <c r="C485" s="1135"/>
      <c r="D485" s="1134">
        <v>153254</v>
      </c>
      <c r="E485" s="1136">
        <v>42222</v>
      </c>
      <c r="F485" s="1137">
        <v>20000</v>
      </c>
      <c r="G485" s="1134">
        <v>10</v>
      </c>
      <c r="H485" s="1137">
        <v>29200</v>
      </c>
      <c r="I485" s="1134">
        <v>15</v>
      </c>
      <c r="J485" s="1138">
        <v>7212</v>
      </c>
      <c r="K485" s="1139"/>
      <c r="L485" s="1140">
        <v>42262</v>
      </c>
      <c r="M485" s="269">
        <f t="shared" si="115"/>
        <v>3</v>
      </c>
      <c r="N485" s="1141">
        <v>150</v>
      </c>
      <c r="O485" s="1087">
        <f t="shared" si="116"/>
        <v>146.5599999999998</v>
      </c>
      <c r="P485" s="269">
        <f t="shared" si="133"/>
        <v>1</v>
      </c>
      <c r="Q485" s="269" t="str">
        <f t="shared" si="117"/>
        <v/>
      </c>
      <c r="R485" s="1147"/>
      <c r="S485" s="1143" t="str">
        <f t="shared" si="118"/>
        <v>Upsize</v>
      </c>
      <c r="T485" s="1144">
        <f t="shared" si="119"/>
        <v>1526.0273972602738</v>
      </c>
      <c r="U485" s="1144">
        <f t="shared" si="120"/>
        <v>608.90410958904101</v>
      </c>
      <c r="V485" s="1146">
        <f t="shared" si="121"/>
        <v>4633.6239103362386</v>
      </c>
      <c r="W485" s="1146">
        <f t="shared" si="122"/>
        <v>5062.4313725490192</v>
      </c>
      <c r="X485" s="1146">
        <f t="shared" si="123"/>
        <v>-428.80746221278059</v>
      </c>
      <c r="Y485" s="1146">
        <f t="shared" si="124"/>
        <v>3665.1711135506657</v>
      </c>
      <c r="Z485" s="1146">
        <f t="shared" si="125"/>
        <v>5062.4313725490192</v>
      </c>
      <c r="AA485" s="1146">
        <f t="shared" si="126"/>
        <v>-1397.2602589983535</v>
      </c>
      <c r="AB485" s="1146">
        <f t="shared" si="127"/>
        <v>6765.0909090909081</v>
      </c>
      <c r="AC485" s="1146">
        <f t="shared" si="128"/>
        <v>5062.4313725490192</v>
      </c>
      <c r="AD485" s="1146">
        <f t="shared" si="129"/>
        <v>1702.6595365418889</v>
      </c>
      <c r="AE485" s="1146">
        <f t="shared" si="130"/>
        <v>5351.1498257839712</v>
      </c>
      <c r="AF485" s="1146">
        <f t="shared" si="131"/>
        <v>5062.4313725490192</v>
      </c>
      <c r="AG485" s="1146">
        <f t="shared" si="132"/>
        <v>288.71845323495199</v>
      </c>
    </row>
    <row r="486" spans="2:33" ht="14.4">
      <c r="B486" s="1134">
        <v>3767787</v>
      </c>
      <c r="C486" s="1135"/>
      <c r="D486" s="1134">
        <v>111734</v>
      </c>
      <c r="E486" s="1136">
        <v>42212</v>
      </c>
      <c r="F486" s="1137">
        <v>30000</v>
      </c>
      <c r="G486" s="1134">
        <v>13</v>
      </c>
      <c r="H486" s="1137">
        <v>39500</v>
      </c>
      <c r="I486" s="1134">
        <v>15</v>
      </c>
      <c r="J486" s="1138">
        <v>7150</v>
      </c>
      <c r="K486" s="1139"/>
      <c r="L486" s="1140">
        <v>42262</v>
      </c>
      <c r="M486" s="269">
        <f t="shared" si="115"/>
        <v>3</v>
      </c>
      <c r="N486" s="1141">
        <v>225</v>
      </c>
      <c r="O486" s="1087">
        <f t="shared" si="116"/>
        <v>-894.86153846153911</v>
      </c>
      <c r="P486" s="269">
        <f t="shared" si="133"/>
        <v>1</v>
      </c>
      <c r="Q486" s="269" t="str">
        <f t="shared" si="117"/>
        <v/>
      </c>
      <c r="R486" s="1147"/>
      <c r="S486" s="1143" t="str">
        <f t="shared" si="118"/>
        <v>Upsize</v>
      </c>
      <c r="T486" s="1144">
        <f t="shared" si="119"/>
        <v>1692.1518987341774</v>
      </c>
      <c r="U486" s="1144">
        <f t="shared" si="120"/>
        <v>675.18987341772151</v>
      </c>
      <c r="V486" s="1146">
        <f t="shared" si="121"/>
        <v>6535.5758165884763</v>
      </c>
      <c r="W486" s="1146">
        <f t="shared" si="122"/>
        <v>7593.6470588235297</v>
      </c>
      <c r="X486" s="1146">
        <f t="shared" si="123"/>
        <v>-1058.0712422350534</v>
      </c>
      <c r="Y486" s="1146">
        <f t="shared" si="124"/>
        <v>6096.2466369690828</v>
      </c>
      <c r="Z486" s="1146">
        <f t="shared" si="125"/>
        <v>7593.6470588235297</v>
      </c>
      <c r="AA486" s="1146">
        <f t="shared" si="126"/>
        <v>-1497.4004218544469</v>
      </c>
      <c r="AB486" s="1146">
        <f t="shared" si="127"/>
        <v>8605.1748251748268</v>
      </c>
      <c r="AC486" s="1146">
        <f t="shared" si="128"/>
        <v>7593.6470588235297</v>
      </c>
      <c r="AD486" s="1146">
        <f t="shared" si="129"/>
        <v>1011.527766351297</v>
      </c>
      <c r="AE486" s="1146">
        <f t="shared" si="130"/>
        <v>8026.72473867596</v>
      </c>
      <c r="AF486" s="1146">
        <f t="shared" si="131"/>
        <v>7593.6470588235297</v>
      </c>
      <c r="AG486" s="1146">
        <f t="shared" si="132"/>
        <v>433.07767985243026</v>
      </c>
    </row>
    <row r="487" spans="2:33" ht="14.4">
      <c r="B487" s="1134">
        <v>1733385</v>
      </c>
      <c r="C487" s="1135"/>
      <c r="D487" s="1134">
        <v>173338</v>
      </c>
      <c r="E487" s="1136">
        <v>42146</v>
      </c>
      <c r="F487" s="1137">
        <v>30000</v>
      </c>
      <c r="G487" s="1134">
        <v>10</v>
      </c>
      <c r="H487" s="1137">
        <v>30000</v>
      </c>
      <c r="I487" s="1134">
        <v>15</v>
      </c>
      <c r="J487" s="1138">
        <v>4938</v>
      </c>
      <c r="K487" s="1139"/>
      <c r="L487" s="1140">
        <v>42262</v>
      </c>
      <c r="M487" s="269">
        <f t="shared" si="115"/>
        <v>3</v>
      </c>
      <c r="N487" s="1141">
        <v>150</v>
      </c>
      <c r="O487" s="1087">
        <f t="shared" si="116"/>
        <v>2748</v>
      </c>
      <c r="P487" s="269">
        <f t="shared" si="133"/>
        <v>1</v>
      </c>
      <c r="Q487" s="269" t="str">
        <f t="shared" si="117"/>
        <v/>
      </c>
      <c r="R487" s="1147"/>
      <c r="S487" s="1143" t="str">
        <f t="shared" si="118"/>
        <v>Same Size</v>
      </c>
      <c r="T487" s="1144">
        <f t="shared" si="119"/>
        <v>2228</v>
      </c>
      <c r="U487" s="1144">
        <f t="shared" si="120"/>
        <v>889</v>
      </c>
      <c r="V487" s="1146">
        <f t="shared" si="121"/>
        <v>10147.636363636364</v>
      </c>
      <c r="W487" s="1146">
        <f t="shared" si="122"/>
        <v>7593.6470588235297</v>
      </c>
      <c r="X487" s="1146">
        <f t="shared" si="123"/>
        <v>2553.9893048128342</v>
      </c>
      <c r="Y487" s="1146">
        <f t="shared" si="124"/>
        <v>8026.7247386759582</v>
      </c>
      <c r="Z487" s="1146">
        <f t="shared" si="125"/>
        <v>7593.6470588235297</v>
      </c>
      <c r="AA487" s="1146">
        <f t="shared" si="126"/>
        <v>433.07767985242845</v>
      </c>
      <c r="AB487" s="1146">
        <f t="shared" si="127"/>
        <v>10147.636363636364</v>
      </c>
      <c r="AC487" s="1146">
        <f t="shared" si="128"/>
        <v>7593.6470588235297</v>
      </c>
      <c r="AD487" s="1146">
        <f t="shared" si="129"/>
        <v>2553.9893048128342</v>
      </c>
      <c r="AE487" s="1146">
        <f t="shared" si="130"/>
        <v>8026.7247386759582</v>
      </c>
      <c r="AF487" s="1146">
        <f t="shared" si="131"/>
        <v>7593.6470588235297</v>
      </c>
      <c r="AG487" s="1146">
        <f t="shared" si="132"/>
        <v>433.07767985242845</v>
      </c>
    </row>
    <row r="488" spans="2:33" ht="14.4">
      <c r="B488" s="1134">
        <v>2648475</v>
      </c>
      <c r="C488" s="1135"/>
      <c r="D488" s="1134">
        <v>264847</v>
      </c>
      <c r="E488" s="1136">
        <v>42230</v>
      </c>
      <c r="F488" s="1137">
        <v>20000</v>
      </c>
      <c r="G488" s="1134">
        <v>10</v>
      </c>
      <c r="H488" s="1137">
        <v>38000</v>
      </c>
      <c r="I488" s="1134">
        <v>15</v>
      </c>
      <c r="J488" s="1138">
        <v>5700</v>
      </c>
      <c r="K488" s="1139"/>
      <c r="L488" s="1140">
        <v>42262</v>
      </c>
      <c r="M488" s="269">
        <f t="shared" si="115"/>
        <v>3</v>
      </c>
      <c r="N488" s="1141">
        <v>175</v>
      </c>
      <c r="O488" s="1087">
        <f t="shared" si="116"/>
        <v>-1465.6000000000006</v>
      </c>
      <c r="P488" s="269">
        <f t="shared" si="133"/>
        <v>1</v>
      </c>
      <c r="Q488" s="269" t="str">
        <f t="shared" si="117"/>
        <v/>
      </c>
      <c r="R488" s="1147"/>
      <c r="S488" s="1143" t="str">
        <f t="shared" si="118"/>
        <v>Upsize</v>
      </c>
      <c r="T488" s="1144">
        <f t="shared" si="119"/>
        <v>1172.6315789473683</v>
      </c>
      <c r="U488" s="1144">
        <f t="shared" si="120"/>
        <v>467.89473684210526</v>
      </c>
      <c r="V488" s="1146">
        <f t="shared" si="121"/>
        <v>3560.5741626794261</v>
      </c>
      <c r="W488" s="1146">
        <f t="shared" si="122"/>
        <v>5062.4313725490201</v>
      </c>
      <c r="X488" s="1146">
        <f t="shared" si="123"/>
        <v>-1501.857209869594</v>
      </c>
      <c r="Y488" s="1146">
        <f t="shared" si="124"/>
        <v>2816.3946451494585</v>
      </c>
      <c r="Z488" s="1146">
        <f t="shared" si="125"/>
        <v>5062.4313725490201</v>
      </c>
      <c r="AA488" s="1146">
        <f t="shared" si="126"/>
        <v>-2246.0367273995616</v>
      </c>
      <c r="AB488" s="1146">
        <f t="shared" si="127"/>
        <v>6765.090909090909</v>
      </c>
      <c r="AC488" s="1146">
        <f t="shared" si="128"/>
        <v>5062.4313725490201</v>
      </c>
      <c r="AD488" s="1146">
        <f t="shared" si="129"/>
        <v>1702.6595365418889</v>
      </c>
      <c r="AE488" s="1146">
        <f t="shared" si="130"/>
        <v>5351.1498257839712</v>
      </c>
      <c r="AF488" s="1146">
        <f t="shared" si="131"/>
        <v>5062.4313725490201</v>
      </c>
      <c r="AG488" s="1146">
        <f t="shared" si="132"/>
        <v>288.71845323495108</v>
      </c>
    </row>
    <row r="489" spans="2:33" ht="14.4">
      <c r="B489" s="1134">
        <v>8181604</v>
      </c>
      <c r="C489" s="1135"/>
      <c r="D489" s="1134">
        <v>158565</v>
      </c>
      <c r="E489" s="1136">
        <v>42222</v>
      </c>
      <c r="F489" s="1137">
        <v>25000</v>
      </c>
      <c r="G489" s="1134">
        <v>11</v>
      </c>
      <c r="H489" s="1137">
        <v>28800</v>
      </c>
      <c r="I489" s="1134">
        <v>15</v>
      </c>
      <c r="J489" s="1138">
        <v>5247</v>
      </c>
      <c r="K489" s="1139"/>
      <c r="L489" s="1140">
        <v>42262</v>
      </c>
      <c r="M489" s="269">
        <f t="shared" si="115"/>
        <v>3</v>
      </c>
      <c r="N489" s="1141">
        <v>150</v>
      </c>
      <c r="O489" s="1087">
        <f t="shared" si="116"/>
        <v>969.29454545454496</v>
      </c>
      <c r="P489" s="269">
        <f t="shared" si="133"/>
        <v>1</v>
      </c>
      <c r="Q489" s="269" t="str">
        <f t="shared" si="117"/>
        <v/>
      </c>
      <c r="R489" s="1147"/>
      <c r="S489" s="1143" t="str">
        <f t="shared" si="118"/>
        <v>Upsize</v>
      </c>
      <c r="T489" s="1144">
        <f t="shared" si="119"/>
        <v>1934.0277777777778</v>
      </c>
      <c r="U489" s="1144">
        <f t="shared" si="120"/>
        <v>771.70138888888891</v>
      </c>
      <c r="V489" s="1146">
        <f t="shared" si="121"/>
        <v>6901.041666666667</v>
      </c>
      <c r="W489" s="1146">
        <f t="shared" si="122"/>
        <v>6328.0392156862745</v>
      </c>
      <c r="X489" s="1146">
        <f t="shared" si="123"/>
        <v>573.0024509803925</v>
      </c>
      <c r="Y489" s="1146">
        <f t="shared" si="124"/>
        <v>5806.3691686024004</v>
      </c>
      <c r="Z489" s="1146">
        <f t="shared" si="125"/>
        <v>6328.0392156862745</v>
      </c>
      <c r="AA489" s="1146">
        <f t="shared" si="126"/>
        <v>-521.67004708387412</v>
      </c>
      <c r="AB489" s="1146">
        <f t="shared" si="127"/>
        <v>7950.0000000000009</v>
      </c>
      <c r="AC489" s="1146">
        <f t="shared" si="128"/>
        <v>6328.0392156862745</v>
      </c>
      <c r="AD489" s="1146">
        <f t="shared" si="129"/>
        <v>1621.9607843137264</v>
      </c>
      <c r="AE489" s="1146">
        <f t="shared" si="130"/>
        <v>6688.9372822299647</v>
      </c>
      <c r="AF489" s="1146">
        <f t="shared" si="131"/>
        <v>6328.0392156862745</v>
      </c>
      <c r="AG489" s="1146">
        <f t="shared" si="132"/>
        <v>360.89806654369022</v>
      </c>
    </row>
    <row r="490" spans="2:33" ht="14.4">
      <c r="B490" s="1134">
        <v>499666</v>
      </c>
      <c r="C490" s="1135"/>
      <c r="D490" s="1134">
        <v>97717</v>
      </c>
      <c r="E490" s="1136">
        <v>42180</v>
      </c>
      <c r="F490" s="1137">
        <v>40000</v>
      </c>
      <c r="G490" s="1134">
        <v>10</v>
      </c>
      <c r="H490" s="1137">
        <v>47000</v>
      </c>
      <c r="I490" s="1134">
        <v>15</v>
      </c>
      <c r="J490" s="1138">
        <v>5250</v>
      </c>
      <c r="K490" s="1139"/>
      <c r="L490" s="1140">
        <v>42265</v>
      </c>
      <c r="M490" s="269">
        <f t="shared" si="115"/>
        <v>3</v>
      </c>
      <c r="N490" s="1141">
        <v>250</v>
      </c>
      <c r="O490" s="1087">
        <f t="shared" si="116"/>
        <v>2381.60</v>
      </c>
      <c r="P490" s="269">
        <f t="shared" si="133"/>
        <v>1</v>
      </c>
      <c r="Q490" s="269" t="str">
        <f t="shared" si="117"/>
        <v/>
      </c>
      <c r="R490" s="1147"/>
      <c r="S490" s="1143" t="str">
        <f t="shared" si="118"/>
        <v>Upsize</v>
      </c>
      <c r="T490" s="1144">
        <f t="shared" si="119"/>
        <v>1896.1702127659576</v>
      </c>
      <c r="U490" s="1144">
        <f t="shared" si="120"/>
        <v>756.59574468085111</v>
      </c>
      <c r="V490" s="1146">
        <f t="shared" si="121"/>
        <v>11515.04835589942</v>
      </c>
      <c r="W490" s="1146">
        <f t="shared" si="122"/>
        <v>10124.86274509804</v>
      </c>
      <c r="X490" s="1146">
        <f t="shared" si="123"/>
        <v>1390.1856108013799</v>
      </c>
      <c r="Y490" s="1146">
        <f t="shared" si="124"/>
        <v>9108.3401289939957</v>
      </c>
      <c r="Z490" s="1146">
        <f t="shared" si="125"/>
        <v>10124.86274509804</v>
      </c>
      <c r="AA490" s="1146">
        <f t="shared" si="126"/>
        <v>-1016.5226161040446</v>
      </c>
      <c r="AB490" s="1146">
        <f t="shared" si="127"/>
        <v>13530.18181818182</v>
      </c>
      <c r="AC490" s="1146">
        <f t="shared" si="128"/>
        <v>10124.86274509804</v>
      </c>
      <c r="AD490" s="1146">
        <f t="shared" si="129"/>
        <v>3405.3190730837796</v>
      </c>
      <c r="AE490" s="1146">
        <f t="shared" si="130"/>
        <v>10702.299651567944</v>
      </c>
      <c r="AF490" s="1146">
        <f t="shared" si="131"/>
        <v>10124.86274509804</v>
      </c>
      <c r="AG490" s="1146">
        <f t="shared" si="132"/>
        <v>577.43690646990399</v>
      </c>
    </row>
    <row r="491" spans="2:33" ht="14.4">
      <c r="B491" s="1134">
        <v>1917129</v>
      </c>
      <c r="C491" s="1135"/>
      <c r="D491" s="1134">
        <v>191712</v>
      </c>
      <c r="E491" s="1136">
        <v>42110</v>
      </c>
      <c r="F491" s="1137">
        <v>40000</v>
      </c>
      <c r="G491" s="1134">
        <v>10</v>
      </c>
      <c r="H491" s="1137">
        <v>56500</v>
      </c>
      <c r="I491" s="1134">
        <v>16</v>
      </c>
      <c r="J491" s="1138">
        <v>10974</v>
      </c>
      <c r="K491" s="1139"/>
      <c r="L491" s="1140">
        <v>42265</v>
      </c>
      <c r="M491" s="269">
        <f t="shared" si="115"/>
        <v>3</v>
      </c>
      <c r="N491" s="1141">
        <v>375</v>
      </c>
      <c r="O491" s="1087">
        <f t="shared" si="116"/>
        <v>1288.125</v>
      </c>
      <c r="P491" s="269">
        <f t="shared" si="133"/>
        <v>1</v>
      </c>
      <c r="Q491" s="269" t="str">
        <f t="shared" si="117"/>
        <v/>
      </c>
      <c r="R491" s="1147"/>
      <c r="S491" s="1143" t="str">
        <f t="shared" si="118"/>
        <v>Upsize</v>
      </c>
      <c r="T491" s="1144">
        <f t="shared" si="119"/>
        <v>1577.3451327433629</v>
      </c>
      <c r="U491" s="1144">
        <f t="shared" si="120"/>
        <v>629.3805309734513</v>
      </c>
      <c r="V491" s="1146">
        <f t="shared" si="121"/>
        <v>9578.8897827835881</v>
      </c>
      <c r="W491" s="1146">
        <f t="shared" si="122"/>
        <v>9753.5294117647063</v>
      </c>
      <c r="X491" s="1146">
        <f t="shared" si="123"/>
        <v>-174.63962898111822</v>
      </c>
      <c r="Y491" s="1146">
        <f t="shared" si="124"/>
        <v>7576.8493108445628</v>
      </c>
      <c r="Z491" s="1146">
        <f t="shared" si="125"/>
        <v>9753.5294117647063</v>
      </c>
      <c r="AA491" s="1146">
        <f t="shared" si="126"/>
        <v>-2176.6801009201436</v>
      </c>
      <c r="AB491" s="1146">
        <f t="shared" si="127"/>
        <v>13530.181818181818</v>
      </c>
      <c r="AC491" s="1146">
        <f t="shared" si="128"/>
        <v>9753.5294117647063</v>
      </c>
      <c r="AD491" s="1146">
        <f t="shared" si="129"/>
        <v>3776.6524064171117</v>
      </c>
      <c r="AE491" s="1146">
        <f t="shared" si="130"/>
        <v>10702.299651567944</v>
      </c>
      <c r="AF491" s="1146">
        <f t="shared" si="131"/>
        <v>9753.5294117647063</v>
      </c>
      <c r="AG491" s="1146">
        <f t="shared" si="132"/>
        <v>948.77023980323793</v>
      </c>
    </row>
    <row r="492" spans="2:33" ht="14.4">
      <c r="B492" s="1134">
        <v>6284707</v>
      </c>
      <c r="C492" s="1135"/>
      <c r="D492" s="1134">
        <v>614245</v>
      </c>
      <c r="E492" s="1136">
        <v>42170</v>
      </c>
      <c r="F492" s="1137">
        <v>50000</v>
      </c>
      <c r="G492" s="1134">
        <v>10</v>
      </c>
      <c r="H492" s="1137">
        <v>47000</v>
      </c>
      <c r="I492" s="1134">
        <v>15</v>
      </c>
      <c r="J492" s="1138">
        <v>6650</v>
      </c>
      <c r="K492" s="1139"/>
      <c r="L492" s="1140">
        <v>42265</v>
      </c>
      <c r="M492" s="269">
        <f t="shared" si="115"/>
        <v>3</v>
      </c>
      <c r="N492" s="1141">
        <v>250</v>
      </c>
      <c r="O492" s="1087">
        <f t="shared" si="116"/>
        <v>5129.6000000000004</v>
      </c>
      <c r="P492" s="269">
        <f t="shared" si="133"/>
        <v>1</v>
      </c>
      <c r="Q492" s="269" t="str">
        <f t="shared" si="117"/>
        <v/>
      </c>
      <c r="R492" s="1147"/>
      <c r="S492" s="1143" t="str">
        <f t="shared" si="118"/>
        <v>Downsize</v>
      </c>
      <c r="T492" s="1144">
        <f t="shared" si="119"/>
        <v>2370.2127659574467</v>
      </c>
      <c r="U492" s="1144">
        <f t="shared" si="120"/>
        <v>945.74468085106378</v>
      </c>
      <c r="V492" s="1146">
        <f t="shared" si="121"/>
        <v>17992.263056092841</v>
      </c>
      <c r="W492" s="1146">
        <f t="shared" si="122"/>
        <v>12656.078431372549</v>
      </c>
      <c r="X492" s="1146">
        <f t="shared" si="123"/>
        <v>5336.184624720292</v>
      </c>
      <c r="Y492" s="1146">
        <f t="shared" si="124"/>
        <v>14231.781451553115</v>
      </c>
      <c r="Z492" s="1146">
        <f t="shared" si="125"/>
        <v>12656.078431372549</v>
      </c>
      <c r="AA492" s="1146">
        <f t="shared" si="126"/>
        <v>1575.7030201805665</v>
      </c>
      <c r="AB492" s="1146">
        <f t="shared" si="127"/>
        <v>16912.727272727272</v>
      </c>
      <c r="AC492" s="1146">
        <f t="shared" si="128"/>
        <v>12656.078431372549</v>
      </c>
      <c r="AD492" s="1146">
        <f t="shared" si="129"/>
        <v>4256.6488413547231</v>
      </c>
      <c r="AE492" s="1146">
        <f t="shared" si="130"/>
        <v>13377.874564459929</v>
      </c>
      <c r="AF492" s="1146">
        <f t="shared" si="131"/>
        <v>12656.078431372549</v>
      </c>
      <c r="AG492" s="1146">
        <f t="shared" si="132"/>
        <v>721.79613308738044</v>
      </c>
    </row>
    <row r="493" spans="2:33" ht="14.4">
      <c r="B493" s="1134">
        <v>8404352</v>
      </c>
      <c r="C493" s="1135"/>
      <c r="D493" s="1134">
        <v>164414</v>
      </c>
      <c r="E493" s="1136">
        <v>42150</v>
      </c>
      <c r="F493" s="1137">
        <v>30000</v>
      </c>
      <c r="G493" s="1134">
        <v>15</v>
      </c>
      <c r="H493" s="1137">
        <v>48000</v>
      </c>
      <c r="I493" s="1134">
        <v>14</v>
      </c>
      <c r="J493" s="1138">
        <v>6810</v>
      </c>
      <c r="K493" s="1140">
        <v>42265</v>
      </c>
      <c r="L493" s="1140"/>
      <c r="M493" s="269">
        <f t="shared" si="115"/>
        <v>3</v>
      </c>
      <c r="N493" s="1141">
        <v>0</v>
      </c>
      <c r="O493" s="1087">
        <f t="shared" si="116"/>
        <v>-3925.7142857142858</v>
      </c>
      <c r="P493" s="269">
        <v>0</v>
      </c>
      <c r="Q493" s="269">
        <f t="shared" si="117"/>
        <v>1</v>
      </c>
      <c r="R493" s="1147"/>
      <c r="S493" s="1143" t="str">
        <f t="shared" si="118"/>
        <v>Upsize</v>
      </c>
      <c r="T493" s="1144">
        <f t="shared" si="119"/>
        <v>1392.50</v>
      </c>
      <c r="U493" s="1144">
        <f t="shared" si="120"/>
        <v>555.625</v>
      </c>
      <c r="V493" s="1146">
        <f t="shared" si="121"/>
        <v>0</v>
      </c>
      <c r="W493" s="1146">
        <f t="shared" si="122"/>
        <v>0</v>
      </c>
      <c r="X493" s="1146">
        <f t="shared" si="123"/>
        <v>0</v>
      </c>
      <c r="Y493" s="1146">
        <f t="shared" si="124"/>
        <v>0</v>
      </c>
      <c r="Z493" s="1146">
        <f t="shared" si="125"/>
        <v>0</v>
      </c>
      <c r="AA493" s="1146">
        <f t="shared" si="126"/>
        <v>0</v>
      </c>
      <c r="AB493" s="1146">
        <f t="shared" si="127"/>
        <v>0</v>
      </c>
      <c r="AC493" s="1146">
        <f t="shared" si="128"/>
        <v>0</v>
      </c>
      <c r="AD493" s="1146">
        <f t="shared" si="129"/>
        <v>0</v>
      </c>
      <c r="AE493" s="1146">
        <f t="shared" si="130"/>
        <v>0</v>
      </c>
      <c r="AF493" s="1146">
        <f t="shared" si="131"/>
        <v>0</v>
      </c>
      <c r="AG493" s="1146">
        <f t="shared" si="132"/>
        <v>0</v>
      </c>
    </row>
    <row r="494" spans="2:33" ht="14.4">
      <c r="B494" s="1134">
        <v>907691</v>
      </c>
      <c r="C494" s="1135"/>
      <c r="D494" s="1134">
        <v>90769</v>
      </c>
      <c r="E494" s="1136">
        <v>42160</v>
      </c>
      <c r="F494" s="1137">
        <v>60000</v>
      </c>
      <c r="G494" s="1134">
        <v>7</v>
      </c>
      <c r="H494" s="1137">
        <v>57500</v>
      </c>
      <c r="I494" s="1134">
        <v>14</v>
      </c>
      <c r="J494" s="1138">
        <v>9645</v>
      </c>
      <c r="K494" s="1140">
        <v>42265</v>
      </c>
      <c r="L494" s="1140"/>
      <c r="M494" s="269">
        <f t="shared" si="115"/>
        <v>3</v>
      </c>
      <c r="N494" s="1141">
        <v>0</v>
      </c>
      <c r="O494" s="1087">
        <f t="shared" si="116"/>
        <v>12267.857142857143</v>
      </c>
      <c r="P494" s="269">
        <v>0</v>
      </c>
      <c r="Q494" s="269">
        <f t="shared" si="117"/>
        <v>1</v>
      </c>
      <c r="R494" s="1147"/>
      <c r="S494" s="1143" t="str">
        <f t="shared" si="118"/>
        <v>Downsize</v>
      </c>
      <c r="T494" s="1144">
        <f t="shared" si="119"/>
        <v>2324.869565217391</v>
      </c>
      <c r="U494" s="1144">
        <f t="shared" si="120"/>
        <v>927.6521739130435</v>
      </c>
      <c r="V494" s="1146">
        <f t="shared" si="121"/>
        <v>0</v>
      </c>
      <c r="W494" s="1146">
        <f t="shared" si="122"/>
        <v>0</v>
      </c>
      <c r="X494" s="1146">
        <f t="shared" si="123"/>
        <v>0</v>
      </c>
      <c r="Y494" s="1146">
        <f t="shared" si="124"/>
        <v>0</v>
      </c>
      <c r="Z494" s="1146">
        <f t="shared" si="125"/>
        <v>0</v>
      </c>
      <c r="AA494" s="1146">
        <f t="shared" si="126"/>
        <v>0</v>
      </c>
      <c r="AB494" s="1146">
        <f t="shared" si="127"/>
        <v>0</v>
      </c>
      <c r="AC494" s="1146">
        <f t="shared" si="128"/>
        <v>0</v>
      </c>
      <c r="AD494" s="1146">
        <f t="shared" si="129"/>
        <v>0</v>
      </c>
      <c r="AE494" s="1146">
        <f t="shared" si="130"/>
        <v>0</v>
      </c>
      <c r="AF494" s="1146">
        <f t="shared" si="131"/>
        <v>0</v>
      </c>
      <c r="AG494" s="1146">
        <f t="shared" si="132"/>
        <v>0</v>
      </c>
    </row>
    <row r="495" spans="2:33" ht="14.4">
      <c r="B495" s="1134">
        <v>8800142</v>
      </c>
      <c r="C495" s="1135"/>
      <c r="D495" s="1134">
        <v>165869</v>
      </c>
      <c r="E495" s="1136">
        <v>42194</v>
      </c>
      <c r="F495" s="1137">
        <v>60000</v>
      </c>
      <c r="G495" s="1134">
        <v>11</v>
      </c>
      <c r="H495" s="1137">
        <v>57000</v>
      </c>
      <c r="I495" s="1134">
        <v>15</v>
      </c>
      <c r="J495" s="1138">
        <v>6250</v>
      </c>
      <c r="K495" s="1139"/>
      <c r="L495" s="1140">
        <v>42265</v>
      </c>
      <c r="M495" s="269">
        <f t="shared" si="115"/>
        <v>3</v>
      </c>
      <c r="N495" s="1141">
        <v>325</v>
      </c>
      <c r="O495" s="1087">
        <f t="shared" si="116"/>
        <v>4546.6909090909103</v>
      </c>
      <c r="P495" s="269">
        <f t="shared" si="134" ref="P495:P526">IF(L495&gt;0,1,"")</f>
        <v>1</v>
      </c>
      <c r="Q495" s="269" t="str">
        <f t="shared" si="117"/>
        <v/>
      </c>
      <c r="R495" s="1147"/>
      <c r="S495" s="1143" t="str">
        <f t="shared" si="118"/>
        <v>Downsize</v>
      </c>
      <c r="T495" s="1144">
        <f t="shared" si="119"/>
        <v>2345.2631578947367</v>
      </c>
      <c r="U495" s="1144">
        <f t="shared" si="120"/>
        <v>935.78947368421052</v>
      </c>
      <c r="V495" s="1146">
        <f t="shared" si="121"/>
        <v>20084.210526315786</v>
      </c>
      <c r="W495" s="1146">
        <f t="shared" si="122"/>
        <v>15187.29411764706</v>
      </c>
      <c r="X495" s="1146">
        <f t="shared" si="123"/>
        <v>4896.9164086687269</v>
      </c>
      <c r="Y495" s="1146">
        <f t="shared" si="124"/>
        <v>16898.367870896753</v>
      </c>
      <c r="Z495" s="1146">
        <f t="shared" si="125"/>
        <v>15187.29411764706</v>
      </c>
      <c r="AA495" s="1146">
        <f t="shared" si="126"/>
        <v>1711.0737532496933</v>
      </c>
      <c r="AB495" s="1146">
        <f t="shared" si="127"/>
        <v>19079.999999999996</v>
      </c>
      <c r="AC495" s="1146">
        <f t="shared" si="128"/>
        <v>15187.29411764706</v>
      </c>
      <c r="AD495" s="1146">
        <f t="shared" si="129"/>
        <v>3892.7058823529369</v>
      </c>
      <c r="AE495" s="1146">
        <f t="shared" si="130"/>
        <v>16053.449477351915</v>
      </c>
      <c r="AF495" s="1146">
        <f t="shared" si="131"/>
        <v>15187.29411764706</v>
      </c>
      <c r="AG495" s="1146">
        <f t="shared" si="132"/>
        <v>866.15535970485507</v>
      </c>
    </row>
    <row r="496" spans="2:33" ht="14.4">
      <c r="B496" s="1134">
        <v>8923375</v>
      </c>
      <c r="C496" s="1135"/>
      <c r="D496" s="1134">
        <v>8771097</v>
      </c>
      <c r="E496" s="1136">
        <v>42151</v>
      </c>
      <c r="F496" s="1137">
        <v>40000</v>
      </c>
      <c r="G496" s="1134">
        <v>10</v>
      </c>
      <c r="H496" s="1137">
        <v>46500</v>
      </c>
      <c r="I496" s="1134">
        <v>15</v>
      </c>
      <c r="J496" s="1138">
        <v>505</v>
      </c>
      <c r="K496" s="1139"/>
      <c r="L496" s="1140">
        <v>42268</v>
      </c>
      <c r="M496" s="269">
        <f t="shared" si="115"/>
        <v>3</v>
      </c>
      <c r="N496" s="1141">
        <v>250</v>
      </c>
      <c r="O496" s="1087">
        <f t="shared" si="116"/>
        <v>2473.2000000000003</v>
      </c>
      <c r="P496" s="269">
        <f t="shared" si="134"/>
        <v>1</v>
      </c>
      <c r="Q496" s="269" t="str">
        <f t="shared" si="117"/>
        <v/>
      </c>
      <c r="R496" s="1147"/>
      <c r="S496" s="1143" t="str">
        <f t="shared" si="118"/>
        <v>Upsize</v>
      </c>
      <c r="T496" s="1144">
        <f t="shared" si="119"/>
        <v>1916.5591397849462</v>
      </c>
      <c r="U496" s="1144">
        <f t="shared" si="120"/>
        <v>764.73118279569894</v>
      </c>
      <c r="V496" s="1146">
        <f t="shared" si="121"/>
        <v>11638.866080156404</v>
      </c>
      <c r="W496" s="1146">
        <f t="shared" si="122"/>
        <v>10124.862745098038</v>
      </c>
      <c r="X496" s="1146">
        <f t="shared" si="123"/>
        <v>1514.0033350583653</v>
      </c>
      <c r="Y496" s="1146">
        <f t="shared" si="124"/>
        <v>9206.2792701659746</v>
      </c>
      <c r="Z496" s="1146">
        <f t="shared" si="125"/>
        <v>10124.862745098038</v>
      </c>
      <c r="AA496" s="1146">
        <f t="shared" si="126"/>
        <v>-918.58347493206384</v>
      </c>
      <c r="AB496" s="1146">
        <f t="shared" si="127"/>
        <v>13530.18181818182</v>
      </c>
      <c r="AC496" s="1146">
        <f t="shared" si="128"/>
        <v>10124.862745098038</v>
      </c>
      <c r="AD496" s="1146">
        <f t="shared" si="129"/>
        <v>3405.3190730837814</v>
      </c>
      <c r="AE496" s="1146">
        <f t="shared" si="130"/>
        <v>10702.299651567944</v>
      </c>
      <c r="AF496" s="1146">
        <f t="shared" si="131"/>
        <v>10124.862745098038</v>
      </c>
      <c r="AG496" s="1146">
        <f t="shared" si="132"/>
        <v>577.43690646990581</v>
      </c>
    </row>
    <row r="497" spans="2:33" ht="14.4">
      <c r="B497" s="1134">
        <v>4826152</v>
      </c>
      <c r="C497" s="1135"/>
      <c r="D497" s="1134">
        <v>465988</v>
      </c>
      <c r="E497" s="1136">
        <v>42163</v>
      </c>
      <c r="F497" s="1137">
        <v>36000</v>
      </c>
      <c r="G497" s="1134">
        <v>12</v>
      </c>
      <c r="H497" s="1137">
        <v>39500</v>
      </c>
      <c r="I497" s="1134">
        <v>15</v>
      </c>
      <c r="J497" s="1138">
        <v>4700</v>
      </c>
      <c r="K497" s="1139"/>
      <c r="L497" s="1140">
        <v>42268</v>
      </c>
      <c r="M497" s="269">
        <f t="shared" si="115"/>
        <v>3</v>
      </c>
      <c r="N497" s="1141">
        <v>225</v>
      </c>
      <c r="O497" s="1087">
        <f t="shared" si="116"/>
        <v>1007.5999999999997</v>
      </c>
      <c r="P497" s="269">
        <f t="shared" si="134"/>
        <v>1</v>
      </c>
      <c r="Q497" s="269" t="str">
        <f t="shared" si="117"/>
        <v/>
      </c>
      <c r="R497" s="1147"/>
      <c r="S497" s="1143" t="str">
        <f t="shared" si="118"/>
        <v>Upsize</v>
      </c>
      <c r="T497" s="1144">
        <f t="shared" si="119"/>
        <v>2030.5822784810125</v>
      </c>
      <c r="U497" s="1144">
        <f t="shared" si="120"/>
        <v>810.22784810126575</v>
      </c>
      <c r="V497" s="1146">
        <f t="shared" si="121"/>
        <v>9879.8250863060985</v>
      </c>
      <c r="W497" s="1146">
        <f t="shared" si="122"/>
        <v>9112.376470588235</v>
      </c>
      <c r="X497" s="1146">
        <f t="shared" si="123"/>
        <v>767.4486157178635</v>
      </c>
      <c r="Y497" s="1146">
        <f t="shared" si="124"/>
        <v>8778.595157235477</v>
      </c>
      <c r="Z497" s="1146">
        <f t="shared" si="125"/>
        <v>9112.376470588235</v>
      </c>
      <c r="AA497" s="1146">
        <f t="shared" si="126"/>
        <v>-333.78131335275793</v>
      </c>
      <c r="AB497" s="1146">
        <f t="shared" si="127"/>
        <v>10840.363636363636</v>
      </c>
      <c r="AC497" s="1146">
        <f t="shared" si="128"/>
        <v>9112.376470588235</v>
      </c>
      <c r="AD497" s="1146">
        <f t="shared" si="129"/>
        <v>1727.9871657754011</v>
      </c>
      <c r="AE497" s="1146">
        <f t="shared" si="130"/>
        <v>9632.0696864111487</v>
      </c>
      <c r="AF497" s="1146">
        <f t="shared" si="131"/>
        <v>9112.376470588235</v>
      </c>
      <c r="AG497" s="1146">
        <f t="shared" si="132"/>
        <v>519.69321582291377</v>
      </c>
    </row>
    <row r="498" spans="2:33" ht="14.4">
      <c r="B498" s="1134">
        <v>1469584</v>
      </c>
      <c r="C498" s="1135"/>
      <c r="D498" s="1134">
        <v>146958</v>
      </c>
      <c r="E498" s="1136">
        <v>42215</v>
      </c>
      <c r="F498" s="1137">
        <v>48000</v>
      </c>
      <c r="G498" s="1134">
        <v>9</v>
      </c>
      <c r="H498" s="1137">
        <v>47500</v>
      </c>
      <c r="I498" s="1134">
        <v>15</v>
      </c>
      <c r="J498" s="1138">
        <v>9817</v>
      </c>
      <c r="K498" s="1139"/>
      <c r="L498" s="1140">
        <v>42268</v>
      </c>
      <c r="M498" s="269">
        <f t="shared" si="115"/>
        <v>3</v>
      </c>
      <c r="N498" s="1141">
        <v>250</v>
      </c>
      <c r="O498" s="1087">
        <f t="shared" si="116"/>
        <v>5954</v>
      </c>
      <c r="P498" s="269">
        <f t="shared" si="134"/>
        <v>1</v>
      </c>
      <c r="Q498" s="269" t="str">
        <f t="shared" si="117"/>
        <v/>
      </c>
      <c r="R498" s="1147"/>
      <c r="S498" s="1143" t="str">
        <f t="shared" si="118"/>
        <v>Downsize</v>
      </c>
      <c r="T498" s="1144">
        <f t="shared" si="119"/>
        <v>2251.4526315789476</v>
      </c>
      <c r="U498" s="1144">
        <f t="shared" si="120"/>
        <v>898.35789473684213</v>
      </c>
      <c r="V498" s="1146">
        <f t="shared" si="121"/>
        <v>17607.900478468902</v>
      </c>
      <c r="W498" s="1146">
        <f t="shared" si="122"/>
        <v>12149.835294117649</v>
      </c>
      <c r="X498" s="1146">
        <f t="shared" si="123"/>
        <v>5458.0651843512533</v>
      </c>
      <c r="Y498" s="1146">
        <f t="shared" si="124"/>
        <v>12977.946524848709</v>
      </c>
      <c r="Z498" s="1146">
        <f t="shared" si="125"/>
        <v>12149.835294117649</v>
      </c>
      <c r="AA498" s="1146">
        <f t="shared" si="126"/>
        <v>828.11123073105955</v>
      </c>
      <c r="AB498" s="1146">
        <f t="shared" si="127"/>
        <v>17424.484848484852</v>
      </c>
      <c r="AC498" s="1146">
        <f t="shared" si="128"/>
        <v>12149.835294117649</v>
      </c>
      <c r="AD498" s="1146">
        <f t="shared" si="129"/>
        <v>5274.6495543672027</v>
      </c>
      <c r="AE498" s="1146">
        <f t="shared" si="130"/>
        <v>12842.759581881535</v>
      </c>
      <c r="AF498" s="1146">
        <f t="shared" si="131"/>
        <v>12149.835294117649</v>
      </c>
      <c r="AG498" s="1146">
        <f t="shared" si="132"/>
        <v>692.92428776388624</v>
      </c>
    </row>
    <row r="499" spans="2:33" ht="14.4">
      <c r="B499" s="1134">
        <v>5307657</v>
      </c>
      <c r="C499" s="1135"/>
      <c r="D499" s="1134">
        <v>115086</v>
      </c>
      <c r="E499" s="1136">
        <v>42202</v>
      </c>
      <c r="F499" s="1137">
        <v>35000</v>
      </c>
      <c r="G499" s="1134">
        <v>10</v>
      </c>
      <c r="H499" s="1137">
        <v>35000</v>
      </c>
      <c r="I499" s="1134">
        <v>16</v>
      </c>
      <c r="J499" s="1138">
        <v>9844.2999999999993</v>
      </c>
      <c r="K499" s="1139"/>
      <c r="L499" s="1140">
        <v>42268</v>
      </c>
      <c r="M499" s="269">
        <f t="shared" si="115"/>
        <v>3</v>
      </c>
      <c r="N499" s="1141">
        <v>225</v>
      </c>
      <c r="O499" s="1087">
        <f t="shared" si="116"/>
        <v>3606.7500000000005</v>
      </c>
      <c r="P499" s="269">
        <f t="shared" si="134"/>
        <v>1</v>
      </c>
      <c r="Q499" s="269" t="str">
        <f t="shared" si="117"/>
        <v/>
      </c>
      <c r="R499" s="1147"/>
      <c r="S499" s="1143" t="str">
        <f t="shared" si="118"/>
        <v>Same Size</v>
      </c>
      <c r="T499" s="1144">
        <f t="shared" si="119"/>
        <v>2228</v>
      </c>
      <c r="U499" s="1144">
        <f t="shared" si="120"/>
        <v>889</v>
      </c>
      <c r="V499" s="1146">
        <f t="shared" si="121"/>
        <v>11838.90909090909</v>
      </c>
      <c r="W499" s="1146">
        <f t="shared" si="122"/>
        <v>8534.3382352941171</v>
      </c>
      <c r="X499" s="1146">
        <f t="shared" si="123"/>
        <v>3304.570855614973</v>
      </c>
      <c r="Y499" s="1146">
        <f t="shared" si="124"/>
        <v>9364.5121951219517</v>
      </c>
      <c r="Z499" s="1146">
        <f t="shared" si="125"/>
        <v>8534.3382352941171</v>
      </c>
      <c r="AA499" s="1146">
        <f t="shared" si="126"/>
        <v>830.17395982783455</v>
      </c>
      <c r="AB499" s="1146">
        <f t="shared" si="127"/>
        <v>11838.90909090909</v>
      </c>
      <c r="AC499" s="1146">
        <f t="shared" si="128"/>
        <v>8534.3382352941171</v>
      </c>
      <c r="AD499" s="1146">
        <f t="shared" si="129"/>
        <v>3304.570855614973</v>
      </c>
      <c r="AE499" s="1146">
        <f t="shared" si="130"/>
        <v>9364.5121951219517</v>
      </c>
      <c r="AF499" s="1146">
        <f t="shared" si="131"/>
        <v>8534.3382352941171</v>
      </c>
      <c r="AG499" s="1146">
        <f t="shared" si="132"/>
        <v>830.17395982783455</v>
      </c>
    </row>
    <row r="500" spans="2:33" ht="14.4">
      <c r="B500" s="1134">
        <v>8917158</v>
      </c>
      <c r="C500" s="1135"/>
      <c r="D500" s="1134">
        <v>332127</v>
      </c>
      <c r="E500" s="1136">
        <v>42137</v>
      </c>
      <c r="F500" s="1137">
        <v>30000</v>
      </c>
      <c r="G500" s="1134">
        <v>10</v>
      </c>
      <c r="H500" s="1137">
        <v>35600</v>
      </c>
      <c r="I500" s="1134">
        <v>15</v>
      </c>
      <c r="J500" s="1138">
        <v>5000</v>
      </c>
      <c r="K500" s="1139"/>
      <c r="L500" s="1140">
        <v>42268</v>
      </c>
      <c r="M500" s="269">
        <f t="shared" si="115"/>
        <v>3</v>
      </c>
      <c r="N500" s="1141">
        <v>175</v>
      </c>
      <c r="O500" s="1087">
        <f t="shared" si="116"/>
        <v>1722.0799999999997</v>
      </c>
      <c r="P500" s="269">
        <f t="shared" si="134"/>
        <v>1</v>
      </c>
      <c r="Q500" s="269" t="str">
        <f t="shared" si="117"/>
        <v/>
      </c>
      <c r="R500" s="1147"/>
      <c r="S500" s="1143" t="str">
        <f t="shared" si="118"/>
        <v>Upsize</v>
      </c>
      <c r="T500" s="1144">
        <f t="shared" si="119"/>
        <v>1877.5280898876404</v>
      </c>
      <c r="U500" s="1144">
        <f t="shared" si="120"/>
        <v>749.15730337078651</v>
      </c>
      <c r="V500" s="1146">
        <f t="shared" si="121"/>
        <v>8551.378958120531</v>
      </c>
      <c r="W500" s="1146">
        <f t="shared" si="122"/>
        <v>7593.6470588235288</v>
      </c>
      <c r="X500" s="1146">
        <f t="shared" si="123"/>
        <v>957.7318992970022</v>
      </c>
      <c r="Y500" s="1146">
        <f t="shared" si="124"/>
        <v>6764.0938809067065</v>
      </c>
      <c r="Z500" s="1146">
        <f t="shared" si="125"/>
        <v>7593.6470588235288</v>
      </c>
      <c r="AA500" s="1146">
        <f t="shared" si="126"/>
        <v>-829.55317791682228</v>
      </c>
      <c r="AB500" s="1146">
        <f t="shared" si="127"/>
        <v>10147.636363636364</v>
      </c>
      <c r="AC500" s="1146">
        <f t="shared" si="128"/>
        <v>7593.6470588235288</v>
      </c>
      <c r="AD500" s="1146">
        <f t="shared" si="129"/>
        <v>2553.9893048128351</v>
      </c>
      <c r="AE500" s="1146">
        <f t="shared" si="130"/>
        <v>8026.7247386759591</v>
      </c>
      <c r="AF500" s="1146">
        <f t="shared" si="131"/>
        <v>7593.6470588235288</v>
      </c>
      <c r="AG500" s="1146">
        <f t="shared" si="132"/>
        <v>433.07767985243026</v>
      </c>
    </row>
    <row r="501" spans="2:33" ht="14.4">
      <c r="B501" s="1134">
        <v>6601082</v>
      </c>
      <c r="C501" s="1135"/>
      <c r="D501" s="1134">
        <v>647422</v>
      </c>
      <c r="E501" s="1136">
        <v>42200</v>
      </c>
      <c r="F501" s="1137">
        <v>30000</v>
      </c>
      <c r="G501" s="1134">
        <v>14</v>
      </c>
      <c r="H501" s="1137">
        <v>35000</v>
      </c>
      <c r="I501" s="1134">
        <v>20</v>
      </c>
      <c r="J501" s="1138">
        <v>9495</v>
      </c>
      <c r="K501" s="1139"/>
      <c r="L501" s="1140">
        <v>42268</v>
      </c>
      <c r="M501" s="269">
        <f t="shared" si="115"/>
        <v>3</v>
      </c>
      <c r="N501" s="1141">
        <v>300</v>
      </c>
      <c r="O501" s="1087">
        <f t="shared" si="116"/>
        <v>1079.5714285714282</v>
      </c>
      <c r="P501" s="269">
        <f t="shared" si="134"/>
        <v>1</v>
      </c>
      <c r="Q501" s="269" t="str">
        <f t="shared" si="117"/>
        <v/>
      </c>
      <c r="R501" s="1147"/>
      <c r="S501" s="1143" t="str">
        <f t="shared" si="118"/>
        <v>Upsize</v>
      </c>
      <c r="T501" s="1144">
        <f t="shared" si="119"/>
        <v>1909.7142857142856</v>
      </c>
      <c r="U501" s="1144">
        <f t="shared" si="120"/>
        <v>762</v>
      </c>
      <c r="V501" s="1146">
        <f t="shared" si="121"/>
        <v>7061.0760667903523</v>
      </c>
      <c r="W501" s="1146">
        <f t="shared" si="122"/>
        <v>6479.6470588235288</v>
      </c>
      <c r="X501" s="1146">
        <f t="shared" si="123"/>
        <v>581.42900796682352</v>
      </c>
      <c r="Y501" s="1146">
        <f t="shared" si="124"/>
        <v>6880.0497760079643</v>
      </c>
      <c r="Z501" s="1146">
        <f t="shared" si="125"/>
        <v>6479.6470588235288</v>
      </c>
      <c r="AA501" s="1146">
        <f t="shared" si="126"/>
        <v>400.40271718443546</v>
      </c>
      <c r="AB501" s="1146">
        <f t="shared" si="127"/>
        <v>8237.9220779220777</v>
      </c>
      <c r="AC501" s="1146">
        <f t="shared" si="128"/>
        <v>6479.6470588235288</v>
      </c>
      <c r="AD501" s="1146">
        <f t="shared" si="129"/>
        <v>1758.2750190985489</v>
      </c>
      <c r="AE501" s="1146">
        <f t="shared" si="130"/>
        <v>8026.7247386759582</v>
      </c>
      <c r="AF501" s="1146">
        <f t="shared" si="131"/>
        <v>6479.6470588235288</v>
      </c>
      <c r="AG501" s="1146">
        <f t="shared" si="132"/>
        <v>1547.0776798524294</v>
      </c>
    </row>
    <row r="502" spans="2:33" ht="14.4">
      <c r="B502" s="1134">
        <v>5889191</v>
      </c>
      <c r="C502" s="1135"/>
      <c r="D502" s="1134">
        <v>568916</v>
      </c>
      <c r="E502" s="1136">
        <v>42236</v>
      </c>
      <c r="F502" s="1137">
        <v>50000</v>
      </c>
      <c r="G502" s="1134">
        <v>10</v>
      </c>
      <c r="H502" s="1137">
        <v>56500</v>
      </c>
      <c r="I502" s="1134">
        <v>16</v>
      </c>
      <c r="J502" s="1138">
        <v>6100</v>
      </c>
      <c r="K502" s="1139"/>
      <c r="L502" s="1140">
        <v>42268</v>
      </c>
      <c r="M502" s="269">
        <f t="shared" si="115"/>
        <v>3</v>
      </c>
      <c r="N502" s="1141">
        <v>375</v>
      </c>
      <c r="O502" s="1087">
        <f t="shared" si="116"/>
        <v>4036.1250000000005</v>
      </c>
      <c r="P502" s="269">
        <f t="shared" si="134"/>
        <v>1</v>
      </c>
      <c r="Q502" s="269" t="str">
        <f t="shared" si="117"/>
        <v/>
      </c>
      <c r="R502" s="1147"/>
      <c r="S502" s="1143" t="str">
        <f t="shared" si="118"/>
        <v>Upsize</v>
      </c>
      <c r="T502" s="1144">
        <f t="shared" si="119"/>
        <v>1971.6814159292037</v>
      </c>
      <c r="U502" s="1144">
        <f t="shared" si="120"/>
        <v>786.72566371681421</v>
      </c>
      <c r="V502" s="1146">
        <f t="shared" si="121"/>
        <v>14967.015285599357</v>
      </c>
      <c r="W502" s="1146">
        <f t="shared" si="122"/>
        <v>12191.911764705885</v>
      </c>
      <c r="X502" s="1146">
        <f t="shared" si="123"/>
        <v>2775.1035208934718</v>
      </c>
      <c r="Y502" s="1146">
        <f t="shared" si="124"/>
        <v>11838.827048194629</v>
      </c>
      <c r="Z502" s="1146">
        <f t="shared" si="125"/>
        <v>12191.911764705885</v>
      </c>
      <c r="AA502" s="1146">
        <f t="shared" si="126"/>
        <v>-353.08471651125546</v>
      </c>
      <c r="AB502" s="1146">
        <f t="shared" si="127"/>
        <v>16912.727272727272</v>
      </c>
      <c r="AC502" s="1146">
        <f t="shared" si="128"/>
        <v>12191.911764705885</v>
      </c>
      <c r="AD502" s="1146">
        <f t="shared" si="129"/>
        <v>4720.8155080213874</v>
      </c>
      <c r="AE502" s="1146">
        <f t="shared" si="130"/>
        <v>13377.874564459931</v>
      </c>
      <c r="AF502" s="1146">
        <f t="shared" si="131"/>
        <v>12191.911764705885</v>
      </c>
      <c r="AG502" s="1146">
        <f t="shared" si="132"/>
        <v>1185.9627997540465</v>
      </c>
    </row>
    <row r="503" spans="2:33" ht="14.4">
      <c r="B503" s="1134">
        <v>8917639</v>
      </c>
      <c r="C503" s="1135"/>
      <c r="D503" s="1134">
        <v>200812</v>
      </c>
      <c r="E503" s="1136">
        <v>42078</v>
      </c>
      <c r="F503" s="1137">
        <v>30000</v>
      </c>
      <c r="G503" s="1134">
        <v>10</v>
      </c>
      <c r="H503" s="1137">
        <v>32800</v>
      </c>
      <c r="I503" s="1134">
        <v>16</v>
      </c>
      <c r="J503" s="1138">
        <v>8785.81</v>
      </c>
      <c r="K503" s="1139"/>
      <c r="L503" s="1140">
        <v>42268</v>
      </c>
      <c r="M503" s="269">
        <f t="shared" si="115"/>
        <v>3</v>
      </c>
      <c r="N503" s="1141">
        <v>175</v>
      </c>
      <c r="O503" s="1087">
        <f t="shared" si="116"/>
        <v>2610.6000000000004</v>
      </c>
      <c r="P503" s="269">
        <f t="shared" si="134"/>
        <v>1</v>
      </c>
      <c r="Q503" s="269" t="str">
        <f t="shared" si="117"/>
        <v/>
      </c>
      <c r="R503" s="1147"/>
      <c r="S503" s="1143" t="str">
        <f t="shared" si="118"/>
        <v>Upsize</v>
      </c>
      <c r="T503" s="1144">
        <f t="shared" si="119"/>
        <v>2037.8048780487807</v>
      </c>
      <c r="U503" s="1144">
        <f t="shared" si="120"/>
        <v>813.10975609756099</v>
      </c>
      <c r="V503" s="1146">
        <f t="shared" si="121"/>
        <v>9281.374722838138</v>
      </c>
      <c r="W503" s="1146">
        <f t="shared" si="122"/>
        <v>7315.1470588235288</v>
      </c>
      <c r="X503" s="1146">
        <f t="shared" si="123"/>
        <v>1966.2276640146092</v>
      </c>
      <c r="Y503" s="1146">
        <f t="shared" si="124"/>
        <v>7341.5165292767915</v>
      </c>
      <c r="Z503" s="1146">
        <f t="shared" si="125"/>
        <v>7315.1470588235288</v>
      </c>
      <c r="AA503" s="1146">
        <f t="shared" si="126"/>
        <v>26.369470453262693</v>
      </c>
      <c r="AB503" s="1146">
        <f t="shared" si="127"/>
        <v>10147.636363636362</v>
      </c>
      <c r="AC503" s="1146">
        <f t="shared" si="128"/>
        <v>7315.1470588235288</v>
      </c>
      <c r="AD503" s="1146">
        <f t="shared" si="129"/>
        <v>2832.4893048128333</v>
      </c>
      <c r="AE503" s="1146">
        <f t="shared" si="130"/>
        <v>8026.7247386759582</v>
      </c>
      <c r="AF503" s="1146">
        <f t="shared" si="131"/>
        <v>7315.1470588235288</v>
      </c>
      <c r="AG503" s="1146">
        <f t="shared" si="132"/>
        <v>711.57767985242936</v>
      </c>
    </row>
    <row r="504" spans="2:33" ht="14.4">
      <c r="B504" s="1134">
        <v>4993375</v>
      </c>
      <c r="C504" s="1135"/>
      <c r="D504" s="1134">
        <v>492850</v>
      </c>
      <c r="E504" s="1136">
        <v>42242</v>
      </c>
      <c r="F504" s="1137">
        <v>50000</v>
      </c>
      <c r="G504" s="1134">
        <v>10</v>
      </c>
      <c r="H504" s="1137">
        <v>57000</v>
      </c>
      <c r="I504" s="1134">
        <v>15</v>
      </c>
      <c r="J504" s="1138">
        <v>6498</v>
      </c>
      <c r="K504" s="1139"/>
      <c r="L504" s="1140">
        <v>42268</v>
      </c>
      <c r="M504" s="269">
        <f t="shared" si="115"/>
        <v>3</v>
      </c>
      <c r="N504" s="1141">
        <v>325</v>
      </c>
      <c r="O504" s="1087">
        <f t="shared" si="116"/>
        <v>3297.6000000000004</v>
      </c>
      <c r="P504" s="269">
        <f t="shared" si="134"/>
        <v>1</v>
      </c>
      <c r="Q504" s="269" t="str">
        <f t="shared" si="117"/>
        <v/>
      </c>
      <c r="R504" s="1147"/>
      <c r="S504" s="1143" t="str">
        <f t="shared" si="118"/>
        <v>Upsize</v>
      </c>
      <c r="T504" s="1144">
        <f t="shared" si="119"/>
        <v>1954.3859649122805</v>
      </c>
      <c r="U504" s="1144">
        <f t="shared" si="120"/>
        <v>779.82456140350871</v>
      </c>
      <c r="V504" s="1146">
        <f t="shared" si="121"/>
        <v>14835.725677830938</v>
      </c>
      <c r="W504" s="1146">
        <f t="shared" si="122"/>
        <v>12656.078431372547</v>
      </c>
      <c r="X504" s="1146">
        <f t="shared" si="123"/>
        <v>2179.6472464583912</v>
      </c>
      <c r="Y504" s="1146">
        <f t="shared" si="124"/>
        <v>11734.977688122746</v>
      </c>
      <c r="Z504" s="1146">
        <f t="shared" si="125"/>
        <v>12656.078431372547</v>
      </c>
      <c r="AA504" s="1146">
        <f t="shared" si="126"/>
        <v>-921.10074324980087</v>
      </c>
      <c r="AB504" s="1146">
        <f t="shared" si="127"/>
        <v>16912.727272727272</v>
      </c>
      <c r="AC504" s="1146">
        <f t="shared" si="128"/>
        <v>12656.078431372547</v>
      </c>
      <c r="AD504" s="1146">
        <f t="shared" si="129"/>
        <v>4256.6488413547249</v>
      </c>
      <c r="AE504" s="1146">
        <f t="shared" si="130"/>
        <v>13377.874564459929</v>
      </c>
      <c r="AF504" s="1146">
        <f t="shared" si="131"/>
        <v>12656.078431372547</v>
      </c>
      <c r="AG504" s="1146">
        <f t="shared" si="132"/>
        <v>721.79613308738226</v>
      </c>
    </row>
    <row r="505" spans="2:33" ht="14.4">
      <c r="B505" s="1134">
        <v>8332108</v>
      </c>
      <c r="C505" s="1135"/>
      <c r="D505" s="1134">
        <v>326924</v>
      </c>
      <c r="E505" s="1136">
        <v>42249</v>
      </c>
      <c r="F505" s="1137">
        <v>48000</v>
      </c>
      <c r="G505" s="1134">
        <v>10</v>
      </c>
      <c r="H505" s="1137">
        <v>47500</v>
      </c>
      <c r="I505" s="1134">
        <v>17</v>
      </c>
      <c r="J505" s="1138">
        <v>6200</v>
      </c>
      <c r="K505" s="1139"/>
      <c r="L505" s="1140">
        <v>42268</v>
      </c>
      <c r="M505" s="269">
        <f t="shared" si="115"/>
        <v>3</v>
      </c>
      <c r="N505" s="1141">
        <v>325</v>
      </c>
      <c r="O505" s="1087">
        <f t="shared" si="116"/>
        <v>5512.1647058823537</v>
      </c>
      <c r="P505" s="269">
        <f t="shared" si="134"/>
        <v>1</v>
      </c>
      <c r="Q505" s="269" t="str">
        <f t="shared" si="117"/>
        <v/>
      </c>
      <c r="R505" s="1147"/>
      <c r="S505" s="1143" t="str">
        <f t="shared" si="118"/>
        <v>Downsize</v>
      </c>
      <c r="T505" s="1144">
        <f t="shared" si="119"/>
        <v>2251.4526315789476</v>
      </c>
      <c r="U505" s="1144">
        <f t="shared" si="120"/>
        <v>898.35789473684213</v>
      </c>
      <c r="V505" s="1146">
        <f t="shared" si="121"/>
        <v>16407.125741626798</v>
      </c>
      <c r="W505" s="1146">
        <f t="shared" si="122"/>
        <v>11311.058823529413</v>
      </c>
      <c r="X505" s="1146">
        <f t="shared" si="123"/>
        <v>5096.0669180973855</v>
      </c>
      <c r="Y505" s="1146">
        <f t="shared" si="124"/>
        <v>12977.946524848709</v>
      </c>
      <c r="Z505" s="1146">
        <f t="shared" si="125"/>
        <v>11311.058823529413</v>
      </c>
      <c r="AA505" s="1146">
        <f t="shared" si="126"/>
        <v>1666.887701319296</v>
      </c>
      <c r="AB505" s="1146">
        <f t="shared" si="127"/>
        <v>16236.218181818183</v>
      </c>
      <c r="AC505" s="1146">
        <f t="shared" si="128"/>
        <v>11311.058823529413</v>
      </c>
      <c r="AD505" s="1146">
        <f t="shared" si="129"/>
        <v>4925.1593582887708</v>
      </c>
      <c r="AE505" s="1146">
        <f t="shared" si="130"/>
        <v>12842.759581881535</v>
      </c>
      <c r="AF505" s="1146">
        <f t="shared" si="131"/>
        <v>11311.058823529413</v>
      </c>
      <c r="AG505" s="1146">
        <f t="shared" si="132"/>
        <v>1531.7007583521227</v>
      </c>
    </row>
    <row r="506" spans="2:33" ht="14.4">
      <c r="B506" s="1134">
        <v>2698306</v>
      </c>
      <c r="C506" s="1135"/>
      <c r="D506" s="1134">
        <v>185935</v>
      </c>
      <c r="E506" s="1136">
        <v>42229</v>
      </c>
      <c r="F506" s="1137">
        <v>42000</v>
      </c>
      <c r="G506" s="1134">
        <v>9</v>
      </c>
      <c r="H506" s="1137">
        <v>47500</v>
      </c>
      <c r="I506" s="1134">
        <v>15</v>
      </c>
      <c r="J506" s="1138">
        <v>6140</v>
      </c>
      <c r="K506" s="1139"/>
      <c r="L506" s="1140">
        <v>42268</v>
      </c>
      <c r="M506" s="269">
        <f t="shared" si="115"/>
        <v>3</v>
      </c>
      <c r="N506" s="1141">
        <v>250</v>
      </c>
      <c r="O506" s="1087">
        <f t="shared" si="116"/>
        <v>4122.0000000000018</v>
      </c>
      <c r="P506" s="269">
        <f t="shared" si="134"/>
        <v>1</v>
      </c>
      <c r="Q506" s="269" t="str">
        <f t="shared" si="117"/>
        <v/>
      </c>
      <c r="R506" s="1147"/>
      <c r="S506" s="1143" t="str">
        <f t="shared" si="118"/>
        <v>Upsize</v>
      </c>
      <c r="T506" s="1144">
        <f t="shared" si="119"/>
        <v>1970.0210526315789</v>
      </c>
      <c r="U506" s="1144">
        <f t="shared" si="120"/>
        <v>786.06315789473683</v>
      </c>
      <c r="V506" s="1146">
        <f t="shared" si="121"/>
        <v>13481.048803827751</v>
      </c>
      <c r="W506" s="1146">
        <f t="shared" si="122"/>
        <v>10631.10588235294</v>
      </c>
      <c r="X506" s="1146">
        <f t="shared" si="123"/>
        <v>2849.9429214748106</v>
      </c>
      <c r="Y506" s="1146">
        <f t="shared" si="124"/>
        <v>9936.24030808729</v>
      </c>
      <c r="Z506" s="1146">
        <f t="shared" si="125"/>
        <v>10631.10588235294</v>
      </c>
      <c r="AA506" s="1146">
        <f t="shared" si="126"/>
        <v>-694.86557426565014</v>
      </c>
      <c r="AB506" s="1146">
        <f t="shared" si="127"/>
        <v>15246.424242424242</v>
      </c>
      <c r="AC506" s="1146">
        <f t="shared" si="128"/>
        <v>10631.10588235294</v>
      </c>
      <c r="AD506" s="1146">
        <f t="shared" si="129"/>
        <v>4615.3183600713019</v>
      </c>
      <c r="AE506" s="1146">
        <f t="shared" si="130"/>
        <v>11237.41463414634</v>
      </c>
      <c r="AF506" s="1146">
        <f t="shared" si="131"/>
        <v>10631.10588235294</v>
      </c>
      <c r="AG506" s="1146">
        <f t="shared" si="132"/>
        <v>606.30875179340001</v>
      </c>
    </row>
    <row r="507" spans="2:33" ht="14.4">
      <c r="B507" s="1134">
        <v>8194557</v>
      </c>
      <c r="C507" s="1135"/>
      <c r="D507" s="1134">
        <v>193539</v>
      </c>
      <c r="E507" s="1136">
        <v>42090</v>
      </c>
      <c r="F507" s="1137">
        <v>30000</v>
      </c>
      <c r="G507" s="1134">
        <v>10</v>
      </c>
      <c r="H507" s="1137">
        <v>30000</v>
      </c>
      <c r="I507" s="1134">
        <v>15</v>
      </c>
      <c r="J507" s="1138">
        <v>5890</v>
      </c>
      <c r="K507" s="1139"/>
      <c r="L507" s="1140">
        <v>42268</v>
      </c>
      <c r="M507" s="269">
        <f t="shared" si="115"/>
        <v>3</v>
      </c>
      <c r="N507" s="1141">
        <v>150</v>
      </c>
      <c r="O507" s="1087">
        <f t="shared" si="116"/>
        <v>2748</v>
      </c>
      <c r="P507" s="269">
        <f t="shared" si="134"/>
        <v>1</v>
      </c>
      <c r="Q507" s="269" t="str">
        <f t="shared" si="117"/>
        <v/>
      </c>
      <c r="R507" s="1147"/>
      <c r="S507" s="1143" t="str">
        <f t="shared" si="118"/>
        <v>Same Size</v>
      </c>
      <c r="T507" s="1144">
        <f t="shared" si="119"/>
        <v>2228</v>
      </c>
      <c r="U507" s="1144">
        <f t="shared" si="120"/>
        <v>889</v>
      </c>
      <c r="V507" s="1146">
        <f t="shared" si="121"/>
        <v>10147.636363636364</v>
      </c>
      <c r="W507" s="1146">
        <f t="shared" si="122"/>
        <v>7593.6470588235297</v>
      </c>
      <c r="X507" s="1146">
        <f t="shared" si="123"/>
        <v>2553.9893048128342</v>
      </c>
      <c r="Y507" s="1146">
        <f t="shared" si="124"/>
        <v>8026.7247386759582</v>
      </c>
      <c r="Z507" s="1146">
        <f t="shared" si="125"/>
        <v>7593.6470588235297</v>
      </c>
      <c r="AA507" s="1146">
        <f t="shared" si="126"/>
        <v>433.07767985242845</v>
      </c>
      <c r="AB507" s="1146">
        <f t="shared" si="127"/>
        <v>10147.636363636364</v>
      </c>
      <c r="AC507" s="1146">
        <f t="shared" si="128"/>
        <v>7593.6470588235297</v>
      </c>
      <c r="AD507" s="1146">
        <f t="shared" si="129"/>
        <v>2553.9893048128342</v>
      </c>
      <c r="AE507" s="1146">
        <f t="shared" si="130"/>
        <v>8026.7247386759582</v>
      </c>
      <c r="AF507" s="1146">
        <f t="shared" si="131"/>
        <v>7593.6470588235297</v>
      </c>
      <c r="AG507" s="1146">
        <f t="shared" si="132"/>
        <v>433.07767985242845</v>
      </c>
    </row>
    <row r="508" spans="2:33" ht="14.4">
      <c r="B508" s="1134">
        <v>8270761</v>
      </c>
      <c r="C508" s="1135"/>
      <c r="D508" s="1134">
        <v>219446</v>
      </c>
      <c r="E508" s="1136">
        <v>42196</v>
      </c>
      <c r="F508" s="1137">
        <v>50000</v>
      </c>
      <c r="G508" s="1134">
        <v>10</v>
      </c>
      <c r="H508" s="1137">
        <v>56500</v>
      </c>
      <c r="I508" s="1134">
        <v>16</v>
      </c>
      <c r="J508" s="1138">
        <v>7500</v>
      </c>
      <c r="K508" s="1139"/>
      <c r="L508" s="1140">
        <v>42268</v>
      </c>
      <c r="M508" s="269">
        <f t="shared" si="135" ref="M508:M571">IF(MAX(K508,L508)&lt;40000,"",ROUNDUP(MONTH(MAX(K508,L508))/3,0))</f>
        <v>3</v>
      </c>
      <c r="N508" s="1141">
        <v>375</v>
      </c>
      <c r="O508" s="1087">
        <f t="shared" si="136" ref="O508:O571">IF(F508&lt;1,"",2.748*(F508/G508-H508/I508))</f>
        <v>4036.1250000000005</v>
      </c>
      <c r="P508" s="269">
        <f t="shared" si="134"/>
        <v>1</v>
      </c>
      <c r="Q508" s="269" t="str">
        <f t="shared" si="137" ref="Q508:Q571">IF(K508&gt;0,1,"")</f>
        <v/>
      </c>
      <c r="R508" s="1147"/>
      <c r="S508" s="1143" t="str">
        <f t="shared" si="118"/>
        <v>Upsize</v>
      </c>
      <c r="T508" s="1144">
        <f t="shared" si="119"/>
        <v>1971.6814159292037</v>
      </c>
      <c r="U508" s="1144">
        <f t="shared" si="120"/>
        <v>786.72566371681421</v>
      </c>
      <c r="V508" s="1146">
        <f t="shared" si="121"/>
        <v>14967.015285599357</v>
      </c>
      <c r="W508" s="1146">
        <f t="shared" si="122"/>
        <v>12191.911764705885</v>
      </c>
      <c r="X508" s="1146">
        <f t="shared" si="123"/>
        <v>2775.1035208934718</v>
      </c>
      <c r="Y508" s="1146">
        <f t="shared" si="124"/>
        <v>11838.827048194629</v>
      </c>
      <c r="Z508" s="1146">
        <f t="shared" si="125"/>
        <v>12191.911764705885</v>
      </c>
      <c r="AA508" s="1146">
        <f t="shared" si="126"/>
        <v>-353.08471651125546</v>
      </c>
      <c r="AB508" s="1146">
        <f t="shared" si="127"/>
        <v>16912.727272727272</v>
      </c>
      <c r="AC508" s="1146">
        <f t="shared" si="128"/>
        <v>12191.911764705885</v>
      </c>
      <c r="AD508" s="1146">
        <f t="shared" si="129"/>
        <v>4720.8155080213874</v>
      </c>
      <c r="AE508" s="1146">
        <f t="shared" si="130"/>
        <v>13377.874564459931</v>
      </c>
      <c r="AF508" s="1146">
        <f t="shared" si="131"/>
        <v>12191.911764705885</v>
      </c>
      <c r="AG508" s="1146">
        <f t="shared" si="132"/>
        <v>1185.9627997540465</v>
      </c>
    </row>
    <row r="509" spans="2:33" ht="14.4">
      <c r="B509" s="1134">
        <v>8000648</v>
      </c>
      <c r="C509" s="1135"/>
      <c r="D509" s="1134">
        <v>560678</v>
      </c>
      <c r="E509" s="1136">
        <v>42217</v>
      </c>
      <c r="F509" s="1137">
        <v>30000</v>
      </c>
      <c r="G509" s="1134">
        <v>10</v>
      </c>
      <c r="H509" s="1137">
        <v>57000</v>
      </c>
      <c r="I509" s="1134">
        <v>17</v>
      </c>
      <c r="J509" s="1138">
        <v>14443</v>
      </c>
      <c r="K509" s="1139"/>
      <c r="L509" s="1140">
        <v>42268</v>
      </c>
      <c r="M509" s="269">
        <f t="shared" si="135"/>
        <v>3</v>
      </c>
      <c r="N509" s="1141">
        <v>425</v>
      </c>
      <c r="O509" s="1087">
        <f t="shared" si="136"/>
        <v>-969.88235294117669</v>
      </c>
      <c r="P509" s="269">
        <f t="shared" si="134"/>
        <v>1</v>
      </c>
      <c r="Q509" s="269" t="str">
        <f t="shared" si="137"/>
        <v/>
      </c>
      <c r="R509" s="1147"/>
      <c r="S509" s="1143" t="str">
        <f t="shared" si="138" ref="S509:S572">IF(F509=H509,"Same Size",IF(F509&lt;H509,"Upsize","Downsize"))</f>
        <v>Upsize</v>
      </c>
      <c r="T509" s="1144">
        <f t="shared" si="139" ref="T509:T572">($F509/$H509)*$K$35</f>
        <v>1172.6315789473683</v>
      </c>
      <c r="U509" s="1144">
        <f t="shared" si="140" ref="U509:U572">($F509/$H509)*$K$36</f>
        <v>467.89473684210526</v>
      </c>
      <c r="V509" s="1146">
        <f t="shared" si="141" ref="V509:V572">$P509*$F509/1000*($T509/$G509+$U509/$K$33)</f>
        <v>5340.8612440191391</v>
      </c>
      <c r="W509" s="1146">
        <f t="shared" si="142" ref="W509:W572">$P509*$H509/1000*($T509/$I509+$U509/$K$32)</f>
        <v>7069.411764705882</v>
      </c>
      <c r="X509" s="1146">
        <f t="shared" si="143" ref="X509:X572">V509-W509</f>
        <v>-1728.5505206867429</v>
      </c>
      <c r="Y509" s="1146">
        <f t="shared" si="144" ref="Y509:Y572">$P509*$F509/1000*($T509/14+$U509/$K$34)</f>
        <v>4224.5919677241882</v>
      </c>
      <c r="Z509" s="1146">
        <f t="shared" si="145" ref="Z509:Z572">$P509*$H509/1000*($T509/$I509+$U509/$K$32)</f>
        <v>7069.411764705882</v>
      </c>
      <c r="AA509" s="1146">
        <f t="shared" si="146" ref="AA509:AA572">Y509-Z509</f>
        <v>-2844.8197969816938</v>
      </c>
      <c r="AB509" s="1146">
        <f t="shared" si="147" ref="AB509:AB572">$P509*$H509/1000*($T509/$G509+$U509/$K$33)</f>
        <v>10147.636363636364</v>
      </c>
      <c r="AC509" s="1146">
        <f t="shared" si="148" ref="AC509:AC572">$P509*$H509/1000*($T509/$I509+$U509/$K$32)</f>
        <v>7069.411764705882</v>
      </c>
      <c r="AD509" s="1146">
        <f t="shared" si="149" ref="AD509:AD572">AB509-AC509</f>
        <v>3078.224598930482</v>
      </c>
      <c r="AE509" s="1146">
        <f t="shared" si="150" ref="AE509:AE572">$P509*$H509/1000*($T509/14+$U509/$K$34)</f>
        <v>8026.7247386759573</v>
      </c>
      <c r="AF509" s="1146">
        <f t="shared" si="151" ref="AF509:AF572">$P509*$H509/1000*($T509/$I509+$U509/$K$32)</f>
        <v>7069.411764705882</v>
      </c>
      <c r="AG509" s="1146">
        <f t="shared" si="152" ref="AG509:AG572">AE509-AF509</f>
        <v>957.31297397007529</v>
      </c>
    </row>
    <row r="510" spans="2:33" ht="14.4">
      <c r="B510" s="1134">
        <v>4288775</v>
      </c>
      <c r="C510" s="1135"/>
      <c r="D510" s="1134">
        <v>144118</v>
      </c>
      <c r="E510" s="1136">
        <v>42222</v>
      </c>
      <c r="F510" s="1137">
        <v>42000</v>
      </c>
      <c r="G510" s="1134">
        <v>10</v>
      </c>
      <c r="H510" s="1137">
        <v>41500</v>
      </c>
      <c r="I510" s="1134">
        <v>15</v>
      </c>
      <c r="J510" s="1138">
        <v>4800</v>
      </c>
      <c r="K510" s="1139"/>
      <c r="L510" s="1140">
        <v>42268</v>
      </c>
      <c r="M510" s="269">
        <f t="shared" si="135"/>
        <v>3</v>
      </c>
      <c r="N510" s="1141">
        <v>225</v>
      </c>
      <c r="O510" s="1087">
        <f t="shared" si="136"/>
        <v>3938.8000000000006</v>
      </c>
      <c r="P510" s="269">
        <f t="shared" si="134"/>
        <v>1</v>
      </c>
      <c r="Q510" s="269" t="str">
        <f t="shared" si="137"/>
        <v/>
      </c>
      <c r="R510" s="1147"/>
      <c r="S510" s="1143" t="str">
        <f t="shared" si="138"/>
        <v>Downsize</v>
      </c>
      <c r="T510" s="1144">
        <f t="shared" si="139"/>
        <v>2254.8433734939758</v>
      </c>
      <c r="U510" s="1144">
        <f t="shared" si="140"/>
        <v>899.71084337349396</v>
      </c>
      <c r="V510" s="1146">
        <f t="shared" si="141"/>
        <v>14377.855859802847</v>
      </c>
      <c r="W510" s="1146">
        <f t="shared" si="142"/>
        <v>10631.10588235294</v>
      </c>
      <c r="X510" s="1146">
        <f t="shared" si="143"/>
        <v>3746.7499774499065</v>
      </c>
      <c r="Y510" s="1146">
        <f t="shared" si="144"/>
        <v>11372.805171907141</v>
      </c>
      <c r="Z510" s="1146">
        <f t="shared" si="145"/>
        <v>10631.10588235294</v>
      </c>
      <c r="AA510" s="1146">
        <f t="shared" si="146"/>
        <v>741.69928955420073</v>
      </c>
      <c r="AB510" s="1146">
        <f t="shared" si="147"/>
        <v>14206.690909090907</v>
      </c>
      <c r="AC510" s="1146">
        <f t="shared" si="148"/>
        <v>10631.10588235294</v>
      </c>
      <c r="AD510" s="1146">
        <f t="shared" si="149"/>
        <v>3575.5850267379665</v>
      </c>
      <c r="AE510" s="1146">
        <f t="shared" si="150"/>
        <v>11237.414634146342</v>
      </c>
      <c r="AF510" s="1146">
        <f t="shared" si="151"/>
        <v>10631.10588235294</v>
      </c>
      <c r="AG510" s="1146">
        <f t="shared" si="152"/>
        <v>606.30875179340183</v>
      </c>
    </row>
    <row r="511" spans="2:33" ht="14.4">
      <c r="B511" s="1134">
        <v>3611522</v>
      </c>
      <c r="C511" s="1135"/>
      <c r="D511" s="1134">
        <v>361152</v>
      </c>
      <c r="E511" s="1136">
        <v>42212</v>
      </c>
      <c r="F511" s="1137">
        <v>20000</v>
      </c>
      <c r="G511" s="1134">
        <v>17</v>
      </c>
      <c r="H511" s="1137">
        <v>35800</v>
      </c>
      <c r="I511" s="1134">
        <v>15</v>
      </c>
      <c r="J511" s="1138">
        <v>4201</v>
      </c>
      <c r="K511" s="1139"/>
      <c r="L511" s="1140">
        <v>42268</v>
      </c>
      <c r="M511" s="269">
        <f t="shared" si="135"/>
        <v>3</v>
      </c>
      <c r="N511" s="1141">
        <v>175</v>
      </c>
      <c r="O511" s="1087">
        <f t="shared" si="136"/>
        <v>-3325.6188235294117</v>
      </c>
      <c r="P511" s="269">
        <f t="shared" si="134"/>
        <v>1</v>
      </c>
      <c r="Q511" s="269" t="str">
        <f t="shared" si="137"/>
        <v/>
      </c>
      <c r="R511" s="1147"/>
      <c r="S511" s="1143" t="str">
        <f t="shared" si="138"/>
        <v>Upsize</v>
      </c>
      <c r="T511" s="1144">
        <f t="shared" si="139"/>
        <v>1244.6927374301674</v>
      </c>
      <c r="U511" s="1144">
        <f t="shared" si="140"/>
        <v>496.64804469273741</v>
      </c>
      <c r="V511" s="1146">
        <f t="shared" si="141"/>
        <v>2754.3393182565046</v>
      </c>
      <c r="W511" s="1146">
        <f t="shared" si="142"/>
        <v>5062.4313725490183</v>
      </c>
      <c r="X511" s="1146">
        <f t="shared" si="143"/>
        <v>-2308.0920542925137</v>
      </c>
      <c r="Y511" s="1146">
        <f t="shared" si="144"/>
        <v>2989.4691764156269</v>
      </c>
      <c r="Z511" s="1146">
        <f t="shared" si="145"/>
        <v>5062.4313725490183</v>
      </c>
      <c r="AA511" s="1146">
        <f t="shared" si="146"/>
        <v>-2072.9621961333914</v>
      </c>
      <c r="AB511" s="1146">
        <f t="shared" si="147"/>
        <v>4930.2673796791432</v>
      </c>
      <c r="AC511" s="1146">
        <f t="shared" si="148"/>
        <v>5062.4313725490183</v>
      </c>
      <c r="AD511" s="1146">
        <f t="shared" si="149"/>
        <v>-132.16399286987507</v>
      </c>
      <c r="AE511" s="1146">
        <f t="shared" si="150"/>
        <v>5351.1498257839712</v>
      </c>
      <c r="AF511" s="1146">
        <f t="shared" si="151"/>
        <v>5062.4313725490183</v>
      </c>
      <c r="AG511" s="1146">
        <f t="shared" si="152"/>
        <v>288.7184532349529</v>
      </c>
    </row>
    <row r="512" spans="2:33" ht="14.4">
      <c r="B512" s="1134">
        <v>6115281</v>
      </c>
      <c r="C512" s="1135"/>
      <c r="D512" s="1134">
        <v>83683</v>
      </c>
      <c r="E512" s="1136">
        <v>42139</v>
      </c>
      <c r="F512" s="1137">
        <v>40000</v>
      </c>
      <c r="G512" s="1134">
        <v>8</v>
      </c>
      <c r="H512" s="1137">
        <v>47500</v>
      </c>
      <c r="I512" s="1134">
        <v>15</v>
      </c>
      <c r="J512" s="1138">
        <v>5480</v>
      </c>
      <c r="K512" s="1139"/>
      <c r="L512" s="1140">
        <v>42268</v>
      </c>
      <c r="M512" s="269">
        <f t="shared" si="135"/>
        <v>3</v>
      </c>
      <c r="N512" s="1141">
        <v>250</v>
      </c>
      <c r="O512" s="1087">
        <f t="shared" si="136"/>
        <v>5038.0000000000009</v>
      </c>
      <c r="P512" s="269">
        <f t="shared" si="134"/>
        <v>1</v>
      </c>
      <c r="Q512" s="269" t="str">
        <f t="shared" si="137"/>
        <v/>
      </c>
      <c r="R512" s="1147"/>
      <c r="S512" s="1143" t="str">
        <f t="shared" si="138"/>
        <v>Upsize</v>
      </c>
      <c r="T512" s="1144">
        <f t="shared" si="139"/>
        <v>1876.2105263157894</v>
      </c>
      <c r="U512" s="1144">
        <f t="shared" si="140"/>
        <v>748.63157894736833</v>
      </c>
      <c r="V512" s="1146">
        <f t="shared" si="141"/>
        <v>13270.047846889953</v>
      </c>
      <c r="W512" s="1146">
        <f t="shared" si="142"/>
        <v>10124.862745098038</v>
      </c>
      <c r="X512" s="1146">
        <f t="shared" si="143"/>
        <v>3145.1851017919143</v>
      </c>
      <c r="Y512" s="1146">
        <f t="shared" si="144"/>
        <v>9012.4628644782679</v>
      </c>
      <c r="Z512" s="1146">
        <f t="shared" si="145"/>
        <v>10124.862745098038</v>
      </c>
      <c r="AA512" s="1146">
        <f t="shared" si="146"/>
        <v>-1112.3998806197706</v>
      </c>
      <c r="AB512" s="1146">
        <f t="shared" si="147"/>
        <v>15758.181818181818</v>
      </c>
      <c r="AC512" s="1146">
        <f t="shared" si="148"/>
        <v>10124.862745098038</v>
      </c>
      <c r="AD512" s="1146">
        <f t="shared" si="149"/>
        <v>5633.3190730837796</v>
      </c>
      <c r="AE512" s="1146">
        <f t="shared" si="150"/>
        <v>10702.299651567944</v>
      </c>
      <c r="AF512" s="1146">
        <f t="shared" si="151"/>
        <v>10124.862745098038</v>
      </c>
      <c r="AG512" s="1146">
        <f t="shared" si="152"/>
        <v>577.43690646990581</v>
      </c>
    </row>
    <row r="513" spans="2:33" ht="14.4">
      <c r="B513" s="1134">
        <v>966010</v>
      </c>
      <c r="C513" s="1135"/>
      <c r="D513" s="1134">
        <v>96601</v>
      </c>
      <c r="E513" s="1136">
        <v>42222</v>
      </c>
      <c r="F513" s="1137">
        <v>30000</v>
      </c>
      <c r="G513" s="1134">
        <v>10</v>
      </c>
      <c r="H513" s="1137">
        <v>47500</v>
      </c>
      <c r="I513" s="1134">
        <v>18</v>
      </c>
      <c r="J513" s="1138">
        <v>4800</v>
      </c>
      <c r="K513" s="1139"/>
      <c r="L513" s="1140">
        <v>42269</v>
      </c>
      <c r="M513" s="269">
        <f t="shared" si="135"/>
        <v>3</v>
      </c>
      <c r="N513" s="1141">
        <v>350</v>
      </c>
      <c r="O513" s="1087">
        <f t="shared" si="136"/>
        <v>992.33333333333394</v>
      </c>
      <c r="P513" s="269">
        <f t="shared" si="134"/>
        <v>1</v>
      </c>
      <c r="Q513" s="269" t="str">
        <f t="shared" si="137"/>
        <v/>
      </c>
      <c r="R513" s="1147"/>
      <c r="S513" s="1143" t="str">
        <f t="shared" si="138"/>
        <v>Upsize</v>
      </c>
      <c r="T513" s="1144">
        <f t="shared" si="139"/>
        <v>1407.1578947368421</v>
      </c>
      <c r="U513" s="1144">
        <f t="shared" si="140"/>
        <v>561.47368421052624</v>
      </c>
      <c r="V513" s="1146">
        <f t="shared" si="141"/>
        <v>6409.0334928229649</v>
      </c>
      <c r="W513" s="1146">
        <f t="shared" si="142"/>
        <v>6850.9803921568628</v>
      </c>
      <c r="X513" s="1146">
        <f t="shared" si="143"/>
        <v>-441.94689933389782</v>
      </c>
      <c r="Y513" s="1146">
        <f t="shared" si="144"/>
        <v>5069.5103612690264</v>
      </c>
      <c r="Z513" s="1146">
        <f t="shared" si="145"/>
        <v>6850.9803921568628</v>
      </c>
      <c r="AA513" s="1146">
        <f t="shared" si="146"/>
        <v>-1781.4700308878364</v>
      </c>
      <c r="AB513" s="1146">
        <f t="shared" si="147"/>
        <v>10147.636363636362</v>
      </c>
      <c r="AC513" s="1146">
        <f t="shared" si="148"/>
        <v>6850.9803921568628</v>
      </c>
      <c r="AD513" s="1146">
        <f t="shared" si="149"/>
        <v>3296.6559714794994</v>
      </c>
      <c r="AE513" s="1146">
        <f t="shared" si="150"/>
        <v>8026.7247386759582</v>
      </c>
      <c r="AF513" s="1146">
        <f t="shared" si="151"/>
        <v>6850.9803921568628</v>
      </c>
      <c r="AG513" s="1146">
        <f t="shared" si="152"/>
        <v>1175.7443465190954</v>
      </c>
    </row>
    <row r="514" spans="2:33" ht="14.4">
      <c r="B514" s="1134">
        <v>1432285</v>
      </c>
      <c r="C514" s="1135"/>
      <c r="D514" s="1134">
        <v>143228</v>
      </c>
      <c r="E514" s="1136">
        <v>42179</v>
      </c>
      <c r="F514" s="1137">
        <v>48000</v>
      </c>
      <c r="G514" s="1134">
        <v>10</v>
      </c>
      <c r="H514" s="1137">
        <v>47000</v>
      </c>
      <c r="I514" s="1134">
        <v>16</v>
      </c>
      <c r="J514" s="1138">
        <v>10555</v>
      </c>
      <c r="K514" s="1139"/>
      <c r="L514" s="1140">
        <v>42276</v>
      </c>
      <c r="M514" s="269">
        <f t="shared" si="135"/>
        <v>3</v>
      </c>
      <c r="N514" s="1141">
        <v>300</v>
      </c>
      <c r="O514" s="1087">
        <f t="shared" si="136"/>
        <v>5118.1500000000005</v>
      </c>
      <c r="P514" s="269">
        <f t="shared" si="134"/>
        <v>1</v>
      </c>
      <c r="Q514" s="269" t="str">
        <f t="shared" si="137"/>
        <v/>
      </c>
      <c r="R514" s="1147"/>
      <c r="S514" s="1143" t="str">
        <f t="shared" si="138"/>
        <v>Downsize</v>
      </c>
      <c r="T514" s="1144">
        <f t="shared" si="139"/>
        <v>2275.4042553191489</v>
      </c>
      <c r="U514" s="1144">
        <f t="shared" si="140"/>
        <v>907.91489361702122</v>
      </c>
      <c r="V514" s="1146">
        <f t="shared" si="141"/>
        <v>16581.669632495163</v>
      </c>
      <c r="W514" s="1146">
        <f t="shared" si="142"/>
        <v>11704.235294117647</v>
      </c>
      <c r="X514" s="1146">
        <f t="shared" si="143"/>
        <v>4877.4343383775158</v>
      </c>
      <c r="Y514" s="1146">
        <f t="shared" si="144"/>
        <v>13116.009785751354</v>
      </c>
      <c r="Z514" s="1146">
        <f t="shared" si="145"/>
        <v>11704.235294117647</v>
      </c>
      <c r="AA514" s="1146">
        <f t="shared" si="146"/>
        <v>1411.7744916337069</v>
      </c>
      <c r="AB514" s="1146">
        <f t="shared" si="147"/>
        <v>16236.218181818182</v>
      </c>
      <c r="AC514" s="1146">
        <f t="shared" si="148"/>
        <v>11704.235294117647</v>
      </c>
      <c r="AD514" s="1146">
        <f t="shared" si="149"/>
        <v>4531.9828877005348</v>
      </c>
      <c r="AE514" s="1146">
        <f t="shared" si="150"/>
        <v>12842.759581881533</v>
      </c>
      <c r="AF514" s="1146">
        <f t="shared" si="151"/>
        <v>11704.235294117647</v>
      </c>
      <c r="AG514" s="1146">
        <f t="shared" si="152"/>
        <v>1138.5242877638866</v>
      </c>
    </row>
    <row r="515" spans="2:33" ht="14.4">
      <c r="B515" s="1134">
        <v>8869127</v>
      </c>
      <c r="C515" s="1135"/>
      <c r="D515" s="1134">
        <v>146433</v>
      </c>
      <c r="E515" s="1136">
        <v>42203</v>
      </c>
      <c r="F515" s="1137">
        <v>30000</v>
      </c>
      <c r="G515" s="1134">
        <v>10</v>
      </c>
      <c r="H515" s="1137">
        <v>41500</v>
      </c>
      <c r="I515" s="1134">
        <v>15</v>
      </c>
      <c r="J515" s="1138">
        <v>6280</v>
      </c>
      <c r="K515" s="1139"/>
      <c r="L515" s="1140">
        <v>42262</v>
      </c>
      <c r="M515" s="269">
        <f t="shared" si="135"/>
        <v>3</v>
      </c>
      <c r="N515" s="1141">
        <v>225</v>
      </c>
      <c r="O515" s="1087">
        <f t="shared" si="136"/>
        <v>641.2000000000005</v>
      </c>
      <c r="P515" s="269">
        <f t="shared" si="134"/>
        <v>1</v>
      </c>
      <c r="Q515" s="269" t="str">
        <f t="shared" si="137"/>
        <v/>
      </c>
      <c r="R515" s="1147"/>
      <c r="S515" s="1143" t="str">
        <f t="shared" si="138"/>
        <v>Upsize</v>
      </c>
      <c r="T515" s="1144">
        <f t="shared" si="139"/>
        <v>1610.6024096385543</v>
      </c>
      <c r="U515" s="1144">
        <f t="shared" si="140"/>
        <v>642.65060240963851</v>
      </c>
      <c r="V515" s="1146">
        <f t="shared" si="141"/>
        <v>7335.6407447973716</v>
      </c>
      <c r="W515" s="1146">
        <f t="shared" si="142"/>
        <v>7593.6470588235288</v>
      </c>
      <c r="X515" s="1146">
        <f t="shared" si="143"/>
        <v>-258.00631402615727</v>
      </c>
      <c r="Y515" s="1146">
        <f t="shared" si="144"/>
        <v>5802.4516183199703</v>
      </c>
      <c r="Z515" s="1146">
        <f t="shared" si="145"/>
        <v>7593.6470588235288</v>
      </c>
      <c r="AA515" s="1146">
        <f t="shared" si="146"/>
        <v>-1791.1954405035585</v>
      </c>
      <c r="AB515" s="1146">
        <f t="shared" si="147"/>
        <v>10147.636363636364</v>
      </c>
      <c r="AC515" s="1146">
        <f t="shared" si="148"/>
        <v>7593.6470588235288</v>
      </c>
      <c r="AD515" s="1146">
        <f t="shared" si="149"/>
        <v>2553.9893048128351</v>
      </c>
      <c r="AE515" s="1146">
        <f t="shared" si="150"/>
        <v>8026.7247386759582</v>
      </c>
      <c r="AF515" s="1146">
        <f t="shared" si="151"/>
        <v>7593.6470588235288</v>
      </c>
      <c r="AG515" s="1146">
        <f t="shared" si="152"/>
        <v>433.07767985242936</v>
      </c>
    </row>
    <row r="516" spans="2:33" ht="14.4">
      <c r="B516" s="1134">
        <v>5448656</v>
      </c>
      <c r="C516" s="1135"/>
      <c r="D516" s="1134">
        <v>532721</v>
      </c>
      <c r="E516" s="1136">
        <v>42072</v>
      </c>
      <c r="F516" s="1137">
        <v>60000</v>
      </c>
      <c r="G516" s="1134">
        <v>10</v>
      </c>
      <c r="H516" s="1137">
        <v>59000</v>
      </c>
      <c r="I516" s="1134">
        <v>15</v>
      </c>
      <c r="J516" s="1138">
        <v>8800</v>
      </c>
      <c r="K516" s="1139"/>
      <c r="L516" s="1140">
        <v>42276</v>
      </c>
      <c r="M516" s="269">
        <f t="shared" si="135"/>
        <v>3</v>
      </c>
      <c r="N516" s="1141">
        <v>325</v>
      </c>
      <c r="O516" s="1087">
        <f t="shared" si="136"/>
        <v>5679.20</v>
      </c>
      <c r="P516" s="269">
        <f t="shared" si="134"/>
        <v>1</v>
      </c>
      <c r="Q516" s="269" t="str">
        <f t="shared" si="137"/>
        <v/>
      </c>
      <c r="R516" s="1147"/>
      <c r="S516" s="1143" t="str">
        <f t="shared" si="138"/>
        <v>Downsize</v>
      </c>
      <c r="T516" s="1144">
        <f t="shared" si="139"/>
        <v>2265.7627118644068</v>
      </c>
      <c r="U516" s="1144">
        <f t="shared" si="140"/>
        <v>904.06779661016947</v>
      </c>
      <c r="V516" s="1146">
        <f t="shared" si="141"/>
        <v>20639.260400616331</v>
      </c>
      <c r="W516" s="1146">
        <f t="shared" si="142"/>
        <v>15187.29411764706</v>
      </c>
      <c r="X516" s="1146">
        <f t="shared" si="143"/>
        <v>5451.9662829692716</v>
      </c>
      <c r="Y516" s="1146">
        <f t="shared" si="144"/>
        <v>16325.54184137483</v>
      </c>
      <c r="Z516" s="1146">
        <f t="shared" si="145"/>
        <v>15187.29411764706</v>
      </c>
      <c r="AA516" s="1146">
        <f t="shared" si="146"/>
        <v>1138.2477237277708</v>
      </c>
      <c r="AB516" s="1146">
        <f t="shared" si="147"/>
        <v>20295.272727272728</v>
      </c>
      <c r="AC516" s="1146">
        <f t="shared" si="148"/>
        <v>15187.29411764706</v>
      </c>
      <c r="AD516" s="1146">
        <f t="shared" si="149"/>
        <v>5107.9786096256685</v>
      </c>
      <c r="AE516" s="1146">
        <f t="shared" si="150"/>
        <v>16053.449477351916</v>
      </c>
      <c r="AF516" s="1146">
        <f t="shared" si="151"/>
        <v>15187.29411764706</v>
      </c>
      <c r="AG516" s="1146">
        <f t="shared" si="152"/>
        <v>866.15535970485689</v>
      </c>
    </row>
    <row r="517" spans="2:33" ht="14.4">
      <c r="B517" s="1134">
        <v>3474038</v>
      </c>
      <c r="C517" s="1135"/>
      <c r="D517" s="1134">
        <v>319650</v>
      </c>
      <c r="E517" s="1136">
        <v>42145</v>
      </c>
      <c r="F517" s="1137">
        <v>20000</v>
      </c>
      <c r="G517" s="1134">
        <v>13</v>
      </c>
      <c r="H517" s="1137">
        <v>24000</v>
      </c>
      <c r="I517" s="1134">
        <v>17</v>
      </c>
      <c r="J517" s="1138">
        <v>11000</v>
      </c>
      <c r="K517" s="1139"/>
      <c r="L517" s="1140">
        <v>42276</v>
      </c>
      <c r="M517" s="269">
        <f t="shared" si="135"/>
        <v>3</v>
      </c>
      <c r="N517" s="1141">
        <v>350</v>
      </c>
      <c r="O517" s="1087">
        <f t="shared" si="136"/>
        <v>348.16289592760216</v>
      </c>
      <c r="P517" s="269">
        <f t="shared" si="134"/>
        <v>1</v>
      </c>
      <c r="Q517" s="269" t="str">
        <f t="shared" si="137"/>
        <v/>
      </c>
      <c r="R517" s="1147"/>
      <c r="S517" s="1143" t="str">
        <f t="shared" si="138"/>
        <v>Upsize</v>
      </c>
      <c r="T517" s="1144">
        <f t="shared" si="139"/>
        <v>1856.6666666666667</v>
      </c>
      <c r="U517" s="1144">
        <f t="shared" si="140"/>
        <v>740.83333333333337</v>
      </c>
      <c r="V517" s="1146">
        <f t="shared" si="141"/>
        <v>4780.6526806526808</v>
      </c>
      <c r="W517" s="1146">
        <f t="shared" si="142"/>
        <v>4712.9411764705883</v>
      </c>
      <c r="X517" s="1146">
        <f t="shared" si="143"/>
        <v>67.71150418209254</v>
      </c>
      <c r="Y517" s="1146">
        <f t="shared" si="144"/>
        <v>4459.2915214866434</v>
      </c>
      <c r="Z517" s="1146">
        <f t="shared" si="145"/>
        <v>4712.9411764705883</v>
      </c>
      <c r="AA517" s="1146">
        <f t="shared" si="146"/>
        <v>-253.64965498394486</v>
      </c>
      <c r="AB517" s="1146">
        <f t="shared" si="147"/>
        <v>5736.7832167832166</v>
      </c>
      <c r="AC517" s="1146">
        <f t="shared" si="148"/>
        <v>4712.9411764705883</v>
      </c>
      <c r="AD517" s="1146">
        <f t="shared" si="149"/>
        <v>1023.8420403126283</v>
      </c>
      <c r="AE517" s="1146">
        <f t="shared" si="150"/>
        <v>5351.1498257839721</v>
      </c>
      <c r="AF517" s="1146">
        <f t="shared" si="151"/>
        <v>4712.9411764705883</v>
      </c>
      <c r="AG517" s="1146">
        <f t="shared" si="152"/>
        <v>638.20864931338383</v>
      </c>
    </row>
    <row r="518" spans="2:33" ht="14.4">
      <c r="B518" s="1134">
        <v>8909692</v>
      </c>
      <c r="C518" s="1135"/>
      <c r="D518" s="1134">
        <v>194267</v>
      </c>
      <c r="E518" s="1148">
        <v>42261</v>
      </c>
      <c r="F518" s="1137">
        <v>20000</v>
      </c>
      <c r="G518" s="1149">
        <v>15</v>
      </c>
      <c r="H518" s="1137">
        <v>28400</v>
      </c>
      <c r="I518" s="1149">
        <v>15</v>
      </c>
      <c r="J518" s="1138">
        <v>8314</v>
      </c>
      <c r="K518" s="1150"/>
      <c r="L518" s="1140">
        <v>42303</v>
      </c>
      <c r="M518" s="269">
        <f t="shared" si="135"/>
        <v>4</v>
      </c>
      <c r="N518" s="1074">
        <f t="shared" si="153" ref="N518:N549">IF(L518&gt;40000,IFERROR(INDEX($E$12:$I$19,IF(H518&lt;=15000,1,IF(H518&gt;60000,"No Rebate",IF(H518&gt;54000,8,MIN(ROUND((H518-0.001)/6000,0)-1,7)))),IF(I518&lt;15,0,IF(I518&gt;18.5,5,ROUND(I518-14.001,0)))),"No Rebate"),"")</f>
        <v>150</v>
      </c>
      <c r="O518" s="1087">
        <f t="shared" si="136"/>
        <v>-1538.88</v>
      </c>
      <c r="P518" s="269">
        <f t="shared" si="134"/>
        <v>1</v>
      </c>
      <c r="Q518" s="269" t="str">
        <f t="shared" si="137"/>
        <v/>
      </c>
      <c r="R518" s="1147"/>
      <c r="S518" s="1143" t="str">
        <f t="shared" si="138"/>
        <v>Upsize</v>
      </c>
      <c r="T518" s="1144">
        <f t="shared" si="139"/>
        <v>1569.0140845070421</v>
      </c>
      <c r="U518" s="1144">
        <f t="shared" si="140"/>
        <v>626.05633802816897</v>
      </c>
      <c r="V518" s="1146">
        <f t="shared" si="141"/>
        <v>3718.1391378574472</v>
      </c>
      <c r="W518" s="1146">
        <f t="shared" si="142"/>
        <v>5062.4313725490192</v>
      </c>
      <c r="X518" s="1146">
        <f t="shared" si="143"/>
        <v>-1344.2922346915721</v>
      </c>
      <c r="Y518" s="1146">
        <f t="shared" si="144"/>
        <v>3768.4153702704025</v>
      </c>
      <c r="Z518" s="1146">
        <f t="shared" si="145"/>
        <v>5062.4313725490192</v>
      </c>
      <c r="AA518" s="1146">
        <f t="shared" si="146"/>
        <v>-1294.0160022786167</v>
      </c>
      <c r="AB518" s="1146">
        <f t="shared" si="147"/>
        <v>5279.7575757575751</v>
      </c>
      <c r="AC518" s="1146">
        <f t="shared" si="148"/>
        <v>5062.4313725490192</v>
      </c>
      <c r="AD518" s="1146">
        <f t="shared" si="149"/>
        <v>217.32620320855585</v>
      </c>
      <c r="AE518" s="1146">
        <f t="shared" si="150"/>
        <v>5351.1498257839712</v>
      </c>
      <c r="AF518" s="1146">
        <f t="shared" si="151"/>
        <v>5062.4313725490192</v>
      </c>
      <c r="AG518" s="1146">
        <f t="shared" si="152"/>
        <v>288.71845323495199</v>
      </c>
    </row>
    <row r="519" spans="2:33" ht="14.4">
      <c r="B519" s="1134">
        <v>4339818</v>
      </c>
      <c r="C519" s="1135"/>
      <c r="D519" s="1134">
        <v>433981</v>
      </c>
      <c r="E519" s="1148">
        <v>42191</v>
      </c>
      <c r="F519" s="1137">
        <v>30000</v>
      </c>
      <c r="G519" s="1149">
        <v>10</v>
      </c>
      <c r="H519" s="1137">
        <v>34400</v>
      </c>
      <c r="I519" s="1149">
        <v>15</v>
      </c>
      <c r="J519" s="1138">
        <v>4600</v>
      </c>
      <c r="K519" s="1150"/>
      <c r="L519" s="1140">
        <v>42306</v>
      </c>
      <c r="M519" s="269">
        <f t="shared" si="135"/>
        <v>4</v>
      </c>
      <c r="N519" s="1074">
        <f t="shared" si="153"/>
        <v>175</v>
      </c>
      <c r="O519" s="1087">
        <f t="shared" si="136"/>
        <v>1941.9199999999999</v>
      </c>
      <c r="P519" s="269">
        <f t="shared" si="134"/>
        <v>1</v>
      </c>
      <c r="Q519" s="269" t="str">
        <f t="shared" si="137"/>
        <v/>
      </c>
      <c r="R519" s="1147"/>
      <c r="S519" s="1143" t="str">
        <f t="shared" si="138"/>
        <v>Upsize</v>
      </c>
      <c r="T519" s="1144">
        <f t="shared" si="139"/>
        <v>1943.0232558139535</v>
      </c>
      <c r="U519" s="1144">
        <f t="shared" si="140"/>
        <v>775.29069767441865</v>
      </c>
      <c r="V519" s="1146">
        <f t="shared" si="141"/>
        <v>8849.6828752642705</v>
      </c>
      <c r="W519" s="1146">
        <f t="shared" si="142"/>
        <v>7593.6470588235279</v>
      </c>
      <c r="X519" s="1146">
        <f t="shared" si="143"/>
        <v>1256.0358164407426</v>
      </c>
      <c r="Y519" s="1146">
        <f t="shared" si="144"/>
        <v>7000.0506441941507</v>
      </c>
      <c r="Z519" s="1146">
        <f t="shared" si="145"/>
        <v>7593.6470588235279</v>
      </c>
      <c r="AA519" s="1146">
        <f t="shared" si="146"/>
        <v>-593.59641462937725</v>
      </c>
      <c r="AB519" s="1146">
        <f t="shared" si="147"/>
        <v>10147.636363636362</v>
      </c>
      <c r="AC519" s="1146">
        <f t="shared" si="148"/>
        <v>7593.6470588235279</v>
      </c>
      <c r="AD519" s="1146">
        <f t="shared" si="149"/>
        <v>2553.9893048128342</v>
      </c>
      <c r="AE519" s="1146">
        <f t="shared" si="150"/>
        <v>8026.7247386759582</v>
      </c>
      <c r="AF519" s="1146">
        <f t="shared" si="151"/>
        <v>7593.6470588235279</v>
      </c>
      <c r="AG519" s="1146">
        <f t="shared" si="152"/>
        <v>433.07767985243026</v>
      </c>
    </row>
    <row r="520" spans="2:33" ht="14.4">
      <c r="B520" s="1134">
        <v>3555745</v>
      </c>
      <c r="C520" s="1130"/>
      <c r="D520" s="1134">
        <v>3555745</v>
      </c>
      <c r="E520" s="1148">
        <v>42076</v>
      </c>
      <c r="F520" s="1137">
        <v>40000</v>
      </c>
      <c r="G520" s="1149">
        <v>10</v>
      </c>
      <c r="H520" s="1137">
        <v>40000</v>
      </c>
      <c r="I520" s="1149">
        <v>15</v>
      </c>
      <c r="J520" s="1138">
        <v>4960</v>
      </c>
      <c r="K520" s="1150"/>
      <c r="L520" s="1151">
        <v>42306</v>
      </c>
      <c r="M520" s="269">
        <f t="shared" si="135"/>
        <v>4</v>
      </c>
      <c r="N520" s="1074">
        <f t="shared" si="153"/>
        <v>225</v>
      </c>
      <c r="O520" s="1087">
        <f t="shared" si="136"/>
        <v>3664.0000000000009</v>
      </c>
      <c r="P520" s="269">
        <f t="shared" si="134"/>
        <v>1</v>
      </c>
      <c r="Q520" s="269" t="str">
        <f t="shared" si="137"/>
        <v/>
      </c>
      <c r="R520" s="1147"/>
      <c r="S520" s="1143" t="str">
        <f t="shared" si="138"/>
        <v>Same Size</v>
      </c>
      <c r="T520" s="1144">
        <f t="shared" si="139"/>
        <v>2228</v>
      </c>
      <c r="U520" s="1144">
        <f t="shared" si="140"/>
        <v>889</v>
      </c>
      <c r="V520" s="1146">
        <f t="shared" si="141"/>
        <v>13530.181818181818</v>
      </c>
      <c r="W520" s="1146">
        <f t="shared" si="142"/>
        <v>10124.862745098038</v>
      </c>
      <c r="X520" s="1146">
        <f t="shared" si="143"/>
        <v>3405.3190730837796</v>
      </c>
      <c r="Y520" s="1146">
        <f t="shared" si="144"/>
        <v>10702.299651567944</v>
      </c>
      <c r="Z520" s="1146">
        <f t="shared" si="145"/>
        <v>10124.862745098038</v>
      </c>
      <c r="AA520" s="1146">
        <f t="shared" si="146"/>
        <v>577.43690646990581</v>
      </c>
      <c r="AB520" s="1146">
        <f t="shared" si="147"/>
        <v>13530.181818181818</v>
      </c>
      <c r="AC520" s="1146">
        <f t="shared" si="148"/>
        <v>10124.862745098038</v>
      </c>
      <c r="AD520" s="1146">
        <f t="shared" si="149"/>
        <v>3405.3190730837796</v>
      </c>
      <c r="AE520" s="1146">
        <f t="shared" si="150"/>
        <v>10702.299651567944</v>
      </c>
      <c r="AF520" s="1146">
        <f t="shared" si="151"/>
        <v>10124.862745098038</v>
      </c>
      <c r="AG520" s="1146">
        <f t="shared" si="152"/>
        <v>577.43690646990581</v>
      </c>
    </row>
    <row r="521" spans="2:33" ht="14.4">
      <c r="B521" s="1134">
        <v>5375761</v>
      </c>
      <c r="C521" s="1135"/>
      <c r="D521" s="1134">
        <v>5375761</v>
      </c>
      <c r="E521" s="1148">
        <v>42195</v>
      </c>
      <c r="F521" s="1137">
        <v>40000</v>
      </c>
      <c r="G521" s="1149">
        <v>13</v>
      </c>
      <c r="H521" s="1137">
        <v>46500</v>
      </c>
      <c r="I521" s="1149">
        <v>15</v>
      </c>
      <c r="J521" s="1138">
        <v>5625.56</v>
      </c>
      <c r="K521" s="1150"/>
      <c r="L521" s="1140">
        <v>42303</v>
      </c>
      <c r="M521" s="269">
        <f t="shared" si="135"/>
        <v>4</v>
      </c>
      <c r="N521" s="1074">
        <f t="shared" si="153"/>
        <v>250</v>
      </c>
      <c r="O521" s="1087">
        <f t="shared" si="136"/>
        <v>-63.415384615384042</v>
      </c>
      <c r="P521" s="269">
        <f t="shared" si="134"/>
        <v>1</v>
      </c>
      <c r="Q521" s="269" t="str">
        <f t="shared" si="137"/>
        <v/>
      </c>
      <c r="R521" s="1147"/>
      <c r="S521" s="1143" t="str">
        <f t="shared" si="138"/>
        <v>Upsize</v>
      </c>
      <c r="T521" s="1144">
        <f t="shared" si="139"/>
        <v>1916.5591397849462</v>
      </c>
      <c r="U521" s="1144">
        <f t="shared" si="140"/>
        <v>764.73118279569894</v>
      </c>
      <c r="V521" s="1146">
        <f t="shared" si="141"/>
        <v>9869.7345665087596</v>
      </c>
      <c r="W521" s="1146">
        <f t="shared" si="142"/>
        <v>10124.862745098038</v>
      </c>
      <c r="X521" s="1146">
        <f t="shared" si="143"/>
        <v>-255.12817858927883</v>
      </c>
      <c r="Y521" s="1146">
        <f t="shared" si="144"/>
        <v>9206.2792701659746</v>
      </c>
      <c r="Z521" s="1146">
        <f t="shared" si="145"/>
        <v>10124.862745098038</v>
      </c>
      <c r="AA521" s="1146">
        <f t="shared" si="146"/>
        <v>-918.58347493206384</v>
      </c>
      <c r="AB521" s="1146">
        <f t="shared" si="147"/>
        <v>11473.566433566433</v>
      </c>
      <c r="AC521" s="1146">
        <f t="shared" si="148"/>
        <v>10124.862745098038</v>
      </c>
      <c r="AD521" s="1146">
        <f t="shared" si="149"/>
        <v>1348.7036884683948</v>
      </c>
      <c r="AE521" s="1146">
        <f t="shared" si="150"/>
        <v>10702.299651567944</v>
      </c>
      <c r="AF521" s="1146">
        <f t="shared" si="151"/>
        <v>10124.862745098038</v>
      </c>
      <c r="AG521" s="1146">
        <f t="shared" si="152"/>
        <v>577.43690646990581</v>
      </c>
    </row>
    <row r="522" spans="2:33" ht="14.4">
      <c r="B522" s="1134">
        <v>3953304</v>
      </c>
      <c r="C522" s="1135"/>
      <c r="D522" s="1134">
        <v>3953304</v>
      </c>
      <c r="E522" s="1148">
        <v>42251</v>
      </c>
      <c r="F522" s="1137">
        <v>20000</v>
      </c>
      <c r="G522" s="1149">
        <v>11</v>
      </c>
      <c r="H522" s="1137">
        <v>20000</v>
      </c>
      <c r="I522" s="1149">
        <v>14</v>
      </c>
      <c r="J522" s="1138">
        <v>4195</v>
      </c>
      <c r="K522" s="1150"/>
      <c r="L522" s="1140">
        <v>42293</v>
      </c>
      <c r="M522" s="269">
        <f t="shared" si="135"/>
        <v>4</v>
      </c>
      <c r="N522" s="1074" t="str">
        <f t="shared" si="153"/>
        <v>No Rebate</v>
      </c>
      <c r="O522" s="1087">
        <f t="shared" si="136"/>
        <v>1070.6493506493507</v>
      </c>
      <c r="P522" s="269">
        <f t="shared" si="134"/>
        <v>1</v>
      </c>
      <c r="Q522" s="269" t="str">
        <f t="shared" si="137"/>
        <v/>
      </c>
      <c r="R522" s="1147"/>
      <c r="S522" s="1143" t="str">
        <f t="shared" si="138"/>
        <v>Same Size</v>
      </c>
      <c r="T522" s="1144">
        <f t="shared" si="139"/>
        <v>2228</v>
      </c>
      <c r="U522" s="1144">
        <f t="shared" si="140"/>
        <v>889</v>
      </c>
      <c r="V522" s="1146">
        <f t="shared" si="141"/>
        <v>6360</v>
      </c>
      <c r="W522" s="1146">
        <f t="shared" si="142"/>
        <v>5274.6218487394963</v>
      </c>
      <c r="X522" s="1146">
        <f t="shared" si="143"/>
        <v>1085.3781512605037</v>
      </c>
      <c r="Y522" s="1146">
        <f t="shared" si="144"/>
        <v>5351.1498257839721</v>
      </c>
      <c r="Z522" s="1146">
        <f t="shared" si="145"/>
        <v>5274.6218487394963</v>
      </c>
      <c r="AA522" s="1146">
        <f t="shared" si="146"/>
        <v>76.527977044475847</v>
      </c>
      <c r="AB522" s="1146">
        <f t="shared" si="147"/>
        <v>6360</v>
      </c>
      <c r="AC522" s="1146">
        <f t="shared" si="148"/>
        <v>5274.6218487394963</v>
      </c>
      <c r="AD522" s="1146">
        <f t="shared" si="149"/>
        <v>1085.3781512605037</v>
      </c>
      <c r="AE522" s="1146">
        <f t="shared" si="150"/>
        <v>5351.1498257839721</v>
      </c>
      <c r="AF522" s="1146">
        <f t="shared" si="151"/>
        <v>5274.6218487394963</v>
      </c>
      <c r="AG522" s="1146">
        <f t="shared" si="152"/>
        <v>76.527977044475847</v>
      </c>
    </row>
    <row r="523" spans="2:33" ht="14.4">
      <c r="B523" s="1134">
        <v>5809215</v>
      </c>
      <c r="C523" s="1135"/>
      <c r="D523" s="1134">
        <v>5809215</v>
      </c>
      <c r="E523" s="1148">
        <v>42062</v>
      </c>
      <c r="F523" s="1137">
        <v>20000</v>
      </c>
      <c r="G523" s="1149">
        <v>14</v>
      </c>
      <c r="H523" s="1137">
        <v>46500</v>
      </c>
      <c r="I523" s="1149">
        <v>15</v>
      </c>
      <c r="J523" s="1138">
        <v>5634</v>
      </c>
      <c r="K523" s="1150"/>
      <c r="L523" s="1140">
        <v>42293</v>
      </c>
      <c r="M523" s="269">
        <f t="shared" si="135"/>
        <v>4</v>
      </c>
      <c r="N523" s="1074">
        <f t="shared" si="153"/>
        <v>250</v>
      </c>
      <c r="O523" s="1087">
        <f t="shared" si="136"/>
        <v>-4593.0857142857139</v>
      </c>
      <c r="P523" s="269">
        <f t="shared" si="134"/>
        <v>1</v>
      </c>
      <c r="Q523" s="269" t="str">
        <f t="shared" si="137"/>
        <v/>
      </c>
      <c r="R523" s="1147"/>
      <c r="S523" s="1143" t="str">
        <f t="shared" si="138"/>
        <v>Upsize</v>
      </c>
      <c r="T523" s="1144">
        <f t="shared" si="139"/>
        <v>958.27956989247309</v>
      </c>
      <c r="U523" s="1144">
        <f t="shared" si="140"/>
        <v>382.36559139784947</v>
      </c>
      <c r="V523" s="1146">
        <f t="shared" si="141"/>
        <v>2362.1281943862587</v>
      </c>
      <c r="W523" s="1146">
        <f t="shared" si="142"/>
        <v>5062.4313725490192</v>
      </c>
      <c r="X523" s="1146">
        <f t="shared" si="143"/>
        <v>-2700.3031781627606</v>
      </c>
      <c r="Y523" s="1146">
        <f t="shared" si="144"/>
        <v>2301.5698175414936</v>
      </c>
      <c r="Z523" s="1146">
        <f t="shared" si="145"/>
        <v>5062.4313725490192</v>
      </c>
      <c r="AA523" s="1146">
        <f t="shared" si="146"/>
        <v>-2760.8615550075256</v>
      </c>
      <c r="AB523" s="1146">
        <f t="shared" si="147"/>
        <v>5491.9480519480512</v>
      </c>
      <c r="AC523" s="1146">
        <f t="shared" si="148"/>
        <v>5062.4313725490192</v>
      </c>
      <c r="AD523" s="1146">
        <f t="shared" si="149"/>
        <v>429.516679399032</v>
      </c>
      <c r="AE523" s="1146">
        <f t="shared" si="150"/>
        <v>5351.1498257839721</v>
      </c>
      <c r="AF523" s="1146">
        <f t="shared" si="151"/>
        <v>5062.4313725490192</v>
      </c>
      <c r="AG523" s="1146">
        <f t="shared" si="152"/>
        <v>288.7184532349529</v>
      </c>
    </row>
    <row r="524" spans="2:33" ht="14.4">
      <c r="B524" s="1134">
        <v>8027815</v>
      </c>
      <c r="C524" s="1135"/>
      <c r="D524" s="1134">
        <v>8027815</v>
      </c>
      <c r="E524" s="1148">
        <v>42164</v>
      </c>
      <c r="F524" s="1137">
        <v>30000</v>
      </c>
      <c r="G524" s="1149">
        <v>14</v>
      </c>
      <c r="H524" s="1137">
        <v>34800</v>
      </c>
      <c r="I524" s="1149">
        <v>15</v>
      </c>
      <c r="J524" s="1138">
        <v>5755</v>
      </c>
      <c r="K524" s="1150"/>
      <c r="L524" s="1140">
        <v>42293</v>
      </c>
      <c r="M524" s="269">
        <f t="shared" si="135"/>
        <v>4</v>
      </c>
      <c r="N524" s="1074">
        <f t="shared" si="153"/>
        <v>175</v>
      </c>
      <c r="O524" s="1087">
        <f t="shared" si="136"/>
        <v>-486.78857142857203</v>
      </c>
      <c r="P524" s="269">
        <f t="shared" si="134"/>
        <v>1</v>
      </c>
      <c r="Q524" s="269" t="str">
        <f t="shared" si="137"/>
        <v/>
      </c>
      <c r="R524" s="1147"/>
      <c r="S524" s="1143" t="str">
        <f t="shared" si="138"/>
        <v>Upsize</v>
      </c>
      <c r="T524" s="1144">
        <f t="shared" si="139"/>
        <v>1920.6896551724137</v>
      </c>
      <c r="U524" s="1144">
        <f t="shared" si="140"/>
        <v>766.37931034482756</v>
      </c>
      <c r="V524" s="1146">
        <f t="shared" si="141"/>
        <v>7101.656963725929</v>
      </c>
      <c r="W524" s="1146">
        <f t="shared" si="142"/>
        <v>7593.6470588235288</v>
      </c>
      <c r="X524" s="1146">
        <f t="shared" si="143"/>
        <v>-491.99009509759981</v>
      </c>
      <c r="Y524" s="1146">
        <f t="shared" si="144"/>
        <v>6919.5902919620321</v>
      </c>
      <c r="Z524" s="1146">
        <f t="shared" si="145"/>
        <v>7593.6470588235288</v>
      </c>
      <c r="AA524" s="1146">
        <f t="shared" si="146"/>
        <v>-674.05676686149673</v>
      </c>
      <c r="AB524" s="1146">
        <f t="shared" si="147"/>
        <v>8237.9220779220759</v>
      </c>
      <c r="AC524" s="1146">
        <f t="shared" si="148"/>
        <v>7593.6470588235288</v>
      </c>
      <c r="AD524" s="1146">
        <f t="shared" si="149"/>
        <v>644.27501909854709</v>
      </c>
      <c r="AE524" s="1146">
        <f t="shared" si="150"/>
        <v>8026.7247386759573</v>
      </c>
      <c r="AF524" s="1146">
        <f t="shared" si="151"/>
        <v>7593.6470588235288</v>
      </c>
      <c r="AG524" s="1146">
        <f t="shared" si="152"/>
        <v>433.07767985242845</v>
      </c>
    </row>
    <row r="525" spans="2:33" ht="14.4">
      <c r="B525" s="1134">
        <v>4721676</v>
      </c>
      <c r="C525" s="1135"/>
      <c r="D525" s="1134">
        <v>469278</v>
      </c>
      <c r="E525" s="1148">
        <v>42263</v>
      </c>
      <c r="F525" s="1137">
        <v>30000</v>
      </c>
      <c r="G525" s="1149">
        <v>13</v>
      </c>
      <c r="H525" s="1137">
        <v>46000</v>
      </c>
      <c r="I525" s="1149">
        <v>15</v>
      </c>
      <c r="J525" s="1138">
        <v>4650</v>
      </c>
      <c r="K525" s="1150"/>
      <c r="L525" s="1140">
        <v>42293</v>
      </c>
      <c r="M525" s="269">
        <f t="shared" si="135"/>
        <v>4</v>
      </c>
      <c r="N525" s="1074">
        <f t="shared" si="153"/>
        <v>250</v>
      </c>
      <c r="O525" s="1087">
        <f t="shared" si="136"/>
        <v>-2085.6615384615384</v>
      </c>
      <c r="P525" s="269">
        <f t="shared" si="134"/>
        <v>1</v>
      </c>
      <c r="Q525" s="269" t="str">
        <f t="shared" si="137"/>
        <v/>
      </c>
      <c r="R525" s="1147"/>
      <c r="S525" s="1143" t="str">
        <f t="shared" si="138"/>
        <v>Upsize</v>
      </c>
      <c r="T525" s="1144">
        <f t="shared" si="139"/>
        <v>1453.0434782608695</v>
      </c>
      <c r="U525" s="1144">
        <f t="shared" si="140"/>
        <v>579.78260869565213</v>
      </c>
      <c r="V525" s="1146">
        <f t="shared" si="141"/>
        <v>5612.0705381574944</v>
      </c>
      <c r="W525" s="1146">
        <f t="shared" si="142"/>
        <v>7593.6470588235288</v>
      </c>
      <c r="X525" s="1146">
        <f t="shared" si="143"/>
        <v>-1981.5765206660344</v>
      </c>
      <c r="Y525" s="1146">
        <f t="shared" si="144"/>
        <v>5234.8204817451897</v>
      </c>
      <c r="Z525" s="1146">
        <f t="shared" si="145"/>
        <v>7593.6470588235288</v>
      </c>
      <c r="AA525" s="1146">
        <f t="shared" si="146"/>
        <v>-2358.8265770783391</v>
      </c>
      <c r="AB525" s="1146">
        <f t="shared" si="147"/>
        <v>8605.1748251748249</v>
      </c>
      <c r="AC525" s="1146">
        <f t="shared" si="148"/>
        <v>7593.6470588235288</v>
      </c>
      <c r="AD525" s="1146">
        <f t="shared" si="149"/>
        <v>1011.5277663512961</v>
      </c>
      <c r="AE525" s="1146">
        <f t="shared" si="150"/>
        <v>8026.7247386759582</v>
      </c>
      <c r="AF525" s="1146">
        <f t="shared" si="151"/>
        <v>7593.6470588235288</v>
      </c>
      <c r="AG525" s="1146">
        <f t="shared" si="152"/>
        <v>433.07767985242936</v>
      </c>
    </row>
    <row r="526" spans="2:33" ht="14.4">
      <c r="B526" s="1134">
        <v>3461050</v>
      </c>
      <c r="C526" s="1135"/>
      <c r="D526" s="1134">
        <v>346105</v>
      </c>
      <c r="E526" s="1148">
        <v>42262</v>
      </c>
      <c r="F526" s="1137">
        <v>30000</v>
      </c>
      <c r="G526" s="1149">
        <v>13</v>
      </c>
      <c r="H526" s="1137">
        <v>42000</v>
      </c>
      <c r="I526" s="1149">
        <v>16</v>
      </c>
      <c r="J526" s="1138">
        <v>6725</v>
      </c>
      <c r="K526" s="1150"/>
      <c r="L526" s="1140">
        <v>42293</v>
      </c>
      <c r="M526" s="269">
        <f t="shared" si="135"/>
        <v>4</v>
      </c>
      <c r="N526" s="1074">
        <f t="shared" si="153"/>
        <v>250</v>
      </c>
      <c r="O526" s="1087">
        <f t="shared" si="136"/>
        <v>-871.96153846153868</v>
      </c>
      <c r="P526" s="269">
        <f t="shared" si="134"/>
        <v>1</v>
      </c>
      <c r="Q526" s="269" t="str">
        <f t="shared" si="137"/>
        <v/>
      </c>
      <c r="R526" s="1147"/>
      <c r="S526" s="1143" t="str">
        <f t="shared" si="138"/>
        <v>Upsize</v>
      </c>
      <c r="T526" s="1144">
        <f t="shared" si="139"/>
        <v>1591.4285714285716</v>
      </c>
      <c r="U526" s="1144">
        <f t="shared" si="140"/>
        <v>635</v>
      </c>
      <c r="V526" s="1146">
        <f t="shared" si="141"/>
        <v>6146.5534465534465</v>
      </c>
      <c r="W526" s="1146">
        <f t="shared" si="142"/>
        <v>7315.1470588235288</v>
      </c>
      <c r="X526" s="1146">
        <f t="shared" si="143"/>
        <v>-1168.5936122700823</v>
      </c>
      <c r="Y526" s="1146">
        <f t="shared" si="144"/>
        <v>5733.3748133399704</v>
      </c>
      <c r="Z526" s="1146">
        <f t="shared" si="145"/>
        <v>7315.1470588235288</v>
      </c>
      <c r="AA526" s="1146">
        <f t="shared" si="146"/>
        <v>-1581.7722454835584</v>
      </c>
      <c r="AB526" s="1146">
        <f t="shared" si="147"/>
        <v>8605.1748251748249</v>
      </c>
      <c r="AC526" s="1146">
        <f t="shared" si="148"/>
        <v>7315.1470588235288</v>
      </c>
      <c r="AD526" s="1146">
        <f t="shared" si="149"/>
        <v>1290.0277663512961</v>
      </c>
      <c r="AE526" s="1146">
        <f t="shared" si="150"/>
        <v>8026.7247386759591</v>
      </c>
      <c r="AF526" s="1146">
        <f t="shared" si="151"/>
        <v>7315.1470588235288</v>
      </c>
      <c r="AG526" s="1146">
        <f t="shared" si="152"/>
        <v>711.57767985243026</v>
      </c>
    </row>
    <row r="527" spans="2:33" ht="14.4">
      <c r="B527" s="1134">
        <v>1525591</v>
      </c>
      <c r="C527" s="1135"/>
      <c r="D527" s="1134">
        <v>152559</v>
      </c>
      <c r="E527" s="1148">
        <v>42250</v>
      </c>
      <c r="F527" s="1137">
        <v>30000</v>
      </c>
      <c r="G527" s="1149">
        <v>11</v>
      </c>
      <c r="H527" s="1137">
        <v>34800</v>
      </c>
      <c r="I527" s="1149">
        <v>15</v>
      </c>
      <c r="J527" s="1138">
        <v>4948</v>
      </c>
      <c r="K527" s="1150"/>
      <c r="L527" s="1140">
        <v>42293</v>
      </c>
      <c r="M527" s="269">
        <f t="shared" si="135"/>
        <v>4</v>
      </c>
      <c r="N527" s="1074">
        <f t="shared" si="153"/>
        <v>175</v>
      </c>
      <c r="O527" s="1087">
        <f t="shared" si="136"/>
        <v>1119.1854545454553</v>
      </c>
      <c r="P527" s="269">
        <f t="shared" si="154" ref="P527:P558">IF(L527&gt;0,1,"")</f>
        <v>1</v>
      </c>
      <c r="Q527" s="269" t="str">
        <f t="shared" si="137"/>
        <v/>
      </c>
      <c r="R527" s="1147"/>
      <c r="S527" s="1143" t="str">
        <f t="shared" si="138"/>
        <v>Upsize</v>
      </c>
      <c r="T527" s="1144">
        <f t="shared" si="139"/>
        <v>1920.6896551724137</v>
      </c>
      <c r="U527" s="1144">
        <f t="shared" si="140"/>
        <v>766.37931034482756</v>
      </c>
      <c r="V527" s="1146">
        <f t="shared" si="141"/>
        <v>8224.1379310344837</v>
      </c>
      <c r="W527" s="1146">
        <f t="shared" si="142"/>
        <v>7593.6470588235288</v>
      </c>
      <c r="X527" s="1146">
        <f t="shared" si="143"/>
        <v>630.49087221095488</v>
      </c>
      <c r="Y527" s="1146">
        <f t="shared" si="144"/>
        <v>6919.5902919620321</v>
      </c>
      <c r="Z527" s="1146">
        <f t="shared" si="145"/>
        <v>7593.6470588235288</v>
      </c>
      <c r="AA527" s="1146">
        <f t="shared" si="146"/>
        <v>-674.05676686149673</v>
      </c>
      <c r="AB527" s="1146">
        <f t="shared" si="147"/>
        <v>9540</v>
      </c>
      <c r="AC527" s="1146">
        <f t="shared" si="148"/>
        <v>7593.6470588235288</v>
      </c>
      <c r="AD527" s="1146">
        <f t="shared" si="149"/>
        <v>1946.3529411764712</v>
      </c>
      <c r="AE527" s="1146">
        <f t="shared" si="150"/>
        <v>8026.7247386759573</v>
      </c>
      <c r="AF527" s="1146">
        <f t="shared" si="151"/>
        <v>7593.6470588235288</v>
      </c>
      <c r="AG527" s="1146">
        <f t="shared" si="152"/>
        <v>433.07767985242845</v>
      </c>
    </row>
    <row r="528" spans="2:33" ht="14.4">
      <c r="B528" s="1134">
        <v>1649862</v>
      </c>
      <c r="C528" s="1135"/>
      <c r="D528" s="1134">
        <v>164986</v>
      </c>
      <c r="E528" s="1148">
        <v>42241</v>
      </c>
      <c r="F528" s="1137">
        <v>30000</v>
      </c>
      <c r="G528" s="1149">
        <v>14</v>
      </c>
      <c r="H528" s="1137">
        <v>37400</v>
      </c>
      <c r="I528" s="1149">
        <v>15</v>
      </c>
      <c r="J528" s="1138">
        <v>4875</v>
      </c>
      <c r="K528" s="1150"/>
      <c r="L528" s="1140">
        <v>42293</v>
      </c>
      <c r="M528" s="269">
        <f t="shared" si="135"/>
        <v>4</v>
      </c>
      <c r="N528" s="1074">
        <f t="shared" si="153"/>
        <v>175</v>
      </c>
      <c r="O528" s="1087">
        <f t="shared" si="136"/>
        <v>-963.10857142857242</v>
      </c>
      <c r="P528" s="269">
        <f t="shared" si="154"/>
        <v>1</v>
      </c>
      <c r="Q528" s="269" t="str">
        <f t="shared" si="137"/>
        <v/>
      </c>
      <c r="R528" s="1147"/>
      <c r="S528" s="1143" t="str">
        <f t="shared" si="138"/>
        <v>Upsize</v>
      </c>
      <c r="T528" s="1144">
        <f t="shared" si="139"/>
        <v>1787.1657754010696</v>
      </c>
      <c r="U528" s="1144">
        <f t="shared" si="140"/>
        <v>713.10160427807489</v>
      </c>
      <c r="V528" s="1146">
        <f t="shared" si="141"/>
        <v>6607.9588860337526</v>
      </c>
      <c r="W528" s="1146">
        <f t="shared" si="142"/>
        <v>7593.6470588235297</v>
      </c>
      <c r="X528" s="1146">
        <f t="shared" si="143"/>
        <v>-985.68817278977713</v>
      </c>
      <c r="Y528" s="1146">
        <f t="shared" si="144"/>
        <v>6438.5492556224272</v>
      </c>
      <c r="Z528" s="1146">
        <f t="shared" si="145"/>
        <v>7593.6470588235297</v>
      </c>
      <c r="AA528" s="1146">
        <f t="shared" si="146"/>
        <v>-1155.0978032011026</v>
      </c>
      <c r="AB528" s="1146">
        <f t="shared" si="147"/>
        <v>8237.9220779220777</v>
      </c>
      <c r="AC528" s="1146">
        <f t="shared" si="148"/>
        <v>7593.6470588235297</v>
      </c>
      <c r="AD528" s="1146">
        <f t="shared" si="149"/>
        <v>644.275019098548</v>
      </c>
      <c r="AE528" s="1146">
        <f t="shared" si="150"/>
        <v>8026.7247386759591</v>
      </c>
      <c r="AF528" s="1146">
        <f t="shared" si="151"/>
        <v>7593.6470588235297</v>
      </c>
      <c r="AG528" s="1146">
        <f t="shared" si="152"/>
        <v>433.07767985242936</v>
      </c>
    </row>
    <row r="529" spans="2:33" ht="14.4">
      <c r="B529" s="1134">
        <v>8166415</v>
      </c>
      <c r="C529" s="1135"/>
      <c r="D529" s="1134">
        <v>136282</v>
      </c>
      <c r="E529" s="1148">
        <v>42248</v>
      </c>
      <c r="F529" s="1137">
        <v>30000</v>
      </c>
      <c r="G529" s="1149">
        <v>14</v>
      </c>
      <c r="H529" s="1137">
        <v>36000</v>
      </c>
      <c r="I529" s="1149">
        <v>16</v>
      </c>
      <c r="J529" s="1138">
        <v>4006</v>
      </c>
      <c r="K529" s="1150"/>
      <c r="L529" s="1140">
        <v>42293</v>
      </c>
      <c r="M529" s="269">
        <f t="shared" si="135"/>
        <v>4</v>
      </c>
      <c r="N529" s="1074">
        <f t="shared" si="153"/>
        <v>225</v>
      </c>
      <c r="O529" s="1087">
        <f t="shared" si="136"/>
        <v>-294.42857142857201</v>
      </c>
      <c r="P529" s="269">
        <f t="shared" si="154"/>
        <v>1</v>
      </c>
      <c r="Q529" s="269" t="str">
        <f t="shared" si="137"/>
        <v/>
      </c>
      <c r="R529" s="1147"/>
      <c r="S529" s="1143" t="str">
        <f t="shared" si="138"/>
        <v>Upsize</v>
      </c>
      <c r="T529" s="1144">
        <f t="shared" si="139"/>
        <v>1856.6666666666667</v>
      </c>
      <c r="U529" s="1144">
        <f t="shared" si="140"/>
        <v>740.83333333333337</v>
      </c>
      <c r="V529" s="1146">
        <f t="shared" si="141"/>
        <v>6864.9350649350654</v>
      </c>
      <c r="W529" s="1146">
        <f t="shared" si="142"/>
        <v>7315.1470588235288</v>
      </c>
      <c r="X529" s="1146">
        <f t="shared" si="143"/>
        <v>-450.21199388846344</v>
      </c>
      <c r="Y529" s="1146">
        <f t="shared" si="144"/>
        <v>6688.9372822299647</v>
      </c>
      <c r="Z529" s="1146">
        <f t="shared" si="145"/>
        <v>7315.1470588235288</v>
      </c>
      <c r="AA529" s="1146">
        <f t="shared" si="146"/>
        <v>-626.20977659356413</v>
      </c>
      <c r="AB529" s="1146">
        <f t="shared" si="147"/>
        <v>8237.9220779220777</v>
      </c>
      <c r="AC529" s="1146">
        <f t="shared" si="148"/>
        <v>7315.1470588235288</v>
      </c>
      <c r="AD529" s="1146">
        <f t="shared" si="149"/>
        <v>922.77501909854891</v>
      </c>
      <c r="AE529" s="1146">
        <f t="shared" si="150"/>
        <v>8026.7247386759582</v>
      </c>
      <c r="AF529" s="1146">
        <f t="shared" si="151"/>
        <v>7315.1470588235288</v>
      </c>
      <c r="AG529" s="1146">
        <f t="shared" si="152"/>
        <v>711.57767985242936</v>
      </c>
    </row>
    <row r="530" spans="2:33" ht="14.4">
      <c r="B530" s="1134">
        <v>1817378</v>
      </c>
      <c r="C530" s="1135"/>
      <c r="D530" s="1134">
        <v>181737</v>
      </c>
      <c r="E530" s="1148">
        <v>42255</v>
      </c>
      <c r="F530" s="1137">
        <v>30000</v>
      </c>
      <c r="G530" s="1149">
        <v>14</v>
      </c>
      <c r="H530" s="1137">
        <v>41500</v>
      </c>
      <c r="I530" s="1149">
        <v>15</v>
      </c>
      <c r="J530" s="1138">
        <v>5900</v>
      </c>
      <c r="K530" s="1150"/>
      <c r="L530" s="1140">
        <v>42293</v>
      </c>
      <c r="M530" s="269">
        <f t="shared" si="135"/>
        <v>4</v>
      </c>
      <c r="N530" s="1074">
        <f t="shared" si="153"/>
        <v>225</v>
      </c>
      <c r="O530" s="1087">
        <f t="shared" si="136"/>
        <v>-1714.2285714285717</v>
      </c>
      <c r="P530" s="269">
        <f t="shared" si="154"/>
        <v>1</v>
      </c>
      <c r="Q530" s="269" t="str">
        <f t="shared" si="137"/>
        <v/>
      </c>
      <c r="R530" s="1147"/>
      <c r="S530" s="1143" t="str">
        <f t="shared" si="138"/>
        <v>Upsize</v>
      </c>
      <c r="T530" s="1144">
        <f t="shared" si="139"/>
        <v>1610.6024096385543</v>
      </c>
      <c r="U530" s="1144">
        <f t="shared" si="140"/>
        <v>642.65060240963851</v>
      </c>
      <c r="V530" s="1146">
        <f t="shared" si="141"/>
        <v>5955.1243936786104</v>
      </c>
      <c r="W530" s="1146">
        <f t="shared" si="142"/>
        <v>7593.6470588235288</v>
      </c>
      <c r="X530" s="1146">
        <f t="shared" si="143"/>
        <v>-1638.5226651449184</v>
      </c>
      <c r="Y530" s="1146">
        <f t="shared" si="144"/>
        <v>5802.4516183199703</v>
      </c>
      <c r="Z530" s="1146">
        <f t="shared" si="145"/>
        <v>7593.6470588235288</v>
      </c>
      <c r="AA530" s="1146">
        <f t="shared" si="146"/>
        <v>-1791.1954405035585</v>
      </c>
      <c r="AB530" s="1146">
        <f t="shared" si="147"/>
        <v>8237.9220779220777</v>
      </c>
      <c r="AC530" s="1146">
        <f t="shared" si="148"/>
        <v>7593.6470588235288</v>
      </c>
      <c r="AD530" s="1146">
        <f t="shared" si="149"/>
        <v>644.27501909854891</v>
      </c>
      <c r="AE530" s="1146">
        <f t="shared" si="150"/>
        <v>8026.7247386759582</v>
      </c>
      <c r="AF530" s="1146">
        <f t="shared" si="151"/>
        <v>7593.6470588235288</v>
      </c>
      <c r="AG530" s="1146">
        <f t="shared" si="152"/>
        <v>433.07767985242936</v>
      </c>
    </row>
    <row r="531" spans="2:33" ht="14.4">
      <c r="B531" s="1134">
        <v>8815155</v>
      </c>
      <c r="C531" s="1135"/>
      <c r="D531" s="1134">
        <v>566038</v>
      </c>
      <c r="E531" s="1148">
        <v>42196</v>
      </c>
      <c r="F531" s="1137">
        <v>48000</v>
      </c>
      <c r="G531" s="1149">
        <v>12</v>
      </c>
      <c r="H531" s="1137">
        <v>47000</v>
      </c>
      <c r="I531" s="1149">
        <v>16</v>
      </c>
      <c r="J531" s="1138">
        <v>6439</v>
      </c>
      <c r="K531" s="1150"/>
      <c r="L531" s="1140">
        <v>42297</v>
      </c>
      <c r="M531" s="269">
        <f t="shared" si="135"/>
        <v>4</v>
      </c>
      <c r="N531" s="1074">
        <f t="shared" si="153"/>
        <v>300</v>
      </c>
      <c r="O531" s="1087">
        <f t="shared" si="136"/>
        <v>2919.7500000000005</v>
      </c>
      <c r="P531" s="269">
        <f t="shared" si="154"/>
        <v>1</v>
      </c>
      <c r="Q531" s="269" t="str">
        <f t="shared" si="137"/>
        <v/>
      </c>
      <c r="R531" s="1147"/>
      <c r="S531" s="1143" t="str">
        <f t="shared" si="138"/>
        <v>Downsize</v>
      </c>
      <c r="T531" s="1144">
        <f t="shared" si="139"/>
        <v>2275.4042553191489</v>
      </c>
      <c r="U531" s="1144">
        <f t="shared" si="140"/>
        <v>907.91489361702122</v>
      </c>
      <c r="V531" s="1146">
        <f t="shared" si="141"/>
        <v>14761.346228239843</v>
      </c>
      <c r="W531" s="1146">
        <f t="shared" si="142"/>
        <v>11704.235294117647</v>
      </c>
      <c r="X531" s="1146">
        <f t="shared" si="143"/>
        <v>3057.1109341221963</v>
      </c>
      <c r="Y531" s="1146">
        <f t="shared" si="144"/>
        <v>13116.009785751354</v>
      </c>
      <c r="Z531" s="1146">
        <f t="shared" si="145"/>
        <v>11704.235294117647</v>
      </c>
      <c r="AA531" s="1146">
        <f t="shared" si="146"/>
        <v>1411.7744916337069</v>
      </c>
      <c r="AB531" s="1146">
        <f t="shared" si="147"/>
        <v>14453.81818181818</v>
      </c>
      <c r="AC531" s="1146">
        <f t="shared" si="148"/>
        <v>11704.235294117647</v>
      </c>
      <c r="AD531" s="1146">
        <f t="shared" si="149"/>
        <v>2749.5828877005333</v>
      </c>
      <c r="AE531" s="1146">
        <f t="shared" si="150"/>
        <v>12842.759581881533</v>
      </c>
      <c r="AF531" s="1146">
        <f t="shared" si="151"/>
        <v>11704.235294117647</v>
      </c>
      <c r="AG531" s="1146">
        <f t="shared" si="152"/>
        <v>1138.5242877638866</v>
      </c>
    </row>
    <row r="532" spans="2:33" ht="14.4">
      <c r="B532" s="1134">
        <v>1468917</v>
      </c>
      <c r="C532" s="1135"/>
      <c r="D532" s="1134">
        <v>146891</v>
      </c>
      <c r="E532" s="1148">
        <v>42240</v>
      </c>
      <c r="F532" s="1137">
        <v>40000</v>
      </c>
      <c r="G532" s="1149">
        <v>9</v>
      </c>
      <c r="H532" s="1137">
        <v>47500</v>
      </c>
      <c r="I532" s="1149">
        <v>15</v>
      </c>
      <c r="J532" s="1138">
        <v>9294</v>
      </c>
      <c r="K532" s="1150"/>
      <c r="L532" s="1140">
        <v>42297</v>
      </c>
      <c r="M532" s="269">
        <f t="shared" si="135"/>
        <v>4</v>
      </c>
      <c r="N532" s="1074">
        <f t="shared" si="153"/>
        <v>250</v>
      </c>
      <c r="O532" s="1087">
        <f t="shared" si="136"/>
        <v>3511.3333333333339</v>
      </c>
      <c r="P532" s="269">
        <f t="shared" si="154"/>
        <v>1</v>
      </c>
      <c r="Q532" s="269" t="str">
        <f t="shared" si="137"/>
        <v/>
      </c>
      <c r="R532" s="1147"/>
      <c r="S532" s="1143" t="str">
        <f t="shared" si="138"/>
        <v>Upsize</v>
      </c>
      <c r="T532" s="1144">
        <f t="shared" si="139"/>
        <v>1876.2105263157894</v>
      </c>
      <c r="U532" s="1144">
        <f t="shared" si="140"/>
        <v>748.63157894736833</v>
      </c>
      <c r="V532" s="1146">
        <f t="shared" si="141"/>
        <v>12227.708665603403</v>
      </c>
      <c r="W532" s="1146">
        <f t="shared" si="142"/>
        <v>10124.862745098038</v>
      </c>
      <c r="X532" s="1146">
        <f t="shared" si="143"/>
        <v>2102.8459205053641</v>
      </c>
      <c r="Y532" s="1146">
        <f t="shared" si="144"/>
        <v>9012.4628644782679</v>
      </c>
      <c r="Z532" s="1146">
        <f t="shared" si="145"/>
        <v>10124.862745098038</v>
      </c>
      <c r="AA532" s="1146">
        <f t="shared" si="146"/>
        <v>-1112.3998806197706</v>
      </c>
      <c r="AB532" s="1146">
        <f t="shared" si="147"/>
        <v>14520.404040404041</v>
      </c>
      <c r="AC532" s="1146">
        <f t="shared" si="148"/>
        <v>10124.862745098038</v>
      </c>
      <c r="AD532" s="1146">
        <f t="shared" si="149"/>
        <v>4395.5412953060022</v>
      </c>
      <c r="AE532" s="1146">
        <f t="shared" si="150"/>
        <v>10702.299651567944</v>
      </c>
      <c r="AF532" s="1146">
        <f t="shared" si="151"/>
        <v>10124.862745098038</v>
      </c>
      <c r="AG532" s="1146">
        <f t="shared" si="152"/>
        <v>577.43690646990581</v>
      </c>
    </row>
    <row r="533" spans="2:33" ht="14.4">
      <c r="B533" s="1134">
        <v>2020857</v>
      </c>
      <c r="C533" s="1135"/>
      <c r="D533" s="1134">
        <v>202085</v>
      </c>
      <c r="E533" s="1148">
        <v>42272</v>
      </c>
      <c r="F533" s="1137">
        <v>42000</v>
      </c>
      <c r="G533" s="1149">
        <v>10</v>
      </c>
      <c r="H533" s="1137">
        <v>42000</v>
      </c>
      <c r="I533" s="1149">
        <v>15</v>
      </c>
      <c r="J533" s="1138">
        <v>5732</v>
      </c>
      <c r="K533" s="1150"/>
      <c r="L533" s="1140">
        <v>42297</v>
      </c>
      <c r="M533" s="269">
        <f t="shared" si="135"/>
        <v>4</v>
      </c>
      <c r="N533" s="1074">
        <f t="shared" si="153"/>
        <v>225</v>
      </c>
      <c r="O533" s="1087">
        <f t="shared" si="136"/>
        <v>3847.2000000000003</v>
      </c>
      <c r="P533" s="269">
        <f t="shared" si="154"/>
        <v>1</v>
      </c>
      <c r="Q533" s="269" t="str">
        <f t="shared" si="137"/>
        <v/>
      </c>
      <c r="R533" s="1147"/>
      <c r="S533" s="1143" t="str">
        <f t="shared" si="138"/>
        <v>Same Size</v>
      </c>
      <c r="T533" s="1144">
        <f t="shared" si="139"/>
        <v>2228</v>
      </c>
      <c r="U533" s="1144">
        <f t="shared" si="140"/>
        <v>889</v>
      </c>
      <c r="V533" s="1146">
        <f t="shared" si="141"/>
        <v>14206.690909090909</v>
      </c>
      <c r="W533" s="1146">
        <f t="shared" si="142"/>
        <v>10631.105882352942</v>
      </c>
      <c r="X533" s="1146">
        <f t="shared" si="143"/>
        <v>3575.5850267379665</v>
      </c>
      <c r="Y533" s="1146">
        <f t="shared" si="144"/>
        <v>11237.41463414634</v>
      </c>
      <c r="Z533" s="1146">
        <f t="shared" si="145"/>
        <v>10631.105882352942</v>
      </c>
      <c r="AA533" s="1146">
        <f t="shared" si="146"/>
        <v>606.30875179339819</v>
      </c>
      <c r="AB533" s="1146">
        <f t="shared" si="147"/>
        <v>14206.690909090909</v>
      </c>
      <c r="AC533" s="1146">
        <f t="shared" si="148"/>
        <v>10631.105882352942</v>
      </c>
      <c r="AD533" s="1146">
        <f t="shared" si="149"/>
        <v>3575.5850267379665</v>
      </c>
      <c r="AE533" s="1146">
        <f t="shared" si="150"/>
        <v>11237.41463414634</v>
      </c>
      <c r="AF533" s="1146">
        <f t="shared" si="151"/>
        <v>10631.105882352942</v>
      </c>
      <c r="AG533" s="1146">
        <f t="shared" si="152"/>
        <v>606.30875179339819</v>
      </c>
    </row>
    <row r="534" spans="2:33" ht="14.4">
      <c r="B534" s="1134">
        <v>8922957</v>
      </c>
      <c r="C534" s="1135"/>
      <c r="D534" s="1134">
        <v>483731</v>
      </c>
      <c r="E534" s="1148">
        <v>42174</v>
      </c>
      <c r="F534" s="1137">
        <v>30000</v>
      </c>
      <c r="G534" s="1149">
        <v>13</v>
      </c>
      <c r="H534" s="1137">
        <v>41500</v>
      </c>
      <c r="I534" s="1149">
        <v>15</v>
      </c>
      <c r="J534" s="1138">
        <v>8500</v>
      </c>
      <c r="K534" s="1150"/>
      <c r="L534" s="1140">
        <v>42297</v>
      </c>
      <c r="M534" s="269">
        <f t="shared" si="135"/>
        <v>4</v>
      </c>
      <c r="N534" s="1074">
        <f t="shared" si="153"/>
        <v>225</v>
      </c>
      <c r="O534" s="1087">
        <f t="shared" si="136"/>
        <v>-1261.2615384615383</v>
      </c>
      <c r="P534" s="269">
        <f t="shared" si="154"/>
        <v>1</v>
      </c>
      <c r="Q534" s="269" t="str">
        <f t="shared" si="137"/>
        <v/>
      </c>
      <c r="R534" s="1147"/>
      <c r="S534" s="1143" t="str">
        <f t="shared" si="138"/>
        <v>Upsize</v>
      </c>
      <c r="T534" s="1144">
        <f t="shared" si="139"/>
        <v>1610.6024096385543</v>
      </c>
      <c r="U534" s="1144">
        <f t="shared" si="140"/>
        <v>642.65060240963851</v>
      </c>
      <c r="V534" s="1146">
        <f t="shared" si="141"/>
        <v>6220.6083073552954</v>
      </c>
      <c r="W534" s="1146">
        <f t="shared" si="142"/>
        <v>7593.6470588235288</v>
      </c>
      <c r="X534" s="1146">
        <f t="shared" si="143"/>
        <v>-1373.0387514682334</v>
      </c>
      <c r="Y534" s="1146">
        <f t="shared" si="144"/>
        <v>5802.4516183199703</v>
      </c>
      <c r="Z534" s="1146">
        <f t="shared" si="145"/>
        <v>7593.6470588235288</v>
      </c>
      <c r="AA534" s="1146">
        <f t="shared" si="146"/>
        <v>-1791.1954405035585</v>
      </c>
      <c r="AB534" s="1146">
        <f t="shared" si="147"/>
        <v>8605.1748251748249</v>
      </c>
      <c r="AC534" s="1146">
        <f t="shared" si="148"/>
        <v>7593.6470588235288</v>
      </c>
      <c r="AD534" s="1146">
        <f t="shared" si="149"/>
        <v>1011.5277663512961</v>
      </c>
      <c r="AE534" s="1146">
        <f t="shared" si="150"/>
        <v>8026.7247386759582</v>
      </c>
      <c r="AF534" s="1146">
        <f t="shared" si="151"/>
        <v>7593.6470588235288</v>
      </c>
      <c r="AG534" s="1146">
        <f t="shared" si="152"/>
        <v>433.07767985242936</v>
      </c>
    </row>
    <row r="535" spans="2:33" ht="14.4">
      <c r="B535" s="1134">
        <v>5737796</v>
      </c>
      <c r="C535" s="1135"/>
      <c r="D535" s="1134">
        <v>517884</v>
      </c>
      <c r="E535" s="1148">
        <v>42116</v>
      </c>
      <c r="F535" s="1137">
        <v>40000</v>
      </c>
      <c r="G535" s="1149">
        <v>10</v>
      </c>
      <c r="H535" s="1137">
        <v>46000</v>
      </c>
      <c r="I535" s="1149">
        <v>18</v>
      </c>
      <c r="J535" s="1138">
        <v>10815</v>
      </c>
      <c r="K535" s="1150"/>
      <c r="L535" s="1140">
        <v>42297</v>
      </c>
      <c r="M535" s="269">
        <f t="shared" si="135"/>
        <v>4</v>
      </c>
      <c r="N535" s="1074">
        <f t="shared" si="153"/>
        <v>350</v>
      </c>
      <c r="O535" s="1087">
        <f t="shared" si="136"/>
        <v>3969.3333333333335</v>
      </c>
      <c r="P535" s="269">
        <f t="shared" si="154"/>
        <v>1</v>
      </c>
      <c r="Q535" s="269" t="str">
        <f t="shared" si="137"/>
        <v/>
      </c>
      <c r="R535" s="1147"/>
      <c r="S535" s="1143" t="str">
        <f t="shared" si="138"/>
        <v>Upsize</v>
      </c>
      <c r="T535" s="1144">
        <f t="shared" si="139"/>
        <v>1937.391304347826</v>
      </c>
      <c r="U535" s="1144">
        <f t="shared" si="140"/>
        <v>773.04347826086951</v>
      </c>
      <c r="V535" s="1146">
        <f t="shared" si="141"/>
        <v>11765.375494071144</v>
      </c>
      <c r="W535" s="1146">
        <f t="shared" si="142"/>
        <v>9134.6405228758158</v>
      </c>
      <c r="X535" s="1146">
        <f t="shared" si="143"/>
        <v>2630.7349711953284</v>
      </c>
      <c r="Y535" s="1146">
        <f t="shared" si="144"/>
        <v>9306.3475231025604</v>
      </c>
      <c r="Z535" s="1146">
        <f t="shared" si="145"/>
        <v>9134.6405228758158</v>
      </c>
      <c r="AA535" s="1146">
        <f t="shared" si="146"/>
        <v>171.70700022674464</v>
      </c>
      <c r="AB535" s="1146">
        <f t="shared" si="147"/>
        <v>13530.181818181816</v>
      </c>
      <c r="AC535" s="1146">
        <f t="shared" si="148"/>
        <v>9134.6405228758158</v>
      </c>
      <c r="AD535" s="1146">
        <f t="shared" si="149"/>
        <v>4395.5412953060004</v>
      </c>
      <c r="AE535" s="1146">
        <f t="shared" si="150"/>
        <v>10702.299651567944</v>
      </c>
      <c r="AF535" s="1146">
        <f t="shared" si="151"/>
        <v>9134.6405228758158</v>
      </c>
      <c r="AG535" s="1146">
        <f t="shared" si="152"/>
        <v>1567.6591286921284</v>
      </c>
    </row>
    <row r="536" spans="2:33" ht="14.4">
      <c r="B536" s="1134">
        <v>4512182</v>
      </c>
      <c r="C536" s="1135"/>
      <c r="D536" s="1134">
        <v>151001</v>
      </c>
      <c r="E536" s="1148">
        <v>42159</v>
      </c>
      <c r="F536" s="1137">
        <v>40000</v>
      </c>
      <c r="G536" s="1149">
        <v>10</v>
      </c>
      <c r="H536" s="1137">
        <v>46500</v>
      </c>
      <c r="I536" s="1149">
        <v>15</v>
      </c>
      <c r="J536" s="1138">
        <v>8212</v>
      </c>
      <c r="K536" s="1150"/>
      <c r="L536" s="1140">
        <v>42297</v>
      </c>
      <c r="M536" s="269">
        <f t="shared" si="135"/>
        <v>4</v>
      </c>
      <c r="N536" s="1074">
        <f t="shared" si="153"/>
        <v>250</v>
      </c>
      <c r="O536" s="1087">
        <f t="shared" si="136"/>
        <v>2473.2000000000003</v>
      </c>
      <c r="P536" s="269">
        <f t="shared" si="154"/>
        <v>1</v>
      </c>
      <c r="Q536" s="269" t="str">
        <f t="shared" si="137"/>
        <v/>
      </c>
      <c r="R536" s="1147"/>
      <c r="S536" s="1143" t="str">
        <f t="shared" si="138"/>
        <v>Upsize</v>
      </c>
      <c r="T536" s="1144">
        <f t="shared" si="139"/>
        <v>1916.5591397849462</v>
      </c>
      <c r="U536" s="1144">
        <f t="shared" si="140"/>
        <v>764.73118279569894</v>
      </c>
      <c r="V536" s="1146">
        <f t="shared" si="141"/>
        <v>11638.866080156404</v>
      </c>
      <c r="W536" s="1146">
        <f t="shared" si="142"/>
        <v>10124.862745098038</v>
      </c>
      <c r="X536" s="1146">
        <f t="shared" si="143"/>
        <v>1514.0033350583653</v>
      </c>
      <c r="Y536" s="1146">
        <f t="shared" si="144"/>
        <v>9206.2792701659746</v>
      </c>
      <c r="Z536" s="1146">
        <f t="shared" si="145"/>
        <v>10124.862745098038</v>
      </c>
      <c r="AA536" s="1146">
        <f t="shared" si="146"/>
        <v>-918.58347493206384</v>
      </c>
      <c r="AB536" s="1146">
        <f t="shared" si="147"/>
        <v>13530.18181818182</v>
      </c>
      <c r="AC536" s="1146">
        <f t="shared" si="148"/>
        <v>10124.862745098038</v>
      </c>
      <c r="AD536" s="1146">
        <f t="shared" si="149"/>
        <v>3405.3190730837814</v>
      </c>
      <c r="AE536" s="1146">
        <f t="shared" si="150"/>
        <v>10702.299651567944</v>
      </c>
      <c r="AF536" s="1146">
        <f t="shared" si="151"/>
        <v>10124.862745098038</v>
      </c>
      <c r="AG536" s="1146">
        <f t="shared" si="152"/>
        <v>577.43690646990581</v>
      </c>
    </row>
    <row r="537" spans="2:33" ht="14.4">
      <c r="B537" s="1134">
        <v>1632868</v>
      </c>
      <c r="C537" s="1135"/>
      <c r="D537" s="1134">
        <v>163286</v>
      </c>
      <c r="E537" s="1148">
        <v>42240</v>
      </c>
      <c r="F537" s="1137">
        <v>28000</v>
      </c>
      <c r="G537" s="1149">
        <v>14</v>
      </c>
      <c r="H537" s="1137">
        <v>34600</v>
      </c>
      <c r="I537" s="1149">
        <v>17</v>
      </c>
      <c r="J537" s="1138">
        <v>6437</v>
      </c>
      <c r="K537" s="1150"/>
      <c r="L537" s="1140">
        <v>42297</v>
      </c>
      <c r="M537" s="269">
        <f t="shared" si="135"/>
        <v>4</v>
      </c>
      <c r="N537" s="1074">
        <f t="shared" si="153"/>
        <v>250</v>
      </c>
      <c r="O537" s="1087">
        <f t="shared" si="136"/>
        <v>-96.988235294117544</v>
      </c>
      <c r="P537" s="269">
        <f t="shared" si="154"/>
        <v>1</v>
      </c>
      <c r="Q537" s="269" t="str">
        <f t="shared" si="137"/>
        <v/>
      </c>
      <c r="R537" s="1147"/>
      <c r="S537" s="1143" t="str">
        <f t="shared" si="138"/>
        <v>Upsize</v>
      </c>
      <c r="T537" s="1144">
        <f t="shared" si="139"/>
        <v>1803.005780346821</v>
      </c>
      <c r="U537" s="1144">
        <f t="shared" si="140"/>
        <v>719.4219653179191</v>
      </c>
      <c r="V537" s="1146">
        <f t="shared" si="141"/>
        <v>6222.0914345769843</v>
      </c>
      <c r="W537" s="1146">
        <f t="shared" si="142"/>
        <v>6598.1176470588243</v>
      </c>
      <c r="X537" s="1146">
        <f t="shared" si="143"/>
        <v>-376.02621248184005</v>
      </c>
      <c r="Y537" s="1146">
        <f t="shared" si="144"/>
        <v>6062.5743690962927</v>
      </c>
      <c r="Z537" s="1146">
        <f t="shared" si="145"/>
        <v>6598.1176470588243</v>
      </c>
      <c r="AA537" s="1146">
        <f t="shared" si="146"/>
        <v>-535.54327796253165</v>
      </c>
      <c r="AB537" s="1146">
        <f t="shared" si="147"/>
        <v>7688.727272727273</v>
      </c>
      <c r="AC537" s="1146">
        <f t="shared" si="148"/>
        <v>6598.1176470588243</v>
      </c>
      <c r="AD537" s="1146">
        <f t="shared" si="149"/>
        <v>1090.6096256684486</v>
      </c>
      <c r="AE537" s="1146">
        <f t="shared" si="150"/>
        <v>7491.6097560975622</v>
      </c>
      <c r="AF537" s="1146">
        <f t="shared" si="151"/>
        <v>6598.1176470588243</v>
      </c>
      <c r="AG537" s="1146">
        <f t="shared" si="152"/>
        <v>893.49210903873791</v>
      </c>
    </row>
    <row r="538" spans="2:33" ht="14.4">
      <c r="B538" s="1134">
        <v>7262637</v>
      </c>
      <c r="C538" s="1135"/>
      <c r="D538" s="1134">
        <v>726263</v>
      </c>
      <c r="E538" s="1148">
        <v>42152</v>
      </c>
      <c r="F538" s="1137">
        <v>24000</v>
      </c>
      <c r="G538" s="1149">
        <v>16</v>
      </c>
      <c r="H538" s="1137">
        <v>24000</v>
      </c>
      <c r="I538" s="1149">
        <v>16</v>
      </c>
      <c r="J538" s="1138">
        <v>3130</v>
      </c>
      <c r="K538" s="1150"/>
      <c r="L538" s="1140">
        <v>42297</v>
      </c>
      <c r="M538" s="269">
        <f t="shared" si="135"/>
        <v>4</v>
      </c>
      <c r="N538" s="1074">
        <f t="shared" si="153"/>
        <v>150</v>
      </c>
      <c r="O538" s="1087">
        <f t="shared" si="136"/>
        <v>0</v>
      </c>
      <c r="P538" s="269">
        <f t="shared" si="154"/>
        <v>1</v>
      </c>
      <c r="Q538" s="269" t="str">
        <f t="shared" si="137"/>
        <v/>
      </c>
      <c r="R538" s="1147"/>
      <c r="S538" s="1143" t="str">
        <f t="shared" si="138"/>
        <v>Same Size</v>
      </c>
      <c r="T538" s="1144">
        <f t="shared" si="139"/>
        <v>2228</v>
      </c>
      <c r="U538" s="1144">
        <f t="shared" si="140"/>
        <v>889</v>
      </c>
      <c r="V538" s="1146">
        <f t="shared" si="141"/>
        <v>6112.9090909090901</v>
      </c>
      <c r="W538" s="1146">
        <f t="shared" si="142"/>
        <v>5852.1176470588234</v>
      </c>
      <c r="X538" s="1146">
        <f t="shared" si="143"/>
        <v>260.79144385026666</v>
      </c>
      <c r="Y538" s="1146">
        <f t="shared" si="144"/>
        <v>6421.3797909407658</v>
      </c>
      <c r="Z538" s="1146">
        <f t="shared" si="145"/>
        <v>5852.1176470588234</v>
      </c>
      <c r="AA538" s="1146">
        <f t="shared" si="146"/>
        <v>569.26214388194239</v>
      </c>
      <c r="AB538" s="1146">
        <f t="shared" si="147"/>
        <v>6112.9090909090901</v>
      </c>
      <c r="AC538" s="1146">
        <f t="shared" si="148"/>
        <v>5852.1176470588234</v>
      </c>
      <c r="AD538" s="1146">
        <f t="shared" si="149"/>
        <v>260.79144385026666</v>
      </c>
      <c r="AE538" s="1146">
        <f t="shared" si="150"/>
        <v>6421.3797909407658</v>
      </c>
      <c r="AF538" s="1146">
        <f t="shared" si="151"/>
        <v>5852.1176470588234</v>
      </c>
      <c r="AG538" s="1146">
        <f t="shared" si="152"/>
        <v>569.26214388194239</v>
      </c>
    </row>
    <row r="539" spans="2:33" ht="14.4">
      <c r="B539" s="1134">
        <v>6137335</v>
      </c>
      <c r="C539" s="1135"/>
      <c r="D539" s="1134">
        <v>601567</v>
      </c>
      <c r="E539" s="1148">
        <v>42269</v>
      </c>
      <c r="F539" s="1137">
        <v>30000</v>
      </c>
      <c r="G539" s="1149">
        <v>10</v>
      </c>
      <c r="H539" s="1137">
        <v>34800</v>
      </c>
      <c r="I539" s="1149">
        <v>16</v>
      </c>
      <c r="J539" s="1138">
        <v>4800</v>
      </c>
      <c r="K539" s="1150"/>
      <c r="L539" s="1140">
        <v>42297</v>
      </c>
      <c r="M539" s="269">
        <f t="shared" si="135"/>
        <v>4</v>
      </c>
      <c r="N539" s="1074">
        <f t="shared" si="153"/>
        <v>225</v>
      </c>
      <c r="O539" s="1087">
        <f t="shared" si="136"/>
        <v>2267.1000000000004</v>
      </c>
      <c r="P539" s="269">
        <f t="shared" si="154"/>
        <v>1</v>
      </c>
      <c r="Q539" s="269" t="str">
        <f t="shared" si="137"/>
        <v/>
      </c>
      <c r="R539" s="1147"/>
      <c r="S539" s="1143" t="str">
        <f t="shared" si="138"/>
        <v>Upsize</v>
      </c>
      <c r="T539" s="1144">
        <f t="shared" si="139"/>
        <v>1920.6896551724137</v>
      </c>
      <c r="U539" s="1144">
        <f t="shared" si="140"/>
        <v>766.37931034482756</v>
      </c>
      <c r="V539" s="1146">
        <f t="shared" si="141"/>
        <v>8747.962382445141</v>
      </c>
      <c r="W539" s="1146">
        <f t="shared" si="142"/>
        <v>7315.1470588235279</v>
      </c>
      <c r="X539" s="1146">
        <f t="shared" si="143"/>
        <v>1432.8153236216131</v>
      </c>
      <c r="Y539" s="1146">
        <f t="shared" si="144"/>
        <v>6919.5902919620321</v>
      </c>
      <c r="Z539" s="1146">
        <f t="shared" si="145"/>
        <v>7315.1470588235279</v>
      </c>
      <c r="AA539" s="1146">
        <f t="shared" si="146"/>
        <v>-395.55676686149582</v>
      </c>
      <c r="AB539" s="1146">
        <f t="shared" si="147"/>
        <v>10147.636363636364</v>
      </c>
      <c r="AC539" s="1146">
        <f t="shared" si="148"/>
        <v>7315.1470588235279</v>
      </c>
      <c r="AD539" s="1146">
        <f t="shared" si="149"/>
        <v>2832.4893048128361</v>
      </c>
      <c r="AE539" s="1146">
        <f t="shared" si="150"/>
        <v>8026.7247386759573</v>
      </c>
      <c r="AF539" s="1146">
        <f t="shared" si="151"/>
        <v>7315.1470588235279</v>
      </c>
      <c r="AG539" s="1146">
        <f t="shared" si="152"/>
        <v>711.57767985242936</v>
      </c>
    </row>
    <row r="540" spans="2:33" ht="14.4">
      <c r="B540" s="1134">
        <v>3887239</v>
      </c>
      <c r="C540" s="1135"/>
      <c r="D540" s="1134">
        <v>289782</v>
      </c>
      <c r="E540" s="1148">
        <v>42242</v>
      </c>
      <c r="F540" s="1137">
        <v>47500</v>
      </c>
      <c r="G540" s="1149">
        <v>10</v>
      </c>
      <c r="H540" s="1137">
        <v>47500</v>
      </c>
      <c r="I540" s="1149">
        <v>15</v>
      </c>
      <c r="J540" s="1138">
        <v>4845</v>
      </c>
      <c r="K540" s="1150"/>
      <c r="L540" s="1152">
        <v>42278</v>
      </c>
      <c r="M540" s="269">
        <f t="shared" si="135"/>
        <v>4</v>
      </c>
      <c r="N540" s="1074">
        <f t="shared" si="153"/>
        <v>250</v>
      </c>
      <c r="O540" s="1087">
        <f t="shared" si="136"/>
        <v>4351.0000000000009</v>
      </c>
      <c r="P540" s="269">
        <f t="shared" si="154"/>
        <v>1</v>
      </c>
      <c r="Q540" s="269" t="str">
        <f t="shared" si="137"/>
        <v/>
      </c>
      <c r="R540" s="1147"/>
      <c r="S540" s="1143" t="str">
        <f t="shared" si="138"/>
        <v>Same Size</v>
      </c>
      <c r="T540" s="1144">
        <f t="shared" si="139"/>
        <v>2228</v>
      </c>
      <c r="U540" s="1144">
        <f t="shared" si="140"/>
        <v>889</v>
      </c>
      <c r="V540" s="1146">
        <f t="shared" si="141"/>
        <v>16067.090909090908</v>
      </c>
      <c r="W540" s="1146">
        <f t="shared" si="142"/>
        <v>12023.274509803921</v>
      </c>
      <c r="X540" s="1146">
        <f t="shared" si="143"/>
        <v>4043.8163992869868</v>
      </c>
      <c r="Y540" s="1146">
        <f t="shared" si="144"/>
        <v>12708.980836236933</v>
      </c>
      <c r="Z540" s="1146">
        <f t="shared" si="145"/>
        <v>12023.274509803921</v>
      </c>
      <c r="AA540" s="1146">
        <f t="shared" si="146"/>
        <v>685.70632643301178</v>
      </c>
      <c r="AB540" s="1146">
        <f t="shared" si="147"/>
        <v>16067.090909090908</v>
      </c>
      <c r="AC540" s="1146">
        <f t="shared" si="148"/>
        <v>12023.274509803921</v>
      </c>
      <c r="AD540" s="1146">
        <f t="shared" si="149"/>
        <v>4043.8163992869868</v>
      </c>
      <c r="AE540" s="1146">
        <f t="shared" si="150"/>
        <v>12708.980836236933</v>
      </c>
      <c r="AF540" s="1146">
        <f t="shared" si="151"/>
        <v>12023.274509803921</v>
      </c>
      <c r="AG540" s="1146">
        <f t="shared" si="152"/>
        <v>685.70632643301178</v>
      </c>
    </row>
    <row r="541" spans="2:33" ht="14.4">
      <c r="B541" s="1134">
        <v>8924620</v>
      </c>
      <c r="C541" s="1135"/>
      <c r="D541" s="1134">
        <v>299938</v>
      </c>
      <c r="E541" s="1148">
        <v>42221</v>
      </c>
      <c r="F541" s="1137">
        <v>24000</v>
      </c>
      <c r="G541" s="1149">
        <v>10</v>
      </c>
      <c r="H541" s="1137">
        <v>25200</v>
      </c>
      <c r="I541" s="1149">
        <v>16</v>
      </c>
      <c r="J541" s="1138">
        <v>5783</v>
      </c>
      <c r="K541" s="1150"/>
      <c r="L541" s="1140">
        <v>42297</v>
      </c>
      <c r="M541" s="269">
        <f t="shared" si="135"/>
        <v>4</v>
      </c>
      <c r="N541" s="1074">
        <f t="shared" si="153"/>
        <v>150</v>
      </c>
      <c r="O541" s="1087">
        <f t="shared" si="136"/>
        <v>2267.1000000000004</v>
      </c>
      <c r="P541" s="269">
        <f t="shared" si="154"/>
        <v>1</v>
      </c>
      <c r="Q541" s="269" t="str">
        <f t="shared" si="137"/>
        <v/>
      </c>
      <c r="R541" s="1147"/>
      <c r="S541" s="1143" t="str">
        <f t="shared" si="138"/>
        <v>Upsize</v>
      </c>
      <c r="T541" s="1144">
        <f t="shared" si="139"/>
        <v>2121.9047619047619</v>
      </c>
      <c r="U541" s="1144">
        <f t="shared" si="140"/>
        <v>846.66666666666663</v>
      </c>
      <c r="V541" s="1146">
        <f t="shared" si="141"/>
        <v>7731.5324675324682</v>
      </c>
      <c r="W541" s="1146">
        <f t="shared" si="142"/>
        <v>5852.1176470588234</v>
      </c>
      <c r="X541" s="1146">
        <f t="shared" si="143"/>
        <v>1879.4148204736448</v>
      </c>
      <c r="Y541" s="1146">
        <f t="shared" si="144"/>
        <v>6115.5998008959687</v>
      </c>
      <c r="Z541" s="1146">
        <f t="shared" si="145"/>
        <v>5852.1176470588234</v>
      </c>
      <c r="AA541" s="1146">
        <f t="shared" si="146"/>
        <v>263.48215383714523</v>
      </c>
      <c r="AB541" s="1146">
        <f t="shared" si="147"/>
        <v>8118.1090909090917</v>
      </c>
      <c r="AC541" s="1146">
        <f t="shared" si="148"/>
        <v>5852.1176470588234</v>
      </c>
      <c r="AD541" s="1146">
        <f t="shared" si="149"/>
        <v>2265.9914438502683</v>
      </c>
      <c r="AE541" s="1146">
        <f t="shared" si="150"/>
        <v>6421.3797909407667</v>
      </c>
      <c r="AF541" s="1146">
        <f t="shared" si="151"/>
        <v>5852.1176470588234</v>
      </c>
      <c r="AG541" s="1146">
        <f t="shared" si="152"/>
        <v>569.2621438819433</v>
      </c>
    </row>
    <row r="542" spans="2:33" ht="14.4">
      <c r="B542" s="1134">
        <v>4713129</v>
      </c>
      <c r="C542" s="1135"/>
      <c r="D542" s="1134">
        <v>265803</v>
      </c>
      <c r="E542" s="1148">
        <v>42191</v>
      </c>
      <c r="F542" s="1137">
        <v>48000</v>
      </c>
      <c r="G542" s="1149">
        <v>10</v>
      </c>
      <c r="H542" s="1137">
        <v>48000</v>
      </c>
      <c r="I542" s="1149">
        <v>20</v>
      </c>
      <c r="J542" s="1138">
        <v>12346</v>
      </c>
      <c r="K542" s="1150"/>
      <c r="L542" s="1140">
        <v>42297</v>
      </c>
      <c r="M542" s="269">
        <f t="shared" si="135"/>
        <v>4</v>
      </c>
      <c r="N542" s="1074">
        <f t="shared" si="153"/>
        <v>400</v>
      </c>
      <c r="O542" s="1087">
        <f t="shared" si="136"/>
        <v>6595.2000000000007</v>
      </c>
      <c r="P542" s="269">
        <f t="shared" si="154"/>
        <v>1</v>
      </c>
      <c r="Q542" s="269" t="str">
        <f t="shared" si="137"/>
        <v/>
      </c>
      <c r="R542" s="1147"/>
      <c r="S542" s="1143" t="str">
        <f t="shared" si="138"/>
        <v>Same Size</v>
      </c>
      <c r="T542" s="1144">
        <f t="shared" si="139"/>
        <v>2228</v>
      </c>
      <c r="U542" s="1144">
        <f t="shared" si="140"/>
        <v>889</v>
      </c>
      <c r="V542" s="1146">
        <f t="shared" si="141"/>
        <v>16236.218181818182</v>
      </c>
      <c r="W542" s="1146">
        <f t="shared" si="142"/>
        <v>10367.435294117648</v>
      </c>
      <c r="X542" s="1146">
        <f t="shared" si="143"/>
        <v>5868.782887700534</v>
      </c>
      <c r="Y542" s="1146">
        <f t="shared" si="144"/>
        <v>12842.759581881532</v>
      </c>
      <c r="Z542" s="1146">
        <f t="shared" si="145"/>
        <v>10367.435294117648</v>
      </c>
      <c r="AA542" s="1146">
        <f t="shared" si="146"/>
        <v>2475.3242877638841</v>
      </c>
      <c r="AB542" s="1146">
        <f t="shared" si="147"/>
        <v>16236.218181818182</v>
      </c>
      <c r="AC542" s="1146">
        <f t="shared" si="148"/>
        <v>10367.435294117648</v>
      </c>
      <c r="AD542" s="1146">
        <f t="shared" si="149"/>
        <v>5868.782887700534</v>
      </c>
      <c r="AE542" s="1146">
        <f t="shared" si="150"/>
        <v>12842.759581881532</v>
      </c>
      <c r="AF542" s="1146">
        <f t="shared" si="151"/>
        <v>10367.435294117648</v>
      </c>
      <c r="AG542" s="1146">
        <f t="shared" si="152"/>
        <v>2475.3242877638841</v>
      </c>
    </row>
    <row r="543" spans="2:33" ht="14.4">
      <c r="B543" s="1134">
        <v>7053895</v>
      </c>
      <c r="C543" s="1135"/>
      <c r="D543" s="1134">
        <v>670184</v>
      </c>
      <c r="E543" s="1148">
        <v>42209</v>
      </c>
      <c r="F543" s="1137">
        <v>42000</v>
      </c>
      <c r="G543" s="1149">
        <v>13</v>
      </c>
      <c r="H543" s="1137">
        <v>47000</v>
      </c>
      <c r="I543" s="1149">
        <v>16</v>
      </c>
      <c r="J543" s="1138">
        <v>7000</v>
      </c>
      <c r="K543" s="1150"/>
      <c r="L543" s="1140">
        <v>42297</v>
      </c>
      <c r="M543" s="269">
        <f t="shared" si="135"/>
        <v>4</v>
      </c>
      <c r="N543" s="1074">
        <f t="shared" si="153"/>
        <v>300</v>
      </c>
      <c r="O543" s="1087">
        <f t="shared" si="136"/>
        <v>805.90384615384664</v>
      </c>
      <c r="P543" s="269">
        <f t="shared" si="154"/>
        <v>1</v>
      </c>
      <c r="Q543" s="269" t="str">
        <f t="shared" si="137"/>
        <v/>
      </c>
      <c r="R543" s="1147"/>
      <c r="S543" s="1143" t="str">
        <f t="shared" si="138"/>
        <v>Upsize</v>
      </c>
      <c r="T543" s="1144">
        <f t="shared" si="139"/>
        <v>1990.9787234042553</v>
      </c>
      <c r="U543" s="1144">
        <f t="shared" si="140"/>
        <v>794.42553191489355</v>
      </c>
      <c r="V543" s="1146">
        <f t="shared" si="141"/>
        <v>10765.622972771909</v>
      </c>
      <c r="W543" s="1146">
        <f t="shared" si="142"/>
        <v>10241.205882352941</v>
      </c>
      <c r="X543" s="1146">
        <f t="shared" si="143"/>
        <v>524.41709041896866</v>
      </c>
      <c r="Y543" s="1146">
        <f t="shared" si="144"/>
        <v>10041.94499221588</v>
      </c>
      <c r="Z543" s="1146">
        <f t="shared" si="145"/>
        <v>10241.205882352941</v>
      </c>
      <c r="AA543" s="1146">
        <f t="shared" si="146"/>
        <v>-199.26089013706041</v>
      </c>
      <c r="AB543" s="1146">
        <f t="shared" si="147"/>
        <v>12047.244755244756</v>
      </c>
      <c r="AC543" s="1146">
        <f t="shared" si="148"/>
        <v>10241.205882352941</v>
      </c>
      <c r="AD543" s="1146">
        <f t="shared" si="149"/>
        <v>1806.0388728918151</v>
      </c>
      <c r="AE543" s="1146">
        <f t="shared" si="150"/>
        <v>11237.414634146342</v>
      </c>
      <c r="AF543" s="1146">
        <f t="shared" si="151"/>
        <v>10241.205882352941</v>
      </c>
      <c r="AG543" s="1146">
        <f t="shared" si="152"/>
        <v>996.20875179340146</v>
      </c>
    </row>
    <row r="544" spans="2:33" ht="14.4">
      <c r="B544" s="1134">
        <v>1250984</v>
      </c>
      <c r="C544" s="1135"/>
      <c r="D544" s="1134">
        <v>125098</v>
      </c>
      <c r="E544" s="1148">
        <v>42219</v>
      </c>
      <c r="F544" s="1137">
        <v>30000</v>
      </c>
      <c r="G544" s="1149">
        <v>14</v>
      </c>
      <c r="H544" s="1137">
        <v>48500</v>
      </c>
      <c r="I544" s="1149">
        <v>15</v>
      </c>
      <c r="J544" s="1138">
        <v>6770.11</v>
      </c>
      <c r="K544" s="1150"/>
      <c r="L544" s="1140">
        <v>42297</v>
      </c>
      <c r="M544" s="269">
        <f t="shared" si="135"/>
        <v>4</v>
      </c>
      <c r="N544" s="1074">
        <f t="shared" si="153"/>
        <v>250</v>
      </c>
      <c r="O544" s="1087">
        <f t="shared" si="136"/>
        <v>-2996.6285714285727</v>
      </c>
      <c r="P544" s="269">
        <f t="shared" si="154"/>
        <v>1</v>
      </c>
      <c r="Q544" s="269" t="str">
        <f t="shared" si="137"/>
        <v/>
      </c>
      <c r="R544" s="1147"/>
      <c r="S544" s="1143" t="str">
        <f t="shared" si="138"/>
        <v>Upsize</v>
      </c>
      <c r="T544" s="1144">
        <f t="shared" si="139"/>
        <v>1378.1443298969073</v>
      </c>
      <c r="U544" s="1144">
        <f t="shared" si="140"/>
        <v>549.89690721649481</v>
      </c>
      <c r="V544" s="1146">
        <f t="shared" si="141"/>
        <v>5095.6219038693262</v>
      </c>
      <c r="W544" s="1146">
        <f t="shared" si="142"/>
        <v>7593.6470588235288</v>
      </c>
      <c r="X544" s="1146">
        <f t="shared" si="143"/>
        <v>-2498.0251549542027</v>
      </c>
      <c r="Y544" s="1146">
        <f t="shared" si="144"/>
        <v>4964.9843744387372</v>
      </c>
      <c r="Z544" s="1146">
        <f t="shared" si="145"/>
        <v>7593.6470588235288</v>
      </c>
      <c r="AA544" s="1146">
        <f t="shared" si="146"/>
        <v>-2628.6626843847916</v>
      </c>
      <c r="AB544" s="1146">
        <f t="shared" si="147"/>
        <v>8237.9220779220777</v>
      </c>
      <c r="AC544" s="1146">
        <f t="shared" si="148"/>
        <v>7593.6470588235288</v>
      </c>
      <c r="AD544" s="1146">
        <f t="shared" si="149"/>
        <v>644.27501909854891</v>
      </c>
      <c r="AE544" s="1146">
        <f t="shared" si="150"/>
        <v>8026.7247386759591</v>
      </c>
      <c r="AF544" s="1146">
        <f t="shared" si="151"/>
        <v>7593.6470588235288</v>
      </c>
      <c r="AG544" s="1146">
        <f t="shared" si="152"/>
        <v>433.07767985243026</v>
      </c>
    </row>
    <row r="545" spans="2:33" ht="14.4">
      <c r="B545" s="1134">
        <v>6210926</v>
      </c>
      <c r="C545" s="1135"/>
      <c r="D545" s="1134">
        <v>102716</v>
      </c>
      <c r="E545" s="1148">
        <v>42223</v>
      </c>
      <c r="F545" s="1137">
        <v>47000</v>
      </c>
      <c r="G545" s="1149">
        <v>10</v>
      </c>
      <c r="H545" s="1137">
        <v>47000</v>
      </c>
      <c r="I545" s="1149">
        <v>16</v>
      </c>
      <c r="J545" s="1138">
        <v>9028.01</v>
      </c>
      <c r="K545" s="1150"/>
      <c r="L545" s="1140">
        <v>42297</v>
      </c>
      <c r="M545" s="269">
        <f t="shared" si="135"/>
        <v>4</v>
      </c>
      <c r="N545" s="1074">
        <f t="shared" si="153"/>
        <v>300</v>
      </c>
      <c r="O545" s="1087">
        <f t="shared" si="136"/>
        <v>4843.3500000000004</v>
      </c>
      <c r="P545" s="269">
        <f t="shared" si="154"/>
        <v>1</v>
      </c>
      <c r="Q545" s="269" t="str">
        <f t="shared" si="137"/>
        <v/>
      </c>
      <c r="R545" s="1147"/>
      <c r="S545" s="1143" t="str">
        <f t="shared" si="138"/>
        <v>Same Size</v>
      </c>
      <c r="T545" s="1144">
        <f t="shared" si="139"/>
        <v>2228</v>
      </c>
      <c r="U545" s="1144">
        <f t="shared" si="140"/>
        <v>889</v>
      </c>
      <c r="V545" s="1146">
        <f t="shared" si="141"/>
        <v>15897.963636363636</v>
      </c>
      <c r="W545" s="1146">
        <f t="shared" si="142"/>
        <v>11460.39705882353</v>
      </c>
      <c r="X545" s="1146">
        <f t="shared" si="143"/>
        <v>4437.5665775401067</v>
      </c>
      <c r="Y545" s="1146">
        <f t="shared" si="144"/>
        <v>12575.202090592335</v>
      </c>
      <c r="Z545" s="1146">
        <f t="shared" si="145"/>
        <v>11460.39705882353</v>
      </c>
      <c r="AA545" s="1146">
        <f t="shared" si="146"/>
        <v>1114.8050317688048</v>
      </c>
      <c r="AB545" s="1146">
        <f t="shared" si="147"/>
        <v>15897.963636363636</v>
      </c>
      <c r="AC545" s="1146">
        <f t="shared" si="148"/>
        <v>11460.39705882353</v>
      </c>
      <c r="AD545" s="1146">
        <f t="shared" si="149"/>
        <v>4437.5665775401067</v>
      </c>
      <c r="AE545" s="1146">
        <f t="shared" si="150"/>
        <v>12575.202090592335</v>
      </c>
      <c r="AF545" s="1146">
        <f t="shared" si="151"/>
        <v>11460.39705882353</v>
      </c>
      <c r="AG545" s="1146">
        <f t="shared" si="152"/>
        <v>1114.8050317688048</v>
      </c>
    </row>
    <row r="546" spans="2:33" ht="14.4">
      <c r="B546" s="1134">
        <v>8823253</v>
      </c>
      <c r="C546" s="1135"/>
      <c r="D546" s="1134">
        <v>148448</v>
      </c>
      <c r="E546" s="1148">
        <v>42238</v>
      </c>
      <c r="F546" s="1137">
        <v>47000</v>
      </c>
      <c r="G546" s="1149">
        <v>10</v>
      </c>
      <c r="H546" s="1137">
        <v>47000</v>
      </c>
      <c r="I546" s="1149">
        <v>16</v>
      </c>
      <c r="J546" s="1138">
        <v>7640.83</v>
      </c>
      <c r="K546" s="1150"/>
      <c r="L546" s="1140">
        <v>42297</v>
      </c>
      <c r="M546" s="269">
        <f t="shared" si="135"/>
        <v>4</v>
      </c>
      <c r="N546" s="1074">
        <f t="shared" si="153"/>
        <v>300</v>
      </c>
      <c r="O546" s="1087">
        <f t="shared" si="136"/>
        <v>4843.3500000000004</v>
      </c>
      <c r="P546" s="269">
        <f t="shared" si="154"/>
        <v>1</v>
      </c>
      <c r="Q546" s="269" t="str">
        <f t="shared" si="137"/>
        <v/>
      </c>
      <c r="R546" s="1147"/>
      <c r="S546" s="1143" t="str">
        <f t="shared" si="138"/>
        <v>Same Size</v>
      </c>
      <c r="T546" s="1144">
        <f t="shared" si="139"/>
        <v>2228</v>
      </c>
      <c r="U546" s="1144">
        <f t="shared" si="140"/>
        <v>889</v>
      </c>
      <c r="V546" s="1146">
        <f t="shared" si="141"/>
        <v>15897.963636363636</v>
      </c>
      <c r="W546" s="1146">
        <f t="shared" si="142"/>
        <v>11460.39705882353</v>
      </c>
      <c r="X546" s="1146">
        <f t="shared" si="143"/>
        <v>4437.5665775401067</v>
      </c>
      <c r="Y546" s="1146">
        <f t="shared" si="144"/>
        <v>12575.202090592335</v>
      </c>
      <c r="Z546" s="1146">
        <f t="shared" si="145"/>
        <v>11460.39705882353</v>
      </c>
      <c r="AA546" s="1146">
        <f t="shared" si="146"/>
        <v>1114.8050317688048</v>
      </c>
      <c r="AB546" s="1146">
        <f t="shared" si="147"/>
        <v>15897.963636363636</v>
      </c>
      <c r="AC546" s="1146">
        <f t="shared" si="148"/>
        <v>11460.39705882353</v>
      </c>
      <c r="AD546" s="1146">
        <f t="shared" si="149"/>
        <v>4437.5665775401067</v>
      </c>
      <c r="AE546" s="1146">
        <f t="shared" si="150"/>
        <v>12575.202090592335</v>
      </c>
      <c r="AF546" s="1146">
        <f t="shared" si="151"/>
        <v>11460.39705882353</v>
      </c>
      <c r="AG546" s="1146">
        <f t="shared" si="152"/>
        <v>1114.8050317688048</v>
      </c>
    </row>
    <row r="547" spans="2:33" ht="14.4">
      <c r="B547" s="1134">
        <v>545166</v>
      </c>
      <c r="C547" s="1135"/>
      <c r="D547" s="1134">
        <v>198423</v>
      </c>
      <c r="E547" s="1148">
        <v>42259</v>
      </c>
      <c r="F547" s="1137">
        <v>30000</v>
      </c>
      <c r="G547" s="1149">
        <v>8</v>
      </c>
      <c r="H547" s="1137">
        <v>35000</v>
      </c>
      <c r="I547" s="1149">
        <v>16</v>
      </c>
      <c r="J547" s="1138">
        <v>7592.68</v>
      </c>
      <c r="K547" s="1150"/>
      <c r="L547" s="1140">
        <v>42297</v>
      </c>
      <c r="M547" s="269">
        <f t="shared" si="135"/>
        <v>4</v>
      </c>
      <c r="N547" s="1074">
        <f t="shared" si="153"/>
        <v>225</v>
      </c>
      <c r="O547" s="1087">
        <f t="shared" si="136"/>
        <v>4293.75</v>
      </c>
      <c r="P547" s="269">
        <f t="shared" si="154"/>
        <v>1</v>
      </c>
      <c r="Q547" s="269" t="str">
        <f t="shared" si="137"/>
        <v/>
      </c>
      <c r="R547" s="1147"/>
      <c r="S547" s="1143" t="str">
        <f t="shared" si="138"/>
        <v>Upsize</v>
      </c>
      <c r="T547" s="1144">
        <f t="shared" si="139"/>
        <v>1909.7142857142856</v>
      </c>
      <c r="U547" s="1144">
        <f t="shared" si="140"/>
        <v>762</v>
      </c>
      <c r="V547" s="1146">
        <f t="shared" si="141"/>
        <v>10130.259740259739</v>
      </c>
      <c r="W547" s="1146">
        <f t="shared" si="142"/>
        <v>7315.1470588235288</v>
      </c>
      <c r="X547" s="1146">
        <f t="shared" si="143"/>
        <v>2815.1126814362096</v>
      </c>
      <c r="Y547" s="1146">
        <f t="shared" si="144"/>
        <v>6880.0497760079643</v>
      </c>
      <c r="Z547" s="1146">
        <f t="shared" si="145"/>
        <v>7315.1470588235288</v>
      </c>
      <c r="AA547" s="1146">
        <f t="shared" si="146"/>
        <v>-435.09728281556454</v>
      </c>
      <c r="AB547" s="1146">
        <f t="shared" si="147"/>
        <v>11818.636363636362</v>
      </c>
      <c r="AC547" s="1146">
        <f t="shared" si="148"/>
        <v>7315.1470588235288</v>
      </c>
      <c r="AD547" s="1146">
        <f t="shared" si="149"/>
        <v>4503.4893048128333</v>
      </c>
      <c r="AE547" s="1146">
        <f t="shared" si="150"/>
        <v>8026.7247386759582</v>
      </c>
      <c r="AF547" s="1146">
        <f t="shared" si="151"/>
        <v>7315.1470588235288</v>
      </c>
      <c r="AG547" s="1146">
        <f t="shared" si="152"/>
        <v>711.57767985242936</v>
      </c>
    </row>
    <row r="548" spans="2:33" ht="14.4">
      <c r="B548" s="1134">
        <v>1087949</v>
      </c>
      <c r="C548" s="1135"/>
      <c r="D548" s="1134">
        <v>108794</v>
      </c>
      <c r="E548" s="1148">
        <v>42242</v>
      </c>
      <c r="F548" s="1137">
        <v>30000</v>
      </c>
      <c r="G548" s="1149">
        <v>12</v>
      </c>
      <c r="H548" s="1137">
        <v>34200</v>
      </c>
      <c r="I548" s="1149">
        <v>15</v>
      </c>
      <c r="J548" s="1138">
        <v>7549</v>
      </c>
      <c r="K548" s="1150"/>
      <c r="L548" s="1140">
        <v>42297</v>
      </c>
      <c r="M548" s="269">
        <f t="shared" si="135"/>
        <v>4</v>
      </c>
      <c r="N548" s="1074">
        <f t="shared" si="153"/>
        <v>175</v>
      </c>
      <c r="O548" s="1087">
        <f t="shared" si="136"/>
        <v>604.56000000000006</v>
      </c>
      <c r="P548" s="269">
        <f t="shared" si="154"/>
        <v>1</v>
      </c>
      <c r="Q548" s="269" t="str">
        <f t="shared" si="137"/>
        <v/>
      </c>
      <c r="R548" s="1147"/>
      <c r="S548" s="1143" t="str">
        <f t="shared" si="138"/>
        <v>Upsize</v>
      </c>
      <c r="T548" s="1144">
        <f t="shared" si="139"/>
        <v>1954.3859649122805</v>
      </c>
      <c r="U548" s="1144">
        <f t="shared" si="140"/>
        <v>779.82456140350871</v>
      </c>
      <c r="V548" s="1146">
        <f t="shared" si="141"/>
        <v>7924.242424242424</v>
      </c>
      <c r="W548" s="1146">
        <f t="shared" si="142"/>
        <v>7593.6470588235297</v>
      </c>
      <c r="X548" s="1146">
        <f t="shared" si="143"/>
        <v>330.59536541889429</v>
      </c>
      <c r="Y548" s="1146">
        <f t="shared" si="144"/>
        <v>7040.9866128736476</v>
      </c>
      <c r="Z548" s="1146">
        <f t="shared" si="145"/>
        <v>7593.6470588235297</v>
      </c>
      <c r="AA548" s="1146">
        <f t="shared" si="146"/>
        <v>-552.66044594988216</v>
      </c>
      <c r="AB548" s="1146">
        <f t="shared" si="147"/>
        <v>9033.636363636364</v>
      </c>
      <c r="AC548" s="1146">
        <f t="shared" si="148"/>
        <v>7593.6470588235297</v>
      </c>
      <c r="AD548" s="1146">
        <f t="shared" si="149"/>
        <v>1439.9893048128342</v>
      </c>
      <c r="AE548" s="1146">
        <f t="shared" si="150"/>
        <v>8026.7247386759591</v>
      </c>
      <c r="AF548" s="1146">
        <f t="shared" si="151"/>
        <v>7593.6470588235297</v>
      </c>
      <c r="AG548" s="1146">
        <f t="shared" si="152"/>
        <v>433.07767985242936</v>
      </c>
    </row>
    <row r="549" spans="2:33" ht="14.4">
      <c r="B549" s="1134">
        <v>8023566</v>
      </c>
      <c r="C549" s="1135"/>
      <c r="D549" s="1134">
        <v>146915</v>
      </c>
      <c r="E549" s="1148">
        <v>42229</v>
      </c>
      <c r="F549" s="1137">
        <v>40000</v>
      </c>
      <c r="G549" s="1149">
        <v>10</v>
      </c>
      <c r="H549" s="1137">
        <v>48500</v>
      </c>
      <c r="I549" s="1149">
        <v>15</v>
      </c>
      <c r="J549" s="1138">
        <v>5200</v>
      </c>
      <c r="K549" s="1150"/>
      <c r="L549" s="1140">
        <v>42297</v>
      </c>
      <c r="M549" s="269">
        <f t="shared" si="135"/>
        <v>4</v>
      </c>
      <c r="N549" s="1074">
        <f t="shared" si="153"/>
        <v>250</v>
      </c>
      <c r="O549" s="1087">
        <f t="shared" si="136"/>
        <v>2106.7999999999997</v>
      </c>
      <c r="P549" s="269">
        <f t="shared" si="154"/>
        <v>1</v>
      </c>
      <c r="Q549" s="269" t="str">
        <f t="shared" si="137"/>
        <v/>
      </c>
      <c r="R549" s="1147"/>
      <c r="S549" s="1143" t="str">
        <f t="shared" si="138"/>
        <v>Upsize</v>
      </c>
      <c r="T549" s="1144">
        <f t="shared" si="139"/>
        <v>1837.5257731958761</v>
      </c>
      <c r="U549" s="1144">
        <f t="shared" si="140"/>
        <v>733.19587628865975</v>
      </c>
      <c r="V549" s="1146">
        <f t="shared" si="141"/>
        <v>11158.912839737583</v>
      </c>
      <c r="W549" s="1146">
        <f t="shared" si="142"/>
        <v>10124.862745098038</v>
      </c>
      <c r="X549" s="1146">
        <f t="shared" si="143"/>
        <v>1034.0500946395441</v>
      </c>
      <c r="Y549" s="1146">
        <f t="shared" si="144"/>
        <v>8826.6388878910875</v>
      </c>
      <c r="Z549" s="1146">
        <f t="shared" si="145"/>
        <v>10124.862745098038</v>
      </c>
      <c r="AA549" s="1146">
        <f t="shared" si="146"/>
        <v>-1298.2238572069509</v>
      </c>
      <c r="AB549" s="1146">
        <f t="shared" si="147"/>
        <v>13530.181818181818</v>
      </c>
      <c r="AC549" s="1146">
        <f t="shared" si="148"/>
        <v>10124.862745098038</v>
      </c>
      <c r="AD549" s="1146">
        <f t="shared" si="149"/>
        <v>3405.3190730837796</v>
      </c>
      <c r="AE549" s="1146">
        <f t="shared" si="150"/>
        <v>10702.299651567944</v>
      </c>
      <c r="AF549" s="1146">
        <f t="shared" si="151"/>
        <v>10124.862745098038</v>
      </c>
      <c r="AG549" s="1146">
        <f t="shared" si="152"/>
        <v>577.43690646990581</v>
      </c>
    </row>
    <row r="550" spans="2:33" ht="14.4">
      <c r="B550" s="1134">
        <v>1428226</v>
      </c>
      <c r="C550" s="1135"/>
      <c r="D550" s="1134">
        <v>142822</v>
      </c>
      <c r="E550" s="1148">
        <v>42255</v>
      </c>
      <c r="F550" s="1137">
        <v>48000</v>
      </c>
      <c r="G550" s="1149">
        <v>10</v>
      </c>
      <c r="H550" s="1137">
        <v>47000</v>
      </c>
      <c r="I550" s="1149">
        <v>17</v>
      </c>
      <c r="J550" s="1138">
        <v>7200</v>
      </c>
      <c r="K550" s="1150"/>
      <c r="L550" s="1140">
        <v>42292</v>
      </c>
      <c r="M550" s="269">
        <f t="shared" si="135"/>
        <v>4</v>
      </c>
      <c r="N550" s="1074">
        <f t="shared" si="155" ref="N550:N581">IF(L550&gt;40000,IFERROR(INDEX($E$12:$I$19,IF(H550&lt;=15000,1,IF(H550&gt;60000,"No Rebate",IF(H550&gt;54000,8,MIN(ROUND((H550-0.001)/6000,0)-1,7)))),IF(I550&lt;15,0,IF(I550&gt;18.5,5,ROUND(I550-14.001,0)))),"No Rebate"),"")</f>
        <v>325</v>
      </c>
      <c r="O550" s="1087">
        <f t="shared" si="136"/>
        <v>5592.9882352941186</v>
      </c>
      <c r="P550" s="269">
        <f t="shared" si="154"/>
        <v>1</v>
      </c>
      <c r="Q550" s="269" t="str">
        <f t="shared" si="137"/>
        <v/>
      </c>
      <c r="R550" s="1147"/>
      <c r="S550" s="1143" t="str">
        <f t="shared" si="138"/>
        <v>Downsize</v>
      </c>
      <c r="T550" s="1144">
        <f t="shared" si="139"/>
        <v>2275.4042553191489</v>
      </c>
      <c r="U550" s="1144">
        <f t="shared" si="140"/>
        <v>907.91489361702122</v>
      </c>
      <c r="V550" s="1146">
        <f t="shared" si="141"/>
        <v>16581.669632495163</v>
      </c>
      <c r="W550" s="1146">
        <f t="shared" si="142"/>
        <v>11311.058823529413</v>
      </c>
      <c r="X550" s="1146">
        <f t="shared" si="143"/>
        <v>5270.61080896575</v>
      </c>
      <c r="Y550" s="1146">
        <f t="shared" si="144"/>
        <v>13116.009785751354</v>
      </c>
      <c r="Z550" s="1146">
        <f t="shared" si="145"/>
        <v>11311.058823529413</v>
      </c>
      <c r="AA550" s="1146">
        <f t="shared" si="146"/>
        <v>1804.9509622219412</v>
      </c>
      <c r="AB550" s="1146">
        <f t="shared" si="147"/>
        <v>16236.218181818182</v>
      </c>
      <c r="AC550" s="1146">
        <f t="shared" si="148"/>
        <v>11311.058823529413</v>
      </c>
      <c r="AD550" s="1146">
        <f t="shared" si="149"/>
        <v>4925.159358288769</v>
      </c>
      <c r="AE550" s="1146">
        <f t="shared" si="150"/>
        <v>12842.759581881533</v>
      </c>
      <c r="AF550" s="1146">
        <f t="shared" si="151"/>
        <v>11311.058823529413</v>
      </c>
      <c r="AG550" s="1146">
        <f t="shared" si="152"/>
        <v>1531.7007583521208</v>
      </c>
    </row>
    <row r="551" spans="2:33" ht="14.4">
      <c r="B551" s="1134">
        <v>887471</v>
      </c>
      <c r="C551" s="1135"/>
      <c r="D551" s="1134">
        <v>88747</v>
      </c>
      <c r="E551" s="1148">
        <v>42229</v>
      </c>
      <c r="F551" s="1137">
        <v>30000</v>
      </c>
      <c r="G551" s="1149">
        <v>13</v>
      </c>
      <c r="H551" s="1137">
        <v>42000</v>
      </c>
      <c r="I551" s="1149">
        <v>15</v>
      </c>
      <c r="J551" s="1138">
        <v>11809</v>
      </c>
      <c r="K551" s="1150"/>
      <c r="L551" s="1140">
        <v>42292</v>
      </c>
      <c r="M551" s="269">
        <f t="shared" si="135"/>
        <v>4</v>
      </c>
      <c r="N551" s="1074">
        <f t="shared" si="155"/>
        <v>225</v>
      </c>
      <c r="O551" s="1087">
        <f t="shared" si="136"/>
        <v>-1352.8615384615387</v>
      </c>
      <c r="P551" s="269">
        <f t="shared" si="154"/>
        <v>1</v>
      </c>
      <c r="Q551" s="269" t="str">
        <f t="shared" si="137"/>
        <v/>
      </c>
      <c r="R551" s="1147"/>
      <c r="S551" s="1143" t="str">
        <f t="shared" si="138"/>
        <v>Upsize</v>
      </c>
      <c r="T551" s="1144">
        <f t="shared" si="139"/>
        <v>1591.4285714285716</v>
      </c>
      <c r="U551" s="1144">
        <f t="shared" si="140"/>
        <v>635</v>
      </c>
      <c r="V551" s="1146">
        <f t="shared" si="141"/>
        <v>6146.5534465534465</v>
      </c>
      <c r="W551" s="1146">
        <f t="shared" si="142"/>
        <v>7593.6470588235297</v>
      </c>
      <c r="X551" s="1146">
        <f t="shared" si="143"/>
        <v>-1447.0936122700832</v>
      </c>
      <c r="Y551" s="1146">
        <f t="shared" si="144"/>
        <v>5733.3748133399704</v>
      </c>
      <c r="Z551" s="1146">
        <f t="shared" si="145"/>
        <v>7593.6470588235297</v>
      </c>
      <c r="AA551" s="1146">
        <f t="shared" si="146"/>
        <v>-1860.2722454835594</v>
      </c>
      <c r="AB551" s="1146">
        <f t="shared" si="147"/>
        <v>8605.1748251748249</v>
      </c>
      <c r="AC551" s="1146">
        <f t="shared" si="148"/>
        <v>7593.6470588235297</v>
      </c>
      <c r="AD551" s="1146">
        <f t="shared" si="149"/>
        <v>1011.5277663512952</v>
      </c>
      <c r="AE551" s="1146">
        <f t="shared" si="150"/>
        <v>8026.7247386759591</v>
      </c>
      <c r="AF551" s="1146">
        <f t="shared" si="151"/>
        <v>7593.6470588235297</v>
      </c>
      <c r="AG551" s="1146">
        <f t="shared" si="152"/>
        <v>433.07767985242936</v>
      </c>
    </row>
    <row r="552" spans="2:33" ht="14.4">
      <c r="B552" s="1134">
        <v>4616959</v>
      </c>
      <c r="C552" s="1135"/>
      <c r="D552" s="1134">
        <v>451231</v>
      </c>
      <c r="E552" s="1148">
        <v>42153</v>
      </c>
      <c r="F552" s="1137">
        <v>30000</v>
      </c>
      <c r="G552" s="1149">
        <v>10</v>
      </c>
      <c r="H552" s="1137">
        <v>36000</v>
      </c>
      <c r="I552" s="1149">
        <v>17</v>
      </c>
      <c r="J552" s="1138">
        <v>6028</v>
      </c>
      <c r="K552" s="1150"/>
      <c r="L552" s="1140">
        <v>42292</v>
      </c>
      <c r="M552" s="269">
        <f t="shared" si="135"/>
        <v>4</v>
      </c>
      <c r="N552" s="1074">
        <f t="shared" si="155"/>
        <v>250</v>
      </c>
      <c r="O552" s="1087">
        <f t="shared" si="136"/>
        <v>2424.7058823529419</v>
      </c>
      <c r="P552" s="269">
        <f t="shared" si="154"/>
        <v>1</v>
      </c>
      <c r="Q552" s="269" t="str">
        <f t="shared" si="137"/>
        <v/>
      </c>
      <c r="R552" s="1147"/>
      <c r="S552" s="1143" t="str">
        <f t="shared" si="138"/>
        <v>Upsize</v>
      </c>
      <c r="T552" s="1144">
        <f t="shared" si="139"/>
        <v>1856.6666666666667</v>
      </c>
      <c r="U552" s="1144">
        <f t="shared" si="140"/>
        <v>740.83333333333337</v>
      </c>
      <c r="V552" s="1146">
        <f t="shared" si="141"/>
        <v>8456.363636363636</v>
      </c>
      <c r="W552" s="1146">
        <f t="shared" si="142"/>
        <v>7069.4117647058829</v>
      </c>
      <c r="X552" s="1146">
        <f t="shared" si="143"/>
        <v>1386.9518716577531</v>
      </c>
      <c r="Y552" s="1146">
        <f t="shared" si="144"/>
        <v>6688.9372822299647</v>
      </c>
      <c r="Z552" s="1146">
        <f t="shared" si="145"/>
        <v>7069.4117647058829</v>
      </c>
      <c r="AA552" s="1146">
        <f t="shared" si="146"/>
        <v>-380.47448247591819</v>
      </c>
      <c r="AB552" s="1146">
        <f t="shared" si="147"/>
        <v>10147.636363636364</v>
      </c>
      <c r="AC552" s="1146">
        <f t="shared" si="148"/>
        <v>7069.4117647058829</v>
      </c>
      <c r="AD552" s="1146">
        <f t="shared" si="149"/>
        <v>3078.2245989304811</v>
      </c>
      <c r="AE552" s="1146">
        <f t="shared" si="150"/>
        <v>8026.7247386759582</v>
      </c>
      <c r="AF552" s="1146">
        <f t="shared" si="151"/>
        <v>7069.4117647058829</v>
      </c>
      <c r="AG552" s="1146">
        <f t="shared" si="152"/>
        <v>957.31297397007529</v>
      </c>
    </row>
    <row r="553" spans="2:33" ht="14.4">
      <c r="B553" s="1134">
        <v>5556634</v>
      </c>
      <c r="C553" s="1135"/>
      <c r="D553" s="1134">
        <v>540885</v>
      </c>
      <c r="E553" s="1148">
        <v>42158</v>
      </c>
      <c r="F553" s="1137">
        <v>35000</v>
      </c>
      <c r="G553" s="1149">
        <v>11</v>
      </c>
      <c r="H553" s="1137">
        <v>48000</v>
      </c>
      <c r="I553" s="1149">
        <v>17</v>
      </c>
      <c r="J553" s="1138">
        <v>8200</v>
      </c>
      <c r="K553" s="1150"/>
      <c r="L553" s="1140">
        <v>42292</v>
      </c>
      <c r="M553" s="269">
        <f t="shared" si="135"/>
        <v>4</v>
      </c>
      <c r="N553" s="1074">
        <f t="shared" si="155"/>
        <v>325</v>
      </c>
      <c r="O553" s="1087">
        <f t="shared" si="136"/>
        <v>984.57754010695248</v>
      </c>
      <c r="P553" s="269">
        <f t="shared" si="154"/>
        <v>1</v>
      </c>
      <c r="Q553" s="269" t="str">
        <f t="shared" si="137"/>
        <v/>
      </c>
      <c r="R553" s="1147"/>
      <c r="S553" s="1143" t="str">
        <f t="shared" si="138"/>
        <v>Upsize</v>
      </c>
      <c r="T553" s="1144">
        <f t="shared" si="139"/>
        <v>1624.5833333333333</v>
      </c>
      <c r="U553" s="1144">
        <f t="shared" si="140"/>
        <v>648.22916666666663</v>
      </c>
      <c r="V553" s="1146">
        <f t="shared" si="141"/>
        <v>8115.625</v>
      </c>
      <c r="W553" s="1146">
        <f t="shared" si="142"/>
        <v>8247.6470588235279</v>
      </c>
      <c r="X553" s="1146">
        <f t="shared" si="143"/>
        <v>-132.02205882352791</v>
      </c>
      <c r="Y553" s="1146">
        <f t="shared" si="144"/>
        <v>6828.2901422764226</v>
      </c>
      <c r="Z553" s="1146">
        <f t="shared" si="145"/>
        <v>8247.6470588235279</v>
      </c>
      <c r="AA553" s="1146">
        <f t="shared" si="146"/>
        <v>-1419.3569165471054</v>
      </c>
      <c r="AB553" s="1146">
        <f t="shared" si="147"/>
        <v>11130</v>
      </c>
      <c r="AC553" s="1146">
        <f t="shared" si="148"/>
        <v>8247.6470588235279</v>
      </c>
      <c r="AD553" s="1146">
        <f t="shared" si="149"/>
        <v>2882.3529411764721</v>
      </c>
      <c r="AE553" s="1146">
        <f t="shared" si="150"/>
        <v>9364.5121951219517</v>
      </c>
      <c r="AF553" s="1146">
        <f t="shared" si="151"/>
        <v>8247.6470588235279</v>
      </c>
      <c r="AG553" s="1146">
        <f t="shared" si="152"/>
        <v>1116.8651362984238</v>
      </c>
    </row>
    <row r="554" spans="2:33" ht="14.4">
      <c r="B554" s="1134">
        <v>4232591</v>
      </c>
      <c r="C554" s="1135"/>
      <c r="D554" s="1134">
        <v>423259</v>
      </c>
      <c r="E554" s="1148">
        <v>42260</v>
      </c>
      <c r="F554" s="1137">
        <v>35000</v>
      </c>
      <c r="G554" s="1149">
        <v>10</v>
      </c>
      <c r="H554" s="1137">
        <v>41500</v>
      </c>
      <c r="I554" s="1149">
        <v>15</v>
      </c>
      <c r="J554" s="1138">
        <v>5435</v>
      </c>
      <c r="K554" s="1150"/>
      <c r="L554" s="1140">
        <v>42292</v>
      </c>
      <c r="M554" s="269">
        <f t="shared" si="135"/>
        <v>4</v>
      </c>
      <c r="N554" s="1074">
        <f t="shared" si="155"/>
        <v>225</v>
      </c>
      <c r="O554" s="1087">
        <f t="shared" si="136"/>
        <v>2015.2000000000005</v>
      </c>
      <c r="P554" s="269">
        <f t="shared" si="154"/>
        <v>1</v>
      </c>
      <c r="Q554" s="269" t="str">
        <f t="shared" si="137"/>
        <v/>
      </c>
      <c r="R554" s="1147"/>
      <c r="S554" s="1143" t="str">
        <f t="shared" si="138"/>
        <v>Upsize</v>
      </c>
      <c r="T554" s="1144">
        <f t="shared" si="139"/>
        <v>1879.0361445783133</v>
      </c>
      <c r="U554" s="1144">
        <f t="shared" si="140"/>
        <v>749.75903614457832</v>
      </c>
      <c r="V554" s="1146">
        <f t="shared" si="141"/>
        <v>9984.6221248630882</v>
      </c>
      <c r="W554" s="1146">
        <f t="shared" si="142"/>
        <v>8859.254901960785</v>
      </c>
      <c r="X554" s="1146">
        <f t="shared" si="143"/>
        <v>1125.3672229023032</v>
      </c>
      <c r="Y554" s="1146">
        <f t="shared" si="144"/>
        <v>7897.7813693799599</v>
      </c>
      <c r="Z554" s="1146">
        <f t="shared" si="145"/>
        <v>8859.254901960785</v>
      </c>
      <c r="AA554" s="1146">
        <f t="shared" si="146"/>
        <v>-961.47353258082512</v>
      </c>
      <c r="AB554" s="1146">
        <f t="shared" si="147"/>
        <v>11838.90909090909</v>
      </c>
      <c r="AC554" s="1146">
        <f t="shared" si="148"/>
        <v>8859.254901960785</v>
      </c>
      <c r="AD554" s="1146">
        <f t="shared" si="149"/>
        <v>2979.6541889483051</v>
      </c>
      <c r="AE554" s="1146">
        <f t="shared" si="150"/>
        <v>9364.5121951219535</v>
      </c>
      <c r="AF554" s="1146">
        <f t="shared" si="151"/>
        <v>8859.254901960785</v>
      </c>
      <c r="AG554" s="1146">
        <f t="shared" si="152"/>
        <v>505.25729316116849</v>
      </c>
    </row>
    <row r="555" spans="2:33" ht="14.4">
      <c r="B555" s="1134">
        <v>7472384</v>
      </c>
      <c r="C555" s="1135"/>
      <c r="D555" s="1134">
        <v>569832</v>
      </c>
      <c r="E555" s="1148">
        <v>42173</v>
      </c>
      <c r="F555" s="1137">
        <v>30000</v>
      </c>
      <c r="G555" s="1149">
        <v>13</v>
      </c>
      <c r="H555" s="1137">
        <v>36000</v>
      </c>
      <c r="I555" s="1149">
        <v>16</v>
      </c>
      <c r="J555" s="1138">
        <v>7145</v>
      </c>
      <c r="K555" s="1150"/>
      <c r="L555" s="1140">
        <v>42292</v>
      </c>
      <c r="M555" s="269">
        <f t="shared" si="135"/>
        <v>4</v>
      </c>
      <c r="N555" s="1074">
        <f t="shared" si="155"/>
        <v>225</v>
      </c>
      <c r="O555" s="1087">
        <f t="shared" si="136"/>
        <v>158.53846153846135</v>
      </c>
      <c r="P555" s="269">
        <f t="shared" si="154"/>
        <v>1</v>
      </c>
      <c r="Q555" s="269" t="str">
        <f t="shared" si="137"/>
        <v/>
      </c>
      <c r="R555" s="1147"/>
      <c r="S555" s="1143" t="str">
        <f t="shared" si="138"/>
        <v>Upsize</v>
      </c>
      <c r="T555" s="1144">
        <f t="shared" si="139"/>
        <v>1856.6666666666667</v>
      </c>
      <c r="U555" s="1144">
        <f t="shared" si="140"/>
        <v>740.83333333333337</v>
      </c>
      <c r="V555" s="1146">
        <f t="shared" si="141"/>
        <v>7170.9790209790208</v>
      </c>
      <c r="W555" s="1146">
        <f t="shared" si="142"/>
        <v>7315.1470588235288</v>
      </c>
      <c r="X555" s="1146">
        <f t="shared" si="143"/>
        <v>-144.16803784450804</v>
      </c>
      <c r="Y555" s="1146">
        <f t="shared" si="144"/>
        <v>6688.9372822299647</v>
      </c>
      <c r="Z555" s="1146">
        <f t="shared" si="145"/>
        <v>7315.1470588235288</v>
      </c>
      <c r="AA555" s="1146">
        <f t="shared" si="146"/>
        <v>-626.20977659356413</v>
      </c>
      <c r="AB555" s="1146">
        <f t="shared" si="147"/>
        <v>8605.1748251748249</v>
      </c>
      <c r="AC555" s="1146">
        <f t="shared" si="148"/>
        <v>7315.1470588235288</v>
      </c>
      <c r="AD555" s="1146">
        <f t="shared" si="149"/>
        <v>1290.0277663512961</v>
      </c>
      <c r="AE555" s="1146">
        <f t="shared" si="150"/>
        <v>8026.7247386759582</v>
      </c>
      <c r="AF555" s="1146">
        <f t="shared" si="151"/>
        <v>7315.1470588235288</v>
      </c>
      <c r="AG555" s="1146">
        <f t="shared" si="152"/>
        <v>711.57767985242936</v>
      </c>
    </row>
    <row r="556" spans="2:33" ht="14.4">
      <c r="B556" s="1134">
        <v>5943857</v>
      </c>
      <c r="C556" s="1135"/>
      <c r="D556" s="1134">
        <v>588041</v>
      </c>
      <c r="E556" s="1148">
        <v>42115</v>
      </c>
      <c r="F556" s="1137">
        <v>36000</v>
      </c>
      <c r="G556" s="1149">
        <v>10</v>
      </c>
      <c r="H556" s="1137">
        <v>42000</v>
      </c>
      <c r="I556" s="1149">
        <v>15</v>
      </c>
      <c r="J556" s="1138">
        <v>4395</v>
      </c>
      <c r="K556" s="1150"/>
      <c r="L556" s="1140">
        <v>42292</v>
      </c>
      <c r="M556" s="269">
        <f t="shared" si="135"/>
        <v>4</v>
      </c>
      <c r="N556" s="1074">
        <f t="shared" si="155"/>
        <v>225</v>
      </c>
      <c r="O556" s="1087">
        <f t="shared" si="136"/>
        <v>2198.40</v>
      </c>
      <c r="P556" s="269">
        <f t="shared" si="154"/>
        <v>1</v>
      </c>
      <c r="Q556" s="269" t="str">
        <f t="shared" si="137"/>
        <v/>
      </c>
      <c r="R556" s="1147"/>
      <c r="S556" s="1143" t="str">
        <f t="shared" si="138"/>
        <v>Upsize</v>
      </c>
      <c r="T556" s="1144">
        <f t="shared" si="139"/>
        <v>1909.7142857142856</v>
      </c>
      <c r="U556" s="1144">
        <f t="shared" si="140"/>
        <v>762</v>
      </c>
      <c r="V556" s="1146">
        <f t="shared" si="141"/>
        <v>10437.56883116883</v>
      </c>
      <c r="W556" s="1146">
        <f t="shared" si="142"/>
        <v>9112.376470588235</v>
      </c>
      <c r="X556" s="1146">
        <f t="shared" si="143"/>
        <v>1325.1923605805951</v>
      </c>
      <c r="Y556" s="1146">
        <f t="shared" si="144"/>
        <v>8256.0597312095579</v>
      </c>
      <c r="Z556" s="1146">
        <f t="shared" si="145"/>
        <v>9112.376470588235</v>
      </c>
      <c r="AA556" s="1146">
        <f t="shared" si="146"/>
        <v>-856.31673937867708</v>
      </c>
      <c r="AB556" s="1146">
        <f t="shared" si="147"/>
        <v>12177.163636363635</v>
      </c>
      <c r="AC556" s="1146">
        <f t="shared" si="148"/>
        <v>9112.376470588235</v>
      </c>
      <c r="AD556" s="1146">
        <f t="shared" si="149"/>
        <v>3064.7871657754004</v>
      </c>
      <c r="AE556" s="1146">
        <f t="shared" si="150"/>
        <v>9632.0696864111505</v>
      </c>
      <c r="AF556" s="1146">
        <f t="shared" si="151"/>
        <v>9112.376470588235</v>
      </c>
      <c r="AG556" s="1146">
        <f t="shared" si="152"/>
        <v>519.69321582291559</v>
      </c>
    </row>
    <row r="557" spans="2:33" ht="14.4">
      <c r="B557" s="1134">
        <v>8888654</v>
      </c>
      <c r="C557" s="1135"/>
      <c r="D557" s="1134">
        <v>379494</v>
      </c>
      <c r="E557" s="1148">
        <v>42239</v>
      </c>
      <c r="F557" s="1137">
        <v>50000</v>
      </c>
      <c r="G557" s="1149">
        <v>10</v>
      </c>
      <c r="H557" s="1137">
        <v>57500</v>
      </c>
      <c r="I557" s="1149">
        <v>15</v>
      </c>
      <c r="J557" s="1138">
        <v>5925</v>
      </c>
      <c r="K557" s="1150"/>
      <c r="L557" s="1140">
        <v>42292</v>
      </c>
      <c r="M557" s="269">
        <f t="shared" si="135"/>
        <v>4</v>
      </c>
      <c r="N557" s="1074">
        <f t="shared" si="155"/>
        <v>325</v>
      </c>
      <c r="O557" s="1087">
        <f t="shared" si="136"/>
        <v>3206</v>
      </c>
      <c r="P557" s="269">
        <f t="shared" si="154"/>
        <v>1</v>
      </c>
      <c r="Q557" s="269" t="str">
        <f t="shared" si="137"/>
        <v/>
      </c>
      <c r="R557" s="1147"/>
      <c r="S557" s="1143" t="str">
        <f t="shared" si="138"/>
        <v>Upsize</v>
      </c>
      <c r="T557" s="1144">
        <f t="shared" si="139"/>
        <v>1937.391304347826</v>
      </c>
      <c r="U557" s="1144">
        <f t="shared" si="140"/>
        <v>773.04347826086951</v>
      </c>
      <c r="V557" s="1146">
        <f t="shared" si="141"/>
        <v>14706.719367588932</v>
      </c>
      <c r="W557" s="1146">
        <f t="shared" si="142"/>
        <v>12656.078431372547</v>
      </c>
      <c r="X557" s="1146">
        <f t="shared" si="143"/>
        <v>2050.6409362163849</v>
      </c>
      <c r="Y557" s="1146">
        <f t="shared" si="144"/>
        <v>11632.9344038782</v>
      </c>
      <c r="Z557" s="1146">
        <f t="shared" si="145"/>
        <v>12656.078431372547</v>
      </c>
      <c r="AA557" s="1146">
        <f t="shared" si="146"/>
        <v>-1023.144027494347</v>
      </c>
      <c r="AB557" s="1146">
        <f t="shared" si="147"/>
        <v>16912.727272727272</v>
      </c>
      <c r="AC557" s="1146">
        <f t="shared" si="148"/>
        <v>12656.078431372547</v>
      </c>
      <c r="AD557" s="1146">
        <f t="shared" si="149"/>
        <v>4256.6488413547249</v>
      </c>
      <c r="AE557" s="1146">
        <f t="shared" si="150"/>
        <v>13377.874564459929</v>
      </c>
      <c r="AF557" s="1146">
        <f t="shared" si="151"/>
        <v>12656.078431372547</v>
      </c>
      <c r="AG557" s="1146">
        <f t="shared" si="152"/>
        <v>721.79613308738226</v>
      </c>
    </row>
    <row r="558" spans="2:33" ht="14.4">
      <c r="B558" s="1134">
        <v>8851081</v>
      </c>
      <c r="C558" s="1135"/>
      <c r="D558" s="1134">
        <v>574985</v>
      </c>
      <c r="E558" s="1148">
        <v>42185</v>
      </c>
      <c r="F558" s="1137">
        <v>30000</v>
      </c>
      <c r="G558" s="1149">
        <v>10</v>
      </c>
      <c r="H558" s="1137">
        <v>28000</v>
      </c>
      <c r="I558" s="1149">
        <v>15</v>
      </c>
      <c r="J558" s="1138">
        <v>3890</v>
      </c>
      <c r="K558" s="1150"/>
      <c r="L558" s="1140">
        <v>42292</v>
      </c>
      <c r="M558" s="269">
        <f t="shared" si="135"/>
        <v>4</v>
      </c>
      <c r="N558" s="1074">
        <f t="shared" si="155"/>
        <v>150</v>
      </c>
      <c r="O558" s="1087">
        <f t="shared" si="136"/>
        <v>3114.40</v>
      </c>
      <c r="P558" s="269">
        <f t="shared" si="154"/>
        <v>1</v>
      </c>
      <c r="Q558" s="269" t="str">
        <f t="shared" si="137"/>
        <v/>
      </c>
      <c r="R558" s="1147"/>
      <c r="S558" s="1143" t="str">
        <f t="shared" si="138"/>
        <v>Downsize</v>
      </c>
      <c r="T558" s="1144">
        <f t="shared" si="139"/>
        <v>2387.1428571428569</v>
      </c>
      <c r="U558" s="1144">
        <f t="shared" si="140"/>
        <v>952.50</v>
      </c>
      <c r="V558" s="1146">
        <f t="shared" si="141"/>
        <v>10872.46753246753</v>
      </c>
      <c r="W558" s="1146">
        <f t="shared" si="142"/>
        <v>7593.6470588235297</v>
      </c>
      <c r="X558" s="1146">
        <f t="shared" si="143"/>
        <v>3278.8204736440002</v>
      </c>
      <c r="Y558" s="1146">
        <f t="shared" si="144"/>
        <v>8600.0622200099533</v>
      </c>
      <c r="Z558" s="1146">
        <f t="shared" si="145"/>
        <v>7593.6470588235297</v>
      </c>
      <c r="AA558" s="1146">
        <f t="shared" si="146"/>
        <v>1006.4151611864236</v>
      </c>
      <c r="AB558" s="1146">
        <f t="shared" si="147"/>
        <v>10147.636363636362</v>
      </c>
      <c r="AC558" s="1146">
        <f t="shared" si="148"/>
        <v>7593.6470588235297</v>
      </c>
      <c r="AD558" s="1146">
        <f t="shared" si="149"/>
        <v>2553.9893048128324</v>
      </c>
      <c r="AE558" s="1146">
        <f t="shared" si="150"/>
        <v>8026.7247386759573</v>
      </c>
      <c r="AF558" s="1146">
        <f t="shared" si="151"/>
        <v>7593.6470588235297</v>
      </c>
      <c r="AG558" s="1146">
        <f t="shared" si="152"/>
        <v>433.07767985242754</v>
      </c>
    </row>
    <row r="559" spans="2:33" ht="14.4">
      <c r="B559" s="1134">
        <v>3822483</v>
      </c>
      <c r="C559" s="1135"/>
      <c r="D559" s="1134">
        <v>152767</v>
      </c>
      <c r="E559" s="1148">
        <v>42215</v>
      </c>
      <c r="F559" s="1137">
        <v>30000</v>
      </c>
      <c r="G559" s="1149">
        <v>10</v>
      </c>
      <c r="H559" s="1137">
        <v>42000</v>
      </c>
      <c r="I559" s="1149">
        <v>15</v>
      </c>
      <c r="J559" s="1138">
        <v>6215</v>
      </c>
      <c r="K559" s="1150"/>
      <c r="L559" s="1140">
        <v>42292</v>
      </c>
      <c r="M559" s="269">
        <f t="shared" si="135"/>
        <v>4</v>
      </c>
      <c r="N559" s="1074">
        <f t="shared" si="155"/>
        <v>225</v>
      </c>
      <c r="O559" s="1087">
        <f t="shared" si="136"/>
        <v>549.60</v>
      </c>
      <c r="P559" s="269">
        <f t="shared" si="156" ref="P559:P590">IF(L559&gt;0,1,"")</f>
        <v>1</v>
      </c>
      <c r="Q559" s="269" t="str">
        <f t="shared" si="137"/>
        <v/>
      </c>
      <c r="R559" s="1147"/>
      <c r="S559" s="1143" t="str">
        <f t="shared" si="138"/>
        <v>Upsize</v>
      </c>
      <c r="T559" s="1144">
        <f t="shared" si="139"/>
        <v>1591.4285714285716</v>
      </c>
      <c r="U559" s="1144">
        <f t="shared" si="140"/>
        <v>635</v>
      </c>
      <c r="V559" s="1146">
        <f t="shared" si="141"/>
        <v>7248.3116883116891</v>
      </c>
      <c r="W559" s="1146">
        <f t="shared" si="142"/>
        <v>7593.6470588235297</v>
      </c>
      <c r="X559" s="1146">
        <f t="shared" si="143"/>
        <v>-345.33537051184067</v>
      </c>
      <c r="Y559" s="1146">
        <f t="shared" si="144"/>
        <v>5733.3748133399704</v>
      </c>
      <c r="Z559" s="1146">
        <f t="shared" si="145"/>
        <v>7593.6470588235297</v>
      </c>
      <c r="AA559" s="1146">
        <f t="shared" si="146"/>
        <v>-1860.2722454835594</v>
      </c>
      <c r="AB559" s="1146">
        <f t="shared" si="147"/>
        <v>10147.636363636364</v>
      </c>
      <c r="AC559" s="1146">
        <f t="shared" si="148"/>
        <v>7593.6470588235297</v>
      </c>
      <c r="AD559" s="1146">
        <f t="shared" si="149"/>
        <v>2553.9893048128342</v>
      </c>
      <c r="AE559" s="1146">
        <f t="shared" si="150"/>
        <v>8026.7247386759591</v>
      </c>
      <c r="AF559" s="1146">
        <f t="shared" si="151"/>
        <v>7593.6470588235297</v>
      </c>
      <c r="AG559" s="1146">
        <f t="shared" si="152"/>
        <v>433.07767985242936</v>
      </c>
    </row>
    <row r="560" spans="2:33" ht="14.4">
      <c r="B560" s="1134">
        <v>7487267</v>
      </c>
      <c r="C560" s="1135"/>
      <c r="D560" s="1134">
        <v>206408</v>
      </c>
      <c r="E560" s="1153">
        <v>42243</v>
      </c>
      <c r="F560" s="1154">
        <v>42000</v>
      </c>
      <c r="G560" s="1155">
        <v>10</v>
      </c>
      <c r="H560" s="1154">
        <v>42000</v>
      </c>
      <c r="I560" s="1155">
        <v>15</v>
      </c>
      <c r="J560" s="1156">
        <v>5961</v>
      </c>
      <c r="K560" s="1157"/>
      <c r="L560" s="1158">
        <v>42292</v>
      </c>
      <c r="M560" s="269">
        <f t="shared" si="135"/>
        <v>4</v>
      </c>
      <c r="N560" s="1074">
        <f t="shared" si="155"/>
        <v>225</v>
      </c>
      <c r="O560" s="1087">
        <f t="shared" si="136"/>
        <v>3847.2000000000003</v>
      </c>
      <c r="P560" s="269">
        <f t="shared" si="156"/>
        <v>1</v>
      </c>
      <c r="Q560" s="269" t="str">
        <f t="shared" si="137"/>
        <v/>
      </c>
      <c r="R560" s="1142"/>
      <c r="S560" s="1143" t="str">
        <f t="shared" si="138"/>
        <v>Same Size</v>
      </c>
      <c r="T560" s="1144">
        <f t="shared" si="139"/>
        <v>2228</v>
      </c>
      <c r="U560" s="1144">
        <f t="shared" si="140"/>
        <v>889</v>
      </c>
      <c r="V560" s="1146">
        <f t="shared" si="141"/>
        <v>14206.690909090909</v>
      </c>
      <c r="W560" s="1146">
        <f t="shared" si="142"/>
        <v>10631.105882352942</v>
      </c>
      <c r="X560" s="1146">
        <f t="shared" si="143"/>
        <v>3575.5850267379665</v>
      </c>
      <c r="Y560" s="1146">
        <f t="shared" si="144"/>
        <v>11237.41463414634</v>
      </c>
      <c r="Z560" s="1146">
        <f t="shared" si="145"/>
        <v>10631.105882352942</v>
      </c>
      <c r="AA560" s="1146">
        <f t="shared" si="146"/>
        <v>606.30875179339819</v>
      </c>
      <c r="AB560" s="1146">
        <f t="shared" si="147"/>
        <v>14206.690909090909</v>
      </c>
      <c r="AC560" s="1146">
        <f t="shared" si="148"/>
        <v>10631.105882352942</v>
      </c>
      <c r="AD560" s="1146">
        <f t="shared" si="149"/>
        <v>3575.5850267379665</v>
      </c>
      <c r="AE560" s="1146">
        <f t="shared" si="150"/>
        <v>11237.41463414634</v>
      </c>
      <c r="AF560" s="1146">
        <f t="shared" si="151"/>
        <v>10631.105882352942</v>
      </c>
      <c r="AG560" s="1146">
        <f t="shared" si="152"/>
        <v>606.30875179339819</v>
      </c>
    </row>
    <row r="561" spans="2:33" ht="14.4">
      <c r="B561" s="1134">
        <v>5534003</v>
      </c>
      <c r="C561" s="1135"/>
      <c r="D561" s="1134">
        <v>431497</v>
      </c>
      <c r="E561" s="1153">
        <v>42220</v>
      </c>
      <c r="F561" s="1154">
        <v>20000</v>
      </c>
      <c r="G561" s="1155">
        <v>10</v>
      </c>
      <c r="H561" s="1154">
        <v>24000</v>
      </c>
      <c r="I561" s="1155">
        <v>19</v>
      </c>
      <c r="J561" s="1156">
        <v>3300</v>
      </c>
      <c r="K561" s="1157"/>
      <c r="L561" s="1158">
        <v>42292</v>
      </c>
      <c r="M561" s="269">
        <f t="shared" si="135"/>
        <v>4</v>
      </c>
      <c r="N561" s="1074">
        <f t="shared" si="155"/>
        <v>200</v>
      </c>
      <c r="O561" s="1087">
        <f t="shared" si="136"/>
        <v>2024.8421052631582</v>
      </c>
      <c r="P561" s="269">
        <f t="shared" si="156"/>
        <v>1</v>
      </c>
      <c r="Q561" s="269" t="str">
        <f t="shared" si="137"/>
        <v/>
      </c>
      <c r="R561" s="1142"/>
      <c r="S561" s="1143" t="str">
        <f t="shared" si="138"/>
        <v>Upsize</v>
      </c>
      <c r="T561" s="1144">
        <f t="shared" si="139"/>
        <v>1856.6666666666667</v>
      </c>
      <c r="U561" s="1144">
        <f t="shared" si="140"/>
        <v>740.83333333333337</v>
      </c>
      <c r="V561" s="1146">
        <f t="shared" si="141"/>
        <v>5637.575757575758</v>
      </c>
      <c r="W561" s="1146">
        <f t="shared" si="142"/>
        <v>4437.0278637770898</v>
      </c>
      <c r="X561" s="1146">
        <f t="shared" si="143"/>
        <v>1200.5478937986682</v>
      </c>
      <c r="Y561" s="1146">
        <f t="shared" si="144"/>
        <v>4459.2915214866434</v>
      </c>
      <c r="Z561" s="1146">
        <f t="shared" si="145"/>
        <v>4437.0278637770898</v>
      </c>
      <c r="AA561" s="1146">
        <f t="shared" si="146"/>
        <v>22.263657709553627</v>
      </c>
      <c r="AB561" s="1146">
        <f t="shared" si="147"/>
        <v>6765.090909090909</v>
      </c>
      <c r="AC561" s="1146">
        <f t="shared" si="148"/>
        <v>4437.0278637770898</v>
      </c>
      <c r="AD561" s="1146">
        <f t="shared" si="149"/>
        <v>2328.0630453138192</v>
      </c>
      <c r="AE561" s="1146">
        <f t="shared" si="150"/>
        <v>5351.1498257839721</v>
      </c>
      <c r="AF561" s="1146">
        <f t="shared" si="151"/>
        <v>4437.0278637770898</v>
      </c>
      <c r="AG561" s="1146">
        <f t="shared" si="152"/>
        <v>914.12196200688231</v>
      </c>
    </row>
    <row r="562" spans="2:33" ht="14.4">
      <c r="B562" s="1134">
        <v>8853916</v>
      </c>
      <c r="C562" s="1135"/>
      <c r="D562" s="1134">
        <v>220568</v>
      </c>
      <c r="E562" s="1153">
        <v>42180</v>
      </c>
      <c r="F562" s="1154">
        <v>30000</v>
      </c>
      <c r="G562" s="1155">
        <v>13</v>
      </c>
      <c r="H562" s="1154">
        <v>46500</v>
      </c>
      <c r="I562" s="1155">
        <v>15</v>
      </c>
      <c r="J562" s="1156">
        <v>7450</v>
      </c>
      <c r="K562" s="1157"/>
      <c r="L562" s="1158">
        <v>42292</v>
      </c>
      <c r="M562" s="269">
        <f t="shared" si="135"/>
        <v>4</v>
      </c>
      <c r="N562" s="1074">
        <f t="shared" si="155"/>
        <v>250</v>
      </c>
      <c r="O562" s="1087">
        <f t="shared" si="136"/>
        <v>-2177.2615384615387</v>
      </c>
      <c r="P562" s="269">
        <f t="shared" si="156"/>
        <v>1</v>
      </c>
      <c r="Q562" s="269" t="str">
        <f t="shared" si="137"/>
        <v/>
      </c>
      <c r="R562" s="1142"/>
      <c r="S562" s="1143" t="str">
        <f t="shared" si="138"/>
        <v>Upsize</v>
      </c>
      <c r="T562" s="1144">
        <f t="shared" si="139"/>
        <v>1437.4193548387098</v>
      </c>
      <c r="U562" s="1144">
        <f t="shared" si="140"/>
        <v>573.54838709677415</v>
      </c>
      <c r="V562" s="1146">
        <f t="shared" si="141"/>
        <v>5551.7256936611775</v>
      </c>
      <c r="W562" s="1146">
        <f t="shared" si="142"/>
        <v>7593.6470588235297</v>
      </c>
      <c r="X562" s="1146">
        <f t="shared" si="143"/>
        <v>-2041.9213651623522</v>
      </c>
      <c r="Y562" s="1146">
        <f t="shared" si="144"/>
        <v>5178.5320894683609</v>
      </c>
      <c r="Z562" s="1146">
        <f t="shared" si="145"/>
        <v>7593.6470588235297</v>
      </c>
      <c r="AA562" s="1146">
        <f t="shared" si="146"/>
        <v>-2415.1149693551688</v>
      </c>
      <c r="AB562" s="1146">
        <f t="shared" si="147"/>
        <v>8605.1748251748249</v>
      </c>
      <c r="AC562" s="1146">
        <f t="shared" si="148"/>
        <v>7593.6470588235297</v>
      </c>
      <c r="AD562" s="1146">
        <f t="shared" si="149"/>
        <v>1011.5277663512952</v>
      </c>
      <c r="AE562" s="1146">
        <f t="shared" si="150"/>
        <v>8026.72473867596</v>
      </c>
      <c r="AF562" s="1146">
        <f t="shared" si="151"/>
        <v>7593.6470588235297</v>
      </c>
      <c r="AG562" s="1146">
        <f t="shared" si="152"/>
        <v>433.07767985243026</v>
      </c>
    </row>
    <row r="563" spans="2:33" ht="14.4">
      <c r="B563" s="1134">
        <v>8936967</v>
      </c>
      <c r="C563" s="1135"/>
      <c r="D563" s="1134">
        <v>94853</v>
      </c>
      <c r="E563" s="1153">
        <v>42242</v>
      </c>
      <c r="F563" s="1154">
        <v>46000</v>
      </c>
      <c r="G563" s="1155">
        <v>10</v>
      </c>
      <c r="H563" s="1154">
        <v>46000</v>
      </c>
      <c r="I563" s="1155">
        <v>16</v>
      </c>
      <c r="J563" s="1156">
        <v>5800</v>
      </c>
      <c r="K563" s="1157"/>
      <c r="L563" s="1158">
        <v>42292</v>
      </c>
      <c r="M563" s="269">
        <f t="shared" si="135"/>
        <v>4</v>
      </c>
      <c r="N563" s="1074">
        <f t="shared" si="155"/>
        <v>300</v>
      </c>
      <c r="O563" s="1087">
        <f t="shared" si="136"/>
        <v>4740.30</v>
      </c>
      <c r="P563" s="269">
        <f t="shared" si="156"/>
        <v>1</v>
      </c>
      <c r="Q563" s="269" t="str">
        <f t="shared" si="137"/>
        <v/>
      </c>
      <c r="R563" s="1142"/>
      <c r="S563" s="1143" t="str">
        <f t="shared" si="138"/>
        <v>Same Size</v>
      </c>
      <c r="T563" s="1144">
        <f t="shared" si="139"/>
        <v>2228</v>
      </c>
      <c r="U563" s="1144">
        <f t="shared" si="140"/>
        <v>889</v>
      </c>
      <c r="V563" s="1146">
        <f t="shared" si="141"/>
        <v>15559.709090909091</v>
      </c>
      <c r="W563" s="1146">
        <f t="shared" si="142"/>
        <v>11216.558823529413</v>
      </c>
      <c r="X563" s="1146">
        <f t="shared" si="143"/>
        <v>4343.1502673796786</v>
      </c>
      <c r="Y563" s="1146">
        <f t="shared" si="144"/>
        <v>12307.644599303136</v>
      </c>
      <c r="Z563" s="1146">
        <f t="shared" si="145"/>
        <v>11216.558823529413</v>
      </c>
      <c r="AA563" s="1146">
        <f t="shared" si="146"/>
        <v>1091.0857757737231</v>
      </c>
      <c r="AB563" s="1146">
        <f t="shared" si="147"/>
        <v>15559.709090909091</v>
      </c>
      <c r="AC563" s="1146">
        <f t="shared" si="148"/>
        <v>11216.558823529413</v>
      </c>
      <c r="AD563" s="1146">
        <f t="shared" si="149"/>
        <v>4343.1502673796786</v>
      </c>
      <c r="AE563" s="1146">
        <f t="shared" si="150"/>
        <v>12307.644599303136</v>
      </c>
      <c r="AF563" s="1146">
        <f t="shared" si="151"/>
        <v>11216.558823529413</v>
      </c>
      <c r="AG563" s="1146">
        <f t="shared" si="152"/>
        <v>1091.0857757737231</v>
      </c>
    </row>
    <row r="564" spans="2:33" ht="14.4">
      <c r="B564" s="1134">
        <v>1172105</v>
      </c>
      <c r="C564" s="1135"/>
      <c r="D564" s="1134">
        <v>117210</v>
      </c>
      <c r="E564" s="1153">
        <v>42244</v>
      </c>
      <c r="F564" s="1154">
        <v>30000</v>
      </c>
      <c r="G564" s="1155">
        <v>16</v>
      </c>
      <c r="H564" s="1154">
        <v>35000</v>
      </c>
      <c r="I564" s="1155">
        <v>16</v>
      </c>
      <c r="J564" s="1156">
        <v>7861</v>
      </c>
      <c r="K564" s="1157"/>
      <c r="L564" s="1158">
        <v>42292</v>
      </c>
      <c r="M564" s="269">
        <f t="shared" si="135"/>
        <v>4</v>
      </c>
      <c r="N564" s="1074">
        <f t="shared" si="155"/>
        <v>225</v>
      </c>
      <c r="O564" s="1087">
        <f t="shared" si="136"/>
        <v>-858.75000000000011</v>
      </c>
      <c r="P564" s="269">
        <f t="shared" si="156"/>
        <v>1</v>
      </c>
      <c r="Q564" s="269" t="str">
        <f t="shared" si="137"/>
        <v/>
      </c>
      <c r="R564" s="1142"/>
      <c r="S564" s="1143" t="str">
        <f t="shared" si="138"/>
        <v>Upsize</v>
      </c>
      <c r="T564" s="1144">
        <f t="shared" si="139"/>
        <v>1909.7142857142856</v>
      </c>
      <c r="U564" s="1144">
        <f t="shared" si="140"/>
        <v>762</v>
      </c>
      <c r="V564" s="1146">
        <f t="shared" si="141"/>
        <v>6549.545454545454</v>
      </c>
      <c r="W564" s="1146">
        <f t="shared" si="142"/>
        <v>7315.1470588235288</v>
      </c>
      <c r="X564" s="1146">
        <f t="shared" si="143"/>
        <v>-765.60160427807477</v>
      </c>
      <c r="Y564" s="1146">
        <f t="shared" si="144"/>
        <v>6880.0497760079643</v>
      </c>
      <c r="Z564" s="1146">
        <f t="shared" si="145"/>
        <v>7315.1470588235288</v>
      </c>
      <c r="AA564" s="1146">
        <f t="shared" si="146"/>
        <v>-435.09728281556454</v>
      </c>
      <c r="AB564" s="1146">
        <f t="shared" si="147"/>
        <v>7641.1363636363631</v>
      </c>
      <c r="AC564" s="1146">
        <f t="shared" si="148"/>
        <v>7315.1470588235288</v>
      </c>
      <c r="AD564" s="1146">
        <f t="shared" si="149"/>
        <v>325.98930481283423</v>
      </c>
      <c r="AE564" s="1146">
        <f t="shared" si="150"/>
        <v>8026.7247386759582</v>
      </c>
      <c r="AF564" s="1146">
        <f t="shared" si="151"/>
        <v>7315.1470588235288</v>
      </c>
      <c r="AG564" s="1146">
        <f t="shared" si="152"/>
        <v>711.57767985242936</v>
      </c>
    </row>
    <row r="565" spans="2:33" ht="14.4">
      <c r="B565" s="1134">
        <v>4852927</v>
      </c>
      <c r="C565" s="1135"/>
      <c r="D565" s="1134">
        <v>162388</v>
      </c>
      <c r="E565" s="1153">
        <v>42247</v>
      </c>
      <c r="F565" s="1154">
        <v>42000</v>
      </c>
      <c r="G565" s="1155">
        <v>16</v>
      </c>
      <c r="H565" s="1154">
        <v>37600</v>
      </c>
      <c r="I565" s="1155">
        <v>16</v>
      </c>
      <c r="J565" s="1156">
        <v>7232</v>
      </c>
      <c r="K565" s="1157"/>
      <c r="L565" s="1158">
        <v>42292</v>
      </c>
      <c r="M565" s="269">
        <f t="shared" si="135"/>
        <v>4</v>
      </c>
      <c r="N565" s="1074">
        <f t="shared" si="155"/>
        <v>225</v>
      </c>
      <c r="O565" s="1087">
        <f t="shared" si="136"/>
        <v>755.70</v>
      </c>
      <c r="P565" s="269">
        <f t="shared" si="156"/>
        <v>1</v>
      </c>
      <c r="Q565" s="269" t="str">
        <f t="shared" si="137"/>
        <v/>
      </c>
      <c r="R565" s="1142"/>
      <c r="S565" s="1143" t="str">
        <f t="shared" si="138"/>
        <v>Downsize</v>
      </c>
      <c r="T565" s="1144">
        <f t="shared" si="139"/>
        <v>2488.7234042553191</v>
      </c>
      <c r="U565" s="1144">
        <f t="shared" si="140"/>
        <v>993.03191489361689</v>
      </c>
      <c r="V565" s="1146">
        <f t="shared" si="141"/>
        <v>11949.43665377176</v>
      </c>
      <c r="W565" s="1146">
        <f t="shared" si="142"/>
        <v>10241.205882352941</v>
      </c>
      <c r="X565" s="1146">
        <f t="shared" si="143"/>
        <v>1708.2307714188191</v>
      </c>
      <c r="Y565" s="1146">
        <f t="shared" si="144"/>
        <v>12552.431240269849</v>
      </c>
      <c r="Z565" s="1146">
        <f t="shared" si="145"/>
        <v>10241.205882352941</v>
      </c>
      <c r="AA565" s="1146">
        <f t="shared" si="146"/>
        <v>2311.2253579169083</v>
      </c>
      <c r="AB565" s="1146">
        <f t="shared" si="147"/>
        <v>10697.590909090908</v>
      </c>
      <c r="AC565" s="1146">
        <f t="shared" si="148"/>
        <v>10241.205882352941</v>
      </c>
      <c r="AD565" s="1146">
        <f t="shared" si="149"/>
        <v>456.38502673796756</v>
      </c>
      <c r="AE565" s="1146">
        <f t="shared" si="150"/>
        <v>11237.414634146342</v>
      </c>
      <c r="AF565" s="1146">
        <f t="shared" si="151"/>
        <v>10241.205882352941</v>
      </c>
      <c r="AG565" s="1146">
        <f t="shared" si="152"/>
        <v>996.20875179340146</v>
      </c>
    </row>
    <row r="566" spans="2:33" ht="14.4">
      <c r="B566" s="1134">
        <v>1669720</v>
      </c>
      <c r="C566" s="1135"/>
      <c r="D566" s="1134">
        <v>166972</v>
      </c>
      <c r="E566" s="1153">
        <v>42200</v>
      </c>
      <c r="F566" s="1154">
        <v>30000</v>
      </c>
      <c r="G566" s="1155">
        <v>12</v>
      </c>
      <c r="H566" s="1154">
        <v>46000</v>
      </c>
      <c r="I566" s="1155">
        <v>16</v>
      </c>
      <c r="J566" s="1156">
        <v>10353.299999999999</v>
      </c>
      <c r="K566" s="1157"/>
      <c r="L566" s="1158">
        <v>42292</v>
      </c>
      <c r="M566" s="269">
        <f t="shared" si="135"/>
        <v>4</v>
      </c>
      <c r="N566" s="1074">
        <f t="shared" si="155"/>
        <v>300</v>
      </c>
      <c r="O566" s="1087">
        <f t="shared" si="136"/>
        <v>-1030.50</v>
      </c>
      <c r="P566" s="269">
        <f t="shared" si="156"/>
        <v>1</v>
      </c>
      <c r="Q566" s="269" t="str">
        <f t="shared" si="137"/>
        <v/>
      </c>
      <c r="R566" s="1142"/>
      <c r="S566" s="1143" t="str">
        <f t="shared" si="138"/>
        <v>Upsize</v>
      </c>
      <c r="T566" s="1144">
        <f t="shared" si="139"/>
        <v>1453.0434782608695</v>
      </c>
      <c r="U566" s="1144">
        <f t="shared" si="140"/>
        <v>579.78260869565213</v>
      </c>
      <c r="V566" s="1146">
        <f t="shared" si="141"/>
        <v>5891.501976284585</v>
      </c>
      <c r="W566" s="1146">
        <f t="shared" si="142"/>
        <v>7315.1470588235297</v>
      </c>
      <c r="X566" s="1146">
        <f t="shared" si="143"/>
        <v>-1423.6450825389447</v>
      </c>
      <c r="Y566" s="1146">
        <f t="shared" si="144"/>
        <v>5234.8204817451897</v>
      </c>
      <c r="Z566" s="1146">
        <f t="shared" si="145"/>
        <v>7315.1470588235297</v>
      </c>
      <c r="AA566" s="1146">
        <f t="shared" si="146"/>
        <v>-2080.3265770783401</v>
      </c>
      <c r="AB566" s="1146">
        <f t="shared" si="147"/>
        <v>9033.636363636364</v>
      </c>
      <c r="AC566" s="1146">
        <f t="shared" si="148"/>
        <v>7315.1470588235297</v>
      </c>
      <c r="AD566" s="1146">
        <f t="shared" si="149"/>
        <v>1718.4893048128342</v>
      </c>
      <c r="AE566" s="1146">
        <f t="shared" si="150"/>
        <v>8026.7247386759582</v>
      </c>
      <c r="AF566" s="1146">
        <f t="shared" si="151"/>
        <v>7315.1470588235297</v>
      </c>
      <c r="AG566" s="1146">
        <f t="shared" si="152"/>
        <v>711.57767985242845</v>
      </c>
    </row>
    <row r="567" spans="2:33" ht="14.4">
      <c r="B567" s="1134">
        <v>8919849</v>
      </c>
      <c r="C567" s="1135"/>
      <c r="D567" s="1134">
        <v>185524</v>
      </c>
      <c r="E567" s="1153">
        <v>42242</v>
      </c>
      <c r="F567" s="1154">
        <v>30000</v>
      </c>
      <c r="G567" s="1155">
        <v>10</v>
      </c>
      <c r="H567" s="1154">
        <v>30200</v>
      </c>
      <c r="I567" s="1155">
        <v>15</v>
      </c>
      <c r="J567" s="1156">
        <v>4461</v>
      </c>
      <c r="K567" s="1157"/>
      <c r="L567" s="1158">
        <v>42292</v>
      </c>
      <c r="M567" s="269">
        <f t="shared" si="135"/>
        <v>4</v>
      </c>
      <c r="N567" s="1074">
        <f t="shared" si="155"/>
        <v>150</v>
      </c>
      <c r="O567" s="1087">
        <f t="shared" si="136"/>
        <v>2711.3600000000006</v>
      </c>
      <c r="P567" s="269">
        <f t="shared" si="156"/>
        <v>1</v>
      </c>
      <c r="Q567" s="269" t="str">
        <f t="shared" si="137"/>
        <v/>
      </c>
      <c r="R567" s="1142"/>
      <c r="S567" s="1143" t="str">
        <f t="shared" si="138"/>
        <v>Upsize</v>
      </c>
      <c r="T567" s="1144">
        <f t="shared" si="139"/>
        <v>2213.2450331125829</v>
      </c>
      <c r="U567" s="1144">
        <f t="shared" si="140"/>
        <v>883.11258278145692</v>
      </c>
      <c r="V567" s="1146">
        <f t="shared" si="141"/>
        <v>10080.433473810957</v>
      </c>
      <c r="W567" s="1146">
        <f t="shared" si="142"/>
        <v>7593.6470588235297</v>
      </c>
      <c r="X567" s="1146">
        <f t="shared" si="143"/>
        <v>2486.7864149874276</v>
      </c>
      <c r="Y567" s="1146">
        <f t="shared" si="144"/>
        <v>7973.5676212012822</v>
      </c>
      <c r="Z567" s="1146">
        <f t="shared" si="145"/>
        <v>7593.6470588235297</v>
      </c>
      <c r="AA567" s="1146">
        <f t="shared" si="146"/>
        <v>379.9205623777525</v>
      </c>
      <c r="AB567" s="1146">
        <f t="shared" si="147"/>
        <v>10147.636363636364</v>
      </c>
      <c r="AC567" s="1146">
        <f t="shared" si="148"/>
        <v>7593.6470588235297</v>
      </c>
      <c r="AD567" s="1146">
        <f t="shared" si="149"/>
        <v>2553.9893048128342</v>
      </c>
      <c r="AE567" s="1146">
        <f t="shared" si="150"/>
        <v>8026.7247386759573</v>
      </c>
      <c r="AF567" s="1146">
        <f t="shared" si="151"/>
        <v>7593.6470588235297</v>
      </c>
      <c r="AG567" s="1146">
        <f t="shared" si="152"/>
        <v>433.07767985242754</v>
      </c>
    </row>
    <row r="568" spans="2:33" ht="14.4">
      <c r="B568" s="1134">
        <v>8914339</v>
      </c>
      <c r="C568" s="1135"/>
      <c r="D568" s="1134">
        <v>8770462</v>
      </c>
      <c r="E568" s="1153">
        <v>42251</v>
      </c>
      <c r="F568" s="1154">
        <v>30000</v>
      </c>
      <c r="G568" s="1155">
        <v>10</v>
      </c>
      <c r="H568" s="1154">
        <v>47500</v>
      </c>
      <c r="I568" s="1155">
        <v>19</v>
      </c>
      <c r="J568" s="1156">
        <v>6200</v>
      </c>
      <c r="K568" s="1157"/>
      <c r="L568" s="1158">
        <v>42292</v>
      </c>
      <c r="M568" s="269">
        <f t="shared" si="135"/>
        <v>4</v>
      </c>
      <c r="N568" s="1074">
        <f t="shared" si="155"/>
        <v>400</v>
      </c>
      <c r="O568" s="1087">
        <f t="shared" si="136"/>
        <v>1374</v>
      </c>
      <c r="P568" s="269">
        <f t="shared" si="156"/>
        <v>1</v>
      </c>
      <c r="Q568" s="269" t="str">
        <f t="shared" si="137"/>
        <v/>
      </c>
      <c r="R568" s="1142"/>
      <c r="S568" s="1143" t="str">
        <f t="shared" si="138"/>
        <v>Upsize</v>
      </c>
      <c r="T568" s="1144">
        <f t="shared" si="139"/>
        <v>1407.1578947368421</v>
      </c>
      <c r="U568" s="1144">
        <f t="shared" si="140"/>
        <v>561.47368421052624</v>
      </c>
      <c r="V568" s="1146">
        <f t="shared" si="141"/>
        <v>6409.0334928229649</v>
      </c>
      <c r="W568" s="1146">
        <f t="shared" si="142"/>
        <v>6655.5417956656338</v>
      </c>
      <c r="X568" s="1146">
        <f t="shared" si="143"/>
        <v>-246.50830284266885</v>
      </c>
      <c r="Y568" s="1146">
        <f t="shared" si="144"/>
        <v>5069.5103612690264</v>
      </c>
      <c r="Z568" s="1146">
        <f t="shared" si="145"/>
        <v>6655.5417956656338</v>
      </c>
      <c r="AA568" s="1146">
        <f t="shared" si="146"/>
        <v>-1586.0314343966074</v>
      </c>
      <c r="AB568" s="1146">
        <f t="shared" si="147"/>
        <v>10147.636363636362</v>
      </c>
      <c r="AC568" s="1146">
        <f t="shared" si="148"/>
        <v>6655.5417956656338</v>
      </c>
      <c r="AD568" s="1146">
        <f t="shared" si="149"/>
        <v>3492.0945679707283</v>
      </c>
      <c r="AE568" s="1146">
        <f t="shared" si="150"/>
        <v>8026.7247386759582</v>
      </c>
      <c r="AF568" s="1146">
        <f t="shared" si="151"/>
        <v>6655.5417956656338</v>
      </c>
      <c r="AG568" s="1146">
        <f t="shared" si="152"/>
        <v>1371.1829430103244</v>
      </c>
    </row>
    <row r="569" spans="2:33" ht="14.4">
      <c r="B569" s="1134">
        <v>3198058</v>
      </c>
      <c r="C569" s="1135"/>
      <c r="D569" s="1134">
        <v>304699</v>
      </c>
      <c r="E569" s="1153">
        <v>42242</v>
      </c>
      <c r="F569" s="1154">
        <v>40000</v>
      </c>
      <c r="G569" s="1155">
        <v>10</v>
      </c>
      <c r="H569" s="1154">
        <v>46000</v>
      </c>
      <c r="I569" s="1155">
        <v>18</v>
      </c>
      <c r="J569" s="1156">
        <v>8500</v>
      </c>
      <c r="K569" s="1157"/>
      <c r="L569" s="1158">
        <v>42292</v>
      </c>
      <c r="M569" s="269">
        <f t="shared" si="135"/>
        <v>4</v>
      </c>
      <c r="N569" s="1074">
        <f t="shared" si="155"/>
        <v>350</v>
      </c>
      <c r="O569" s="1087">
        <f t="shared" si="136"/>
        <v>3969.3333333333335</v>
      </c>
      <c r="P569" s="269">
        <f t="shared" si="156"/>
        <v>1</v>
      </c>
      <c r="Q569" s="269" t="str">
        <f t="shared" si="137"/>
        <v/>
      </c>
      <c r="R569" s="1142"/>
      <c r="S569" s="1143" t="str">
        <f t="shared" si="138"/>
        <v>Upsize</v>
      </c>
      <c r="T569" s="1144">
        <f t="shared" si="139"/>
        <v>1937.391304347826</v>
      </c>
      <c r="U569" s="1144">
        <f t="shared" si="140"/>
        <v>773.04347826086951</v>
      </c>
      <c r="V569" s="1146">
        <f t="shared" si="141"/>
        <v>11765.375494071144</v>
      </c>
      <c r="W569" s="1146">
        <f t="shared" si="142"/>
        <v>9134.6405228758158</v>
      </c>
      <c r="X569" s="1146">
        <f t="shared" si="143"/>
        <v>2630.7349711953284</v>
      </c>
      <c r="Y569" s="1146">
        <f t="shared" si="144"/>
        <v>9306.3475231025604</v>
      </c>
      <c r="Z569" s="1146">
        <f t="shared" si="145"/>
        <v>9134.6405228758158</v>
      </c>
      <c r="AA569" s="1146">
        <f t="shared" si="146"/>
        <v>171.70700022674464</v>
      </c>
      <c r="AB569" s="1146">
        <f t="shared" si="147"/>
        <v>13530.181818181816</v>
      </c>
      <c r="AC569" s="1146">
        <f t="shared" si="148"/>
        <v>9134.6405228758158</v>
      </c>
      <c r="AD569" s="1146">
        <f t="shared" si="149"/>
        <v>4395.5412953060004</v>
      </c>
      <c r="AE569" s="1146">
        <f t="shared" si="150"/>
        <v>10702.299651567944</v>
      </c>
      <c r="AF569" s="1146">
        <f t="shared" si="151"/>
        <v>9134.6405228758158</v>
      </c>
      <c r="AG569" s="1146">
        <f t="shared" si="152"/>
        <v>1567.6591286921284</v>
      </c>
    </row>
    <row r="570" spans="2:33" ht="14.4">
      <c r="B570" s="1134">
        <v>970053</v>
      </c>
      <c r="C570" s="1135"/>
      <c r="D570" s="1134">
        <v>97005</v>
      </c>
      <c r="E570" s="1153">
        <v>42228</v>
      </c>
      <c r="F570" s="1154">
        <v>25000</v>
      </c>
      <c r="G570" s="1155">
        <v>12</v>
      </c>
      <c r="H570" s="1154">
        <v>34600</v>
      </c>
      <c r="I570" s="1155">
        <v>16</v>
      </c>
      <c r="J570" s="1156">
        <v>9999</v>
      </c>
      <c r="K570" s="1157"/>
      <c r="L570" s="1158">
        <v>42228</v>
      </c>
      <c r="M570" s="269">
        <f t="shared" si="135"/>
        <v>3</v>
      </c>
      <c r="N570" s="1074">
        <f t="shared" si="155"/>
        <v>225</v>
      </c>
      <c r="O570" s="1087">
        <f t="shared" si="136"/>
        <v>-217.54999999999961</v>
      </c>
      <c r="P570" s="269">
        <f t="shared" si="156"/>
        <v>1</v>
      </c>
      <c r="Q570" s="269" t="str">
        <f t="shared" si="137"/>
        <v/>
      </c>
      <c r="R570" s="1142"/>
      <c r="S570" s="1143" t="str">
        <f t="shared" si="138"/>
        <v>Upsize</v>
      </c>
      <c r="T570" s="1144">
        <f t="shared" si="139"/>
        <v>1609.8265895953757</v>
      </c>
      <c r="U570" s="1144">
        <f t="shared" si="140"/>
        <v>642.34104046242771</v>
      </c>
      <c r="V570" s="1146">
        <f t="shared" si="141"/>
        <v>5439.3282536346123</v>
      </c>
      <c r="W570" s="1146">
        <f t="shared" si="142"/>
        <v>6095.9558823529414</v>
      </c>
      <c r="X570" s="1146">
        <f t="shared" si="143"/>
        <v>-656.62762871832911</v>
      </c>
      <c r="Y570" s="1146">
        <f t="shared" si="144"/>
        <v>4833.0471692413039</v>
      </c>
      <c r="Z570" s="1146">
        <f t="shared" si="145"/>
        <v>6095.9558823529414</v>
      </c>
      <c r="AA570" s="1146">
        <f t="shared" si="146"/>
        <v>-1262.9087131116376</v>
      </c>
      <c r="AB570" s="1146">
        <f t="shared" si="147"/>
        <v>7528.030303030303</v>
      </c>
      <c r="AC570" s="1146">
        <f t="shared" si="148"/>
        <v>6095.9558823529414</v>
      </c>
      <c r="AD570" s="1146">
        <f t="shared" si="149"/>
        <v>1432.0744206773616</v>
      </c>
      <c r="AE570" s="1146">
        <f t="shared" si="150"/>
        <v>6688.9372822299656</v>
      </c>
      <c r="AF570" s="1146">
        <f t="shared" si="151"/>
        <v>6095.9558823529414</v>
      </c>
      <c r="AG570" s="1146">
        <f t="shared" si="152"/>
        <v>592.98139987702416</v>
      </c>
    </row>
    <row r="571" spans="2:33" ht="14.4">
      <c r="B571" s="1134">
        <v>8287161</v>
      </c>
      <c r="C571" s="1135"/>
      <c r="D571" s="1134">
        <v>145460</v>
      </c>
      <c r="E571" s="1153">
        <v>42237</v>
      </c>
      <c r="F571" s="1154">
        <v>30000</v>
      </c>
      <c r="G571" s="1155">
        <v>10</v>
      </c>
      <c r="H571" s="1154">
        <v>47500</v>
      </c>
      <c r="I571" s="1155">
        <v>15</v>
      </c>
      <c r="J571" s="1156">
        <v>6049</v>
      </c>
      <c r="K571" s="1157"/>
      <c r="L571" s="1158">
        <v>42228</v>
      </c>
      <c r="M571" s="269">
        <f t="shared" si="135"/>
        <v>3</v>
      </c>
      <c r="N571" s="1074">
        <f t="shared" si="155"/>
        <v>250</v>
      </c>
      <c r="O571" s="1087">
        <f t="shared" si="136"/>
        <v>-457.9999999999996</v>
      </c>
      <c r="P571" s="269">
        <f t="shared" si="156"/>
        <v>1</v>
      </c>
      <c r="Q571" s="269" t="str">
        <f t="shared" si="137"/>
        <v/>
      </c>
      <c r="R571" s="1142"/>
      <c r="S571" s="1143" t="str">
        <f t="shared" si="138"/>
        <v>Upsize</v>
      </c>
      <c r="T571" s="1144">
        <f t="shared" si="139"/>
        <v>1407.1578947368421</v>
      </c>
      <c r="U571" s="1144">
        <f t="shared" si="140"/>
        <v>561.47368421052624</v>
      </c>
      <c r="V571" s="1146">
        <f t="shared" si="141"/>
        <v>6409.0334928229649</v>
      </c>
      <c r="W571" s="1146">
        <f t="shared" si="142"/>
        <v>7593.6470588235288</v>
      </c>
      <c r="X571" s="1146">
        <f t="shared" si="143"/>
        <v>-1184.6135660005639</v>
      </c>
      <c r="Y571" s="1146">
        <f t="shared" si="144"/>
        <v>5069.5103612690264</v>
      </c>
      <c r="Z571" s="1146">
        <f t="shared" si="145"/>
        <v>7593.6470588235288</v>
      </c>
      <c r="AA571" s="1146">
        <f t="shared" si="146"/>
        <v>-2524.1366975545025</v>
      </c>
      <c r="AB571" s="1146">
        <f t="shared" si="147"/>
        <v>10147.636363636362</v>
      </c>
      <c r="AC571" s="1146">
        <f t="shared" si="148"/>
        <v>7593.6470588235288</v>
      </c>
      <c r="AD571" s="1146">
        <f t="shared" si="149"/>
        <v>2553.9893048128333</v>
      </c>
      <c r="AE571" s="1146">
        <f t="shared" si="150"/>
        <v>8026.7247386759582</v>
      </c>
      <c r="AF571" s="1146">
        <f t="shared" si="151"/>
        <v>7593.6470588235288</v>
      </c>
      <c r="AG571" s="1146">
        <f t="shared" si="152"/>
        <v>433.07767985242936</v>
      </c>
    </row>
    <row r="572" spans="2:33" ht="14.4">
      <c r="B572" s="1134">
        <v>2122562</v>
      </c>
      <c r="C572" s="1135"/>
      <c r="D572" s="1134">
        <v>183307</v>
      </c>
      <c r="E572" s="1153">
        <v>42144</v>
      </c>
      <c r="F572" s="1154">
        <v>30000</v>
      </c>
      <c r="G572" s="1155">
        <v>10</v>
      </c>
      <c r="H572" s="1154">
        <v>35800</v>
      </c>
      <c r="I572" s="1155">
        <v>15</v>
      </c>
      <c r="J572" s="1156">
        <v>4468</v>
      </c>
      <c r="K572" s="1157"/>
      <c r="L572" s="1158">
        <v>42228</v>
      </c>
      <c r="M572" s="269">
        <f t="shared" si="157" ref="M572:M597">IF(MAX(K572,L572)&lt;40000,"",ROUNDUP(MONTH(MAX(K572,L572))/3,0))</f>
        <v>3</v>
      </c>
      <c r="N572" s="1074">
        <f t="shared" si="155"/>
        <v>175</v>
      </c>
      <c r="O572" s="1087">
        <f t="shared" si="158" ref="O572:O635">IF(F572&lt;1,"",2.748*(F572/G572-H572/I572))</f>
        <v>1685.4400000000005</v>
      </c>
      <c r="P572" s="269">
        <f t="shared" si="156"/>
        <v>1</v>
      </c>
      <c r="Q572" s="269" t="str">
        <f t="shared" si="159" ref="Q572:Q635">IF(K572&gt;0,1,"")</f>
        <v/>
      </c>
      <c r="R572" s="1142"/>
      <c r="S572" s="1143" t="str">
        <f t="shared" si="138"/>
        <v>Upsize</v>
      </c>
      <c r="T572" s="1144">
        <f t="shared" si="139"/>
        <v>1867.0391061452515</v>
      </c>
      <c r="U572" s="1144">
        <f t="shared" si="140"/>
        <v>744.97206703910615</v>
      </c>
      <c r="V572" s="1146">
        <f t="shared" si="141"/>
        <v>8503.6058913153884</v>
      </c>
      <c r="W572" s="1146">
        <f t="shared" si="142"/>
        <v>7593.6470588235297</v>
      </c>
      <c r="X572" s="1146">
        <f t="shared" si="143"/>
        <v>909.95883249185863</v>
      </c>
      <c r="Y572" s="1146">
        <f t="shared" si="144"/>
        <v>6726.3056469351604</v>
      </c>
      <c r="Z572" s="1146">
        <f t="shared" si="145"/>
        <v>7593.6470588235297</v>
      </c>
      <c r="AA572" s="1146">
        <f t="shared" si="146"/>
        <v>-867.34141188836929</v>
      </c>
      <c r="AB572" s="1146">
        <f t="shared" si="147"/>
        <v>10147.636363636362</v>
      </c>
      <c r="AC572" s="1146">
        <f t="shared" si="148"/>
        <v>7593.6470588235297</v>
      </c>
      <c r="AD572" s="1146">
        <f t="shared" si="149"/>
        <v>2553.9893048128324</v>
      </c>
      <c r="AE572" s="1146">
        <f t="shared" si="150"/>
        <v>8026.7247386759582</v>
      </c>
      <c r="AF572" s="1146">
        <f t="shared" si="151"/>
        <v>7593.6470588235297</v>
      </c>
      <c r="AG572" s="1146">
        <f t="shared" si="152"/>
        <v>433.07767985242845</v>
      </c>
    </row>
    <row r="573" spans="2:33" ht="14.4">
      <c r="B573" s="1134">
        <v>6250187</v>
      </c>
      <c r="C573" s="1135"/>
      <c r="D573" s="1134">
        <v>335694</v>
      </c>
      <c r="E573" s="1153">
        <v>42214</v>
      </c>
      <c r="F573" s="1154">
        <v>42000</v>
      </c>
      <c r="G573" s="1155">
        <v>10</v>
      </c>
      <c r="H573" s="1154">
        <v>48000</v>
      </c>
      <c r="I573" s="1155">
        <v>15</v>
      </c>
      <c r="J573" s="1156">
        <v>5770</v>
      </c>
      <c r="K573" s="1157"/>
      <c r="L573" s="1158">
        <v>42228</v>
      </c>
      <c r="M573" s="269">
        <f t="shared" si="157"/>
        <v>3</v>
      </c>
      <c r="N573" s="1074">
        <f t="shared" si="155"/>
        <v>250</v>
      </c>
      <c r="O573" s="1087">
        <f t="shared" si="158"/>
        <v>2748</v>
      </c>
      <c r="P573" s="269">
        <f t="shared" si="156"/>
        <v>1</v>
      </c>
      <c r="Q573" s="269" t="str">
        <f t="shared" si="159"/>
        <v/>
      </c>
      <c r="R573" s="1142"/>
      <c r="S573" s="1143" t="str">
        <f t="shared" si="160" ref="S573:S636">IF(F573=H573,"Same Size",IF(F573&lt;H573,"Upsize","Downsize"))</f>
        <v>Upsize</v>
      </c>
      <c r="T573" s="1144">
        <f t="shared" si="161" ref="T573:T636">($F573/$H573)*$K$35</f>
        <v>1949.50</v>
      </c>
      <c r="U573" s="1144">
        <f t="shared" si="162" ref="U573:U636">($F573/$H573)*$K$36</f>
        <v>777.875</v>
      </c>
      <c r="V573" s="1146">
        <f t="shared" si="163" ref="V573:V636">$P573*$F573/1000*($T573/$G573+$U573/$K$33)</f>
        <v>12430.854545454544</v>
      </c>
      <c r="W573" s="1146">
        <f t="shared" si="164" ref="W573:W636">$P573*$H573/1000*($T573/$I573+$U573/$K$32)</f>
        <v>10631.105882352942</v>
      </c>
      <c r="X573" s="1146">
        <f t="shared" si="165" ref="X573:X636">V573-W573</f>
        <v>1799.7486631016018</v>
      </c>
      <c r="Y573" s="1146">
        <f t="shared" si="166" ref="Y573:Y636">$P573*$F573/1000*($T573/14+$U573/$K$34)</f>
        <v>9832.7378048780483</v>
      </c>
      <c r="Z573" s="1146">
        <f t="shared" si="167" ref="Z573:Z636">$P573*$H573/1000*($T573/$I573+$U573/$K$32)</f>
        <v>10631.105882352942</v>
      </c>
      <c r="AA573" s="1146">
        <f t="shared" si="168" ref="AA573:AA636">Y573-Z573</f>
        <v>-798.36807747489365</v>
      </c>
      <c r="AB573" s="1146">
        <f t="shared" si="169" ref="AB573:AB636">$P573*$H573/1000*($T573/$G573+$U573/$K$33)</f>
        <v>14206.690909090907</v>
      </c>
      <c r="AC573" s="1146">
        <f t="shared" si="170" ref="AC573:AC636">$P573*$H573/1000*($T573/$I573+$U573/$K$32)</f>
        <v>10631.105882352942</v>
      </c>
      <c r="AD573" s="1146">
        <f t="shared" si="171" ref="AD573:AD636">AB573-AC573</f>
        <v>3575.5850267379647</v>
      </c>
      <c r="AE573" s="1146">
        <f t="shared" si="172" ref="AE573:AE636">$P573*$H573/1000*($T573/14+$U573/$K$34)</f>
        <v>11237.414634146342</v>
      </c>
      <c r="AF573" s="1146">
        <f t="shared" si="173" ref="AF573:AF636">$P573*$H573/1000*($T573/$I573+$U573/$K$32)</f>
        <v>10631.105882352942</v>
      </c>
      <c r="AG573" s="1146">
        <f t="shared" si="174" ref="AG573:AG636">AE573-AF573</f>
        <v>606.30875179340001</v>
      </c>
    </row>
    <row r="574" spans="2:33" ht="14.4">
      <c r="B574" s="1134">
        <v>8872503</v>
      </c>
      <c r="C574" s="1135"/>
      <c r="D574" s="1134">
        <v>731506</v>
      </c>
      <c r="E574" s="1153">
        <v>42259</v>
      </c>
      <c r="F574" s="1154">
        <v>36000</v>
      </c>
      <c r="G574" s="1155">
        <v>11</v>
      </c>
      <c r="H574" s="1154">
        <v>36400</v>
      </c>
      <c r="I574" s="1155">
        <v>16</v>
      </c>
      <c r="J574" s="1156">
        <v>10401</v>
      </c>
      <c r="K574" s="1157"/>
      <c r="L574" s="1158">
        <v>42320</v>
      </c>
      <c r="M574" s="269">
        <f t="shared" si="157"/>
        <v>4</v>
      </c>
      <c r="N574" s="1074">
        <f t="shared" si="155"/>
        <v>225</v>
      </c>
      <c r="O574" s="1087">
        <f t="shared" si="158"/>
        <v>2741.7545454545452</v>
      </c>
      <c r="P574" s="269">
        <f t="shared" si="156"/>
        <v>1</v>
      </c>
      <c r="Q574" s="269" t="str">
        <f t="shared" si="159"/>
        <v/>
      </c>
      <c r="R574" s="1142"/>
      <c r="S574" s="1143" t="str">
        <f t="shared" si="160"/>
        <v>Upsize</v>
      </c>
      <c r="T574" s="1144">
        <f t="shared" si="161"/>
        <v>2203.5164835164837</v>
      </c>
      <c r="U574" s="1144">
        <f t="shared" si="162"/>
        <v>879.23076923076928</v>
      </c>
      <c r="V574" s="1146">
        <f t="shared" si="163"/>
        <v>11322.197802197803</v>
      </c>
      <c r="W574" s="1146">
        <f t="shared" si="164"/>
        <v>8778.1764705882342</v>
      </c>
      <c r="X574" s="1146">
        <f t="shared" si="165"/>
        <v>2544.0213316095687</v>
      </c>
      <c r="Y574" s="1146">
        <f t="shared" si="166"/>
        <v>9526.2227667802581</v>
      </c>
      <c r="Z574" s="1146">
        <f t="shared" si="167"/>
        <v>8778.1764705882342</v>
      </c>
      <c r="AA574" s="1146">
        <f t="shared" si="168"/>
        <v>748.04629619202387</v>
      </c>
      <c r="AB574" s="1146">
        <f t="shared" si="169"/>
        <v>11448</v>
      </c>
      <c r="AC574" s="1146">
        <f t="shared" si="170"/>
        <v>8778.1764705882342</v>
      </c>
      <c r="AD574" s="1146">
        <f t="shared" si="171"/>
        <v>2669.8235294117658</v>
      </c>
      <c r="AE574" s="1146">
        <f t="shared" si="172"/>
        <v>9632.0696864111505</v>
      </c>
      <c r="AF574" s="1146">
        <f t="shared" si="173"/>
        <v>8778.1764705882342</v>
      </c>
      <c r="AG574" s="1146">
        <f t="shared" si="174"/>
        <v>853.89321582291632</v>
      </c>
    </row>
    <row r="575" spans="2:33" ht="14.4">
      <c r="B575" s="1134">
        <v>4314803</v>
      </c>
      <c r="C575" s="1135"/>
      <c r="D575" s="1134">
        <v>140288</v>
      </c>
      <c r="E575" s="1153">
        <v>42230</v>
      </c>
      <c r="F575" s="1154">
        <v>12000</v>
      </c>
      <c r="G575" s="1155">
        <v>10</v>
      </c>
      <c r="H575" s="1154">
        <v>12000</v>
      </c>
      <c r="I575" s="1155">
        <v>22</v>
      </c>
      <c r="J575" s="1156">
        <v>5916.75</v>
      </c>
      <c r="K575" s="1157"/>
      <c r="L575" s="1158">
        <v>42320</v>
      </c>
      <c r="M575" s="269">
        <f t="shared" si="157"/>
        <v>4</v>
      </c>
      <c r="N575" s="1074">
        <f t="shared" si="155"/>
        <v>100</v>
      </c>
      <c r="O575" s="1087">
        <f t="shared" si="158"/>
        <v>1798.6909090909091</v>
      </c>
      <c r="P575" s="269">
        <f t="shared" si="156"/>
        <v>1</v>
      </c>
      <c r="Q575" s="269" t="str">
        <f t="shared" si="159"/>
        <v/>
      </c>
      <c r="R575" s="1142"/>
      <c r="S575" s="1143" t="str">
        <f t="shared" si="160"/>
        <v>Same Size</v>
      </c>
      <c r="T575" s="1144">
        <f t="shared" si="161"/>
        <v>2228</v>
      </c>
      <c r="U575" s="1144">
        <f t="shared" si="162"/>
        <v>889</v>
      </c>
      <c r="V575" s="1146">
        <f t="shared" si="163"/>
        <v>4059.0545454545454</v>
      </c>
      <c r="W575" s="1146">
        <f t="shared" si="164"/>
        <v>2470.3315508021392</v>
      </c>
      <c r="X575" s="1146">
        <f t="shared" si="165"/>
        <v>1588.7229946524062</v>
      </c>
      <c r="Y575" s="1146">
        <f t="shared" si="166"/>
        <v>3210.6898954703829</v>
      </c>
      <c r="Z575" s="1146">
        <f t="shared" si="167"/>
        <v>2470.3315508021392</v>
      </c>
      <c r="AA575" s="1146">
        <f t="shared" si="168"/>
        <v>740.35834466824372</v>
      </c>
      <c r="AB575" s="1146">
        <f t="shared" si="169"/>
        <v>4059.0545454545454</v>
      </c>
      <c r="AC575" s="1146">
        <f t="shared" si="170"/>
        <v>2470.3315508021392</v>
      </c>
      <c r="AD575" s="1146">
        <f t="shared" si="171"/>
        <v>1588.7229946524062</v>
      </c>
      <c r="AE575" s="1146">
        <f t="shared" si="172"/>
        <v>3210.6898954703829</v>
      </c>
      <c r="AF575" s="1146">
        <f t="shared" si="173"/>
        <v>2470.3315508021392</v>
      </c>
      <c r="AG575" s="1146">
        <f t="shared" si="174"/>
        <v>740.35834466824372</v>
      </c>
    </row>
    <row r="576" spans="2:33" ht="14.4">
      <c r="B576" s="1134">
        <v>4314803</v>
      </c>
      <c r="C576" s="1135"/>
      <c r="D576" s="1134">
        <v>140288</v>
      </c>
      <c r="E576" s="1153">
        <v>42230</v>
      </c>
      <c r="F576" s="1154">
        <v>12000</v>
      </c>
      <c r="G576" s="1155">
        <v>10</v>
      </c>
      <c r="H576" s="1154">
        <v>22000</v>
      </c>
      <c r="I576" s="1155">
        <v>20</v>
      </c>
      <c r="J576" s="1156">
        <v>5916.75</v>
      </c>
      <c r="K576" s="1157"/>
      <c r="L576" s="1158">
        <v>42320</v>
      </c>
      <c r="M576" s="269">
        <f t="shared" si="157"/>
        <v>4</v>
      </c>
      <c r="N576" s="1074">
        <f t="shared" si="155"/>
        <v>200</v>
      </c>
      <c r="O576" s="1087">
        <f t="shared" si="158"/>
        <v>274.80</v>
      </c>
      <c r="P576" s="269">
        <f t="shared" si="156"/>
        <v>1</v>
      </c>
      <c r="Q576" s="269" t="str">
        <f t="shared" si="159"/>
        <v/>
      </c>
      <c r="R576" s="1142"/>
      <c r="S576" s="1143" t="str">
        <f t="shared" si="160"/>
        <v>Upsize</v>
      </c>
      <c r="T576" s="1144">
        <f t="shared" si="161"/>
        <v>1215.2727272727273</v>
      </c>
      <c r="U576" s="1144">
        <f t="shared" si="162"/>
        <v>484.90909090909088</v>
      </c>
      <c r="V576" s="1146">
        <f t="shared" si="163"/>
        <v>2214.0297520661161</v>
      </c>
      <c r="W576" s="1146">
        <f t="shared" si="164"/>
        <v>2591.8588235294119</v>
      </c>
      <c r="X576" s="1146">
        <f t="shared" si="165"/>
        <v>-377.8290714632958</v>
      </c>
      <c r="Y576" s="1146">
        <f t="shared" si="166"/>
        <v>1751.2853975293001</v>
      </c>
      <c r="Z576" s="1146">
        <f t="shared" si="167"/>
        <v>2591.8588235294119</v>
      </c>
      <c r="AA576" s="1146">
        <f t="shared" si="168"/>
        <v>-840.57342600011179</v>
      </c>
      <c r="AB576" s="1146">
        <f t="shared" si="169"/>
        <v>4059.0545454545459</v>
      </c>
      <c r="AC576" s="1146">
        <f t="shared" si="170"/>
        <v>2591.8588235294119</v>
      </c>
      <c r="AD576" s="1146">
        <f t="shared" si="171"/>
        <v>1467.195721925134</v>
      </c>
      <c r="AE576" s="1146">
        <f t="shared" si="172"/>
        <v>3210.6898954703834</v>
      </c>
      <c r="AF576" s="1146">
        <f t="shared" si="173"/>
        <v>2591.8588235294119</v>
      </c>
      <c r="AG576" s="1146">
        <f t="shared" si="174"/>
        <v>618.83107194097147</v>
      </c>
    </row>
    <row r="577" spans="2:33" ht="14.4">
      <c r="B577" s="1134">
        <v>4314803</v>
      </c>
      <c r="C577" s="1135"/>
      <c r="D577" s="1134">
        <v>140288</v>
      </c>
      <c r="E577" s="1153">
        <v>42230</v>
      </c>
      <c r="F577" s="1154">
        <v>12000</v>
      </c>
      <c r="G577" s="1155">
        <v>10</v>
      </c>
      <c r="H577" s="1154">
        <v>18000</v>
      </c>
      <c r="I577" s="1155">
        <v>18</v>
      </c>
      <c r="J577" s="1156">
        <v>5916.75</v>
      </c>
      <c r="K577" s="1157"/>
      <c r="L577" s="1158">
        <v>42320</v>
      </c>
      <c r="M577" s="269">
        <f t="shared" si="157"/>
        <v>4</v>
      </c>
      <c r="N577" s="1074">
        <f t="shared" si="155"/>
        <v>150</v>
      </c>
      <c r="O577" s="1087">
        <f t="shared" si="158"/>
        <v>549.60</v>
      </c>
      <c r="P577" s="269">
        <f t="shared" si="156"/>
        <v>1</v>
      </c>
      <c r="Q577" s="269" t="str">
        <f t="shared" si="159"/>
        <v/>
      </c>
      <c r="R577" s="1142"/>
      <c r="S577" s="1143" t="str">
        <f t="shared" si="160"/>
        <v>Upsize</v>
      </c>
      <c r="T577" s="1144">
        <f t="shared" si="161"/>
        <v>1485.3333333333333</v>
      </c>
      <c r="U577" s="1144">
        <f t="shared" si="162"/>
        <v>592.66666666666663</v>
      </c>
      <c r="V577" s="1146">
        <f t="shared" si="163"/>
        <v>2706.0363636363636</v>
      </c>
      <c r="W577" s="1146">
        <f t="shared" si="164"/>
        <v>2740.3921568627447</v>
      </c>
      <c r="X577" s="1146">
        <f t="shared" si="165"/>
        <v>-34.355793226381138</v>
      </c>
      <c r="Y577" s="1146">
        <f t="shared" si="166"/>
        <v>2140.4599303135892</v>
      </c>
      <c r="Z577" s="1146">
        <f t="shared" si="167"/>
        <v>2740.3921568627447</v>
      </c>
      <c r="AA577" s="1146">
        <f t="shared" si="168"/>
        <v>-599.93222654915553</v>
      </c>
      <c r="AB577" s="1146">
        <f t="shared" si="169"/>
        <v>4059.0545454545454</v>
      </c>
      <c r="AC577" s="1146">
        <f t="shared" si="170"/>
        <v>2740.3921568627447</v>
      </c>
      <c r="AD577" s="1146">
        <f t="shared" si="171"/>
        <v>1318.6623885918007</v>
      </c>
      <c r="AE577" s="1146">
        <f t="shared" si="172"/>
        <v>3210.6898954703834</v>
      </c>
      <c r="AF577" s="1146">
        <f t="shared" si="173"/>
        <v>2740.3921568627447</v>
      </c>
      <c r="AG577" s="1146">
        <f t="shared" si="174"/>
        <v>470.29773860763862</v>
      </c>
    </row>
    <row r="578" spans="2:33" ht="14.4">
      <c r="B578" s="1134">
        <v>4314803</v>
      </c>
      <c r="C578" s="1135"/>
      <c r="D578" s="1134">
        <v>140288</v>
      </c>
      <c r="E578" s="1153">
        <v>42230</v>
      </c>
      <c r="F578" s="1154">
        <v>12000</v>
      </c>
      <c r="G578" s="1155">
        <v>10</v>
      </c>
      <c r="H578" s="1154">
        <v>18000</v>
      </c>
      <c r="I578" s="1155">
        <v>18</v>
      </c>
      <c r="J578" s="1156">
        <v>5916.75</v>
      </c>
      <c r="K578" s="1157"/>
      <c r="L578" s="1158">
        <v>42320</v>
      </c>
      <c r="M578" s="269">
        <f t="shared" si="157"/>
        <v>4</v>
      </c>
      <c r="N578" s="1074">
        <f t="shared" si="155"/>
        <v>150</v>
      </c>
      <c r="O578" s="1087">
        <f t="shared" si="158"/>
        <v>549.60</v>
      </c>
      <c r="P578" s="269">
        <f t="shared" si="156"/>
        <v>1</v>
      </c>
      <c r="Q578" s="269" t="str">
        <f t="shared" si="159"/>
        <v/>
      </c>
      <c r="R578" s="1142"/>
      <c r="S578" s="1143" t="str">
        <f t="shared" si="160"/>
        <v>Upsize</v>
      </c>
      <c r="T578" s="1144">
        <f t="shared" si="161"/>
        <v>1485.3333333333333</v>
      </c>
      <c r="U578" s="1144">
        <f t="shared" si="162"/>
        <v>592.66666666666663</v>
      </c>
      <c r="V578" s="1146">
        <f t="shared" si="163"/>
        <v>2706.0363636363636</v>
      </c>
      <c r="W578" s="1146">
        <f t="shared" si="164"/>
        <v>2740.3921568627447</v>
      </c>
      <c r="X578" s="1146">
        <f t="shared" si="165"/>
        <v>-34.355793226381138</v>
      </c>
      <c r="Y578" s="1146">
        <f t="shared" si="166"/>
        <v>2140.4599303135892</v>
      </c>
      <c r="Z578" s="1146">
        <f t="shared" si="167"/>
        <v>2740.3921568627447</v>
      </c>
      <c r="AA578" s="1146">
        <f t="shared" si="168"/>
        <v>-599.93222654915553</v>
      </c>
      <c r="AB578" s="1146">
        <f t="shared" si="169"/>
        <v>4059.0545454545454</v>
      </c>
      <c r="AC578" s="1146">
        <f t="shared" si="170"/>
        <v>2740.3921568627447</v>
      </c>
      <c r="AD578" s="1146">
        <f t="shared" si="171"/>
        <v>1318.6623885918007</v>
      </c>
      <c r="AE578" s="1146">
        <f t="shared" si="172"/>
        <v>3210.6898954703834</v>
      </c>
      <c r="AF578" s="1146">
        <f t="shared" si="173"/>
        <v>2740.3921568627447</v>
      </c>
      <c r="AG578" s="1146">
        <f t="shared" si="174"/>
        <v>470.29773860763862</v>
      </c>
    </row>
    <row r="579" spans="2:33" ht="14.4">
      <c r="B579" s="1134">
        <v>7112691</v>
      </c>
      <c r="C579" s="1135"/>
      <c r="D579" s="1134">
        <v>711269</v>
      </c>
      <c r="E579" s="1153">
        <v>42233</v>
      </c>
      <c r="F579" s="1154">
        <v>48000</v>
      </c>
      <c r="G579" s="1155">
        <v>10</v>
      </c>
      <c r="H579" s="1154">
        <v>46000</v>
      </c>
      <c r="I579" s="1155">
        <v>16</v>
      </c>
      <c r="J579" s="1156">
        <v>6457</v>
      </c>
      <c r="K579" s="1157"/>
      <c r="L579" s="1158">
        <v>42320</v>
      </c>
      <c r="M579" s="269">
        <f t="shared" si="157"/>
        <v>4</v>
      </c>
      <c r="N579" s="1074">
        <f t="shared" si="155"/>
        <v>300</v>
      </c>
      <c r="O579" s="1087">
        <f t="shared" si="158"/>
        <v>5289.90</v>
      </c>
      <c r="P579" s="269">
        <f t="shared" si="156"/>
        <v>1</v>
      </c>
      <c r="Q579" s="269" t="str">
        <f t="shared" si="159"/>
        <v/>
      </c>
      <c r="R579" s="1142"/>
      <c r="S579" s="1143" t="str">
        <f t="shared" si="160"/>
        <v>Downsize</v>
      </c>
      <c r="T579" s="1144">
        <f t="shared" si="161"/>
        <v>2324.869565217391</v>
      </c>
      <c r="U579" s="1144">
        <f t="shared" si="162"/>
        <v>927.6521739130435</v>
      </c>
      <c r="V579" s="1146">
        <f t="shared" si="163"/>
        <v>16942.140711462449</v>
      </c>
      <c r="W579" s="1146">
        <f t="shared" si="164"/>
        <v>11704.235294117647</v>
      </c>
      <c r="X579" s="1146">
        <f t="shared" si="165"/>
        <v>5237.9054173448021</v>
      </c>
      <c r="Y579" s="1146">
        <f t="shared" si="166"/>
        <v>13401.140433267687</v>
      </c>
      <c r="Z579" s="1146">
        <f t="shared" si="167"/>
        <v>11704.235294117647</v>
      </c>
      <c r="AA579" s="1146">
        <f t="shared" si="168"/>
        <v>1696.9051391500398</v>
      </c>
      <c r="AB579" s="1146">
        <f t="shared" si="169"/>
        <v>16236.21818181818</v>
      </c>
      <c r="AC579" s="1146">
        <f t="shared" si="170"/>
        <v>11704.235294117647</v>
      </c>
      <c r="AD579" s="1146">
        <f t="shared" si="171"/>
        <v>4531.982887700533</v>
      </c>
      <c r="AE579" s="1146">
        <f t="shared" si="172"/>
        <v>12842.759581881533</v>
      </c>
      <c r="AF579" s="1146">
        <f t="shared" si="173"/>
        <v>11704.235294117647</v>
      </c>
      <c r="AG579" s="1146">
        <f t="shared" si="174"/>
        <v>1138.5242877638866</v>
      </c>
    </row>
    <row r="580" spans="2:33" ht="14.4">
      <c r="B580" s="1134">
        <v>8855568</v>
      </c>
      <c r="C580" s="1135"/>
      <c r="D580" s="1134">
        <v>125118</v>
      </c>
      <c r="E580" s="1153">
        <v>42244</v>
      </c>
      <c r="F580" s="1154">
        <v>14000</v>
      </c>
      <c r="G580" s="1155">
        <v>14</v>
      </c>
      <c r="H580" s="1154">
        <v>14000</v>
      </c>
      <c r="I580" s="1155">
        <v>21</v>
      </c>
      <c r="J580" s="1156">
        <v>4254</v>
      </c>
      <c r="K580" s="1157"/>
      <c r="L580" s="1158">
        <v>42314</v>
      </c>
      <c r="M580" s="269">
        <f t="shared" si="157"/>
        <v>4</v>
      </c>
      <c r="N580" s="1074">
        <f t="shared" si="155"/>
        <v>100</v>
      </c>
      <c r="O580" s="1087">
        <f t="shared" si="158"/>
        <v>916.00000000000023</v>
      </c>
      <c r="P580" s="269">
        <f t="shared" si="156"/>
        <v>1</v>
      </c>
      <c r="Q580" s="269" t="str">
        <f t="shared" si="159"/>
        <v/>
      </c>
      <c r="R580" s="1142"/>
      <c r="S580" s="1143" t="str">
        <f t="shared" si="160"/>
        <v>Same Size</v>
      </c>
      <c r="T580" s="1144">
        <f t="shared" si="161"/>
        <v>2228</v>
      </c>
      <c r="U580" s="1144">
        <f t="shared" si="162"/>
        <v>889</v>
      </c>
      <c r="V580" s="1146">
        <f t="shared" si="163"/>
        <v>3844.3636363636365</v>
      </c>
      <c r="W580" s="1146">
        <f t="shared" si="164"/>
        <v>2949.5686274509808</v>
      </c>
      <c r="X580" s="1146">
        <f t="shared" si="165"/>
        <v>894.7950089126557</v>
      </c>
      <c r="Y580" s="1146">
        <f t="shared" si="166"/>
        <v>3745.8048780487802</v>
      </c>
      <c r="Z580" s="1146">
        <f t="shared" si="167"/>
        <v>2949.5686274509808</v>
      </c>
      <c r="AA580" s="1146">
        <f t="shared" si="168"/>
        <v>796.23625059779943</v>
      </c>
      <c r="AB580" s="1146">
        <f t="shared" si="169"/>
        <v>3844.3636363636365</v>
      </c>
      <c r="AC580" s="1146">
        <f t="shared" si="170"/>
        <v>2949.5686274509808</v>
      </c>
      <c r="AD580" s="1146">
        <f t="shared" si="171"/>
        <v>894.7950089126557</v>
      </c>
      <c r="AE580" s="1146">
        <f t="shared" si="172"/>
        <v>3745.8048780487802</v>
      </c>
      <c r="AF580" s="1146">
        <f t="shared" si="173"/>
        <v>2949.5686274509808</v>
      </c>
      <c r="AG580" s="1146">
        <f t="shared" si="174"/>
        <v>796.23625059779943</v>
      </c>
    </row>
    <row r="581" spans="2:33" ht="14.4">
      <c r="B581" s="1134">
        <v>5102348</v>
      </c>
      <c r="C581" s="1135"/>
      <c r="D581" s="1134">
        <v>162395</v>
      </c>
      <c r="E581" s="1153">
        <v>42150</v>
      </c>
      <c r="F581" s="1154">
        <v>36000</v>
      </c>
      <c r="G581" s="1155">
        <v>10</v>
      </c>
      <c r="H581" s="1154">
        <v>50000</v>
      </c>
      <c r="I581" s="1155">
        <v>17</v>
      </c>
      <c r="J581" s="1156">
        <v>12603</v>
      </c>
      <c r="K581" s="1157"/>
      <c r="L581" s="1158">
        <v>42313</v>
      </c>
      <c r="M581" s="269">
        <f t="shared" si="157"/>
        <v>4</v>
      </c>
      <c r="N581" s="1074">
        <f t="shared" si="155"/>
        <v>325</v>
      </c>
      <c r="O581" s="1087">
        <f t="shared" si="158"/>
        <v>1810.4470588235299</v>
      </c>
      <c r="P581" s="269">
        <f t="shared" si="156"/>
        <v>1</v>
      </c>
      <c r="Q581" s="269" t="str">
        <f t="shared" si="159"/>
        <v/>
      </c>
      <c r="R581" s="1142"/>
      <c r="S581" s="1143" t="str">
        <f t="shared" si="160"/>
        <v>Upsize</v>
      </c>
      <c r="T581" s="1144">
        <f t="shared" si="161"/>
        <v>1604.16</v>
      </c>
      <c r="U581" s="1144">
        <f t="shared" si="162"/>
        <v>640.07999999999993</v>
      </c>
      <c r="V581" s="1146">
        <f t="shared" si="163"/>
        <v>8767.5578181818182</v>
      </c>
      <c r="W581" s="1146">
        <f t="shared" si="164"/>
        <v>8483.2941176470576</v>
      </c>
      <c r="X581" s="1146">
        <f t="shared" si="165"/>
        <v>284.26370053476057</v>
      </c>
      <c r="Y581" s="1146">
        <f t="shared" si="166"/>
        <v>6935.0901742160277</v>
      </c>
      <c r="Z581" s="1146">
        <f t="shared" si="167"/>
        <v>8483.2941176470576</v>
      </c>
      <c r="AA581" s="1146">
        <f t="shared" si="168"/>
        <v>-1548.20394343103</v>
      </c>
      <c r="AB581" s="1146">
        <f t="shared" si="169"/>
        <v>12177.163636363635</v>
      </c>
      <c r="AC581" s="1146">
        <f t="shared" si="170"/>
        <v>8483.2941176470576</v>
      </c>
      <c r="AD581" s="1146">
        <f t="shared" si="171"/>
        <v>3693.8695187165777</v>
      </c>
      <c r="AE581" s="1146">
        <f t="shared" si="172"/>
        <v>9632.0696864111505</v>
      </c>
      <c r="AF581" s="1146">
        <f t="shared" si="173"/>
        <v>8483.2941176470576</v>
      </c>
      <c r="AG581" s="1146">
        <f t="shared" si="174"/>
        <v>1148.7755687640929</v>
      </c>
    </row>
    <row r="582" spans="2:33" ht="14.4">
      <c r="B582" s="1134">
        <v>3727484</v>
      </c>
      <c r="C582" s="1135"/>
      <c r="D582" s="1134">
        <v>362510</v>
      </c>
      <c r="E582" s="1153">
        <v>42221</v>
      </c>
      <c r="F582" s="1154">
        <v>30000</v>
      </c>
      <c r="G582" s="1155">
        <v>6</v>
      </c>
      <c r="H582" s="1154">
        <v>47000</v>
      </c>
      <c r="I582" s="1155">
        <v>16</v>
      </c>
      <c r="J582" s="1156">
        <v>10992</v>
      </c>
      <c r="K582" s="1157"/>
      <c r="L582" s="1158">
        <v>42313</v>
      </c>
      <c r="M582" s="269">
        <f t="shared" si="157"/>
        <v>4</v>
      </c>
      <c r="N582" s="1074">
        <f t="shared" si="175" ref="N582:N613">IF(L582&gt;40000,IFERROR(INDEX($E$12:$I$19,IF(H582&lt;=15000,1,IF(H582&gt;60000,"No Rebate",IF(H582&gt;54000,8,MIN(ROUND((H582-0.001)/6000,0)-1,7)))),IF(I582&lt;15,0,IF(I582&gt;18.5,5,ROUND(I582-14.001,0)))),"No Rebate"),"")</f>
        <v>300</v>
      </c>
      <c r="O582" s="1087">
        <f t="shared" si="158"/>
        <v>5667.75</v>
      </c>
      <c r="P582" s="269">
        <f t="shared" si="156"/>
        <v>1</v>
      </c>
      <c r="Q582" s="269" t="str">
        <f t="shared" si="159"/>
        <v/>
      </c>
      <c r="R582" s="1142"/>
      <c r="S582" s="1143" t="str">
        <f t="shared" si="160"/>
        <v>Upsize</v>
      </c>
      <c r="T582" s="1144">
        <f t="shared" si="161"/>
        <v>1422.1276595744682</v>
      </c>
      <c r="U582" s="1144">
        <f t="shared" si="162"/>
        <v>567.44680851063833</v>
      </c>
      <c r="V582" s="1146">
        <f t="shared" si="163"/>
        <v>9321.4700193423596</v>
      </c>
      <c r="W582" s="1146">
        <f t="shared" si="164"/>
        <v>7315.1470588235297</v>
      </c>
      <c r="X582" s="1146">
        <f t="shared" si="165"/>
        <v>2006.3229605188299</v>
      </c>
      <c r="Y582" s="1146">
        <f t="shared" si="166"/>
        <v>5123.4413225591225</v>
      </c>
      <c r="Z582" s="1146">
        <f t="shared" si="167"/>
        <v>7315.1470588235297</v>
      </c>
      <c r="AA582" s="1146">
        <f t="shared" si="168"/>
        <v>-2191.7057362644073</v>
      </c>
      <c r="AB582" s="1146">
        <f t="shared" si="169"/>
        <v>14603.636363636364</v>
      </c>
      <c r="AC582" s="1146">
        <f t="shared" si="170"/>
        <v>7315.1470588235297</v>
      </c>
      <c r="AD582" s="1146">
        <f t="shared" si="171"/>
        <v>7288.4893048128342</v>
      </c>
      <c r="AE582" s="1146">
        <f t="shared" si="172"/>
        <v>8026.7247386759591</v>
      </c>
      <c r="AF582" s="1146">
        <f t="shared" si="173"/>
        <v>7315.1470588235297</v>
      </c>
      <c r="AG582" s="1146">
        <f t="shared" si="174"/>
        <v>711.57767985242936</v>
      </c>
    </row>
    <row r="583" spans="2:33" ht="14.4">
      <c r="B583" s="1134">
        <v>4422978</v>
      </c>
      <c r="C583" s="1135"/>
      <c r="D583" s="1134">
        <v>135998</v>
      </c>
      <c r="E583" s="1153">
        <v>42257</v>
      </c>
      <c r="F583" s="1154">
        <v>30000</v>
      </c>
      <c r="G583" s="1155">
        <v>12</v>
      </c>
      <c r="H583" s="1154">
        <v>30000</v>
      </c>
      <c r="I583" s="1155">
        <v>16</v>
      </c>
      <c r="J583" s="1156">
        <v>8373</v>
      </c>
      <c r="K583" s="1157"/>
      <c r="L583" s="1158">
        <v>42313</v>
      </c>
      <c r="M583" s="269">
        <f t="shared" si="157"/>
        <v>4</v>
      </c>
      <c r="N583" s="1074">
        <f t="shared" si="175"/>
        <v>175</v>
      </c>
      <c r="O583" s="1087">
        <f t="shared" si="158"/>
        <v>1717.5000000000002</v>
      </c>
      <c r="P583" s="269">
        <f t="shared" si="156"/>
        <v>1</v>
      </c>
      <c r="Q583" s="269" t="str">
        <f t="shared" si="159"/>
        <v/>
      </c>
      <c r="R583" s="1142"/>
      <c r="S583" s="1143" t="str">
        <f t="shared" si="160"/>
        <v>Same Size</v>
      </c>
      <c r="T583" s="1144">
        <f t="shared" si="161"/>
        <v>2228</v>
      </c>
      <c r="U583" s="1144">
        <f t="shared" si="162"/>
        <v>889</v>
      </c>
      <c r="V583" s="1146">
        <f t="shared" si="163"/>
        <v>9033.636363636364</v>
      </c>
      <c r="W583" s="1146">
        <f t="shared" si="164"/>
        <v>7315.1470588235297</v>
      </c>
      <c r="X583" s="1146">
        <f t="shared" si="165"/>
        <v>1718.4893048128342</v>
      </c>
      <c r="Y583" s="1146">
        <f t="shared" si="166"/>
        <v>8026.7247386759582</v>
      </c>
      <c r="Z583" s="1146">
        <f t="shared" si="167"/>
        <v>7315.1470588235297</v>
      </c>
      <c r="AA583" s="1146">
        <f t="shared" si="168"/>
        <v>711.57767985242845</v>
      </c>
      <c r="AB583" s="1146">
        <f t="shared" si="169"/>
        <v>9033.636363636364</v>
      </c>
      <c r="AC583" s="1146">
        <f t="shared" si="170"/>
        <v>7315.1470588235297</v>
      </c>
      <c r="AD583" s="1146">
        <f t="shared" si="171"/>
        <v>1718.4893048128342</v>
      </c>
      <c r="AE583" s="1146">
        <f t="shared" si="172"/>
        <v>8026.7247386759582</v>
      </c>
      <c r="AF583" s="1146">
        <f t="shared" si="173"/>
        <v>7315.1470588235297</v>
      </c>
      <c r="AG583" s="1146">
        <f t="shared" si="174"/>
        <v>711.57767985242845</v>
      </c>
    </row>
    <row r="584" spans="2:33" ht="14.4">
      <c r="B584" s="1134">
        <v>5737994</v>
      </c>
      <c r="C584" s="1135"/>
      <c r="D584" s="1134">
        <v>565275</v>
      </c>
      <c r="E584" s="1153">
        <v>42268</v>
      </c>
      <c r="F584" s="1154">
        <v>40000</v>
      </c>
      <c r="G584" s="1155">
        <v>10</v>
      </c>
      <c r="H584" s="1154">
        <v>46500</v>
      </c>
      <c r="I584" s="1155">
        <v>15</v>
      </c>
      <c r="J584" s="1156">
        <v>6547</v>
      </c>
      <c r="K584" s="1157"/>
      <c r="L584" s="1158">
        <v>42313</v>
      </c>
      <c r="M584" s="269">
        <f t="shared" si="157"/>
        <v>4</v>
      </c>
      <c r="N584" s="1074">
        <f t="shared" si="175"/>
        <v>250</v>
      </c>
      <c r="O584" s="1087">
        <f t="shared" si="158"/>
        <v>2473.2000000000003</v>
      </c>
      <c r="P584" s="269">
        <f t="shared" si="156"/>
        <v>1</v>
      </c>
      <c r="Q584" s="269" t="str">
        <f t="shared" si="159"/>
        <v/>
      </c>
      <c r="R584" s="1142"/>
      <c r="S584" s="1143" t="str">
        <f t="shared" si="160"/>
        <v>Upsize</v>
      </c>
      <c r="T584" s="1144">
        <f t="shared" si="161"/>
        <v>1916.5591397849462</v>
      </c>
      <c r="U584" s="1144">
        <f t="shared" si="162"/>
        <v>764.73118279569894</v>
      </c>
      <c r="V584" s="1146">
        <f t="shared" si="163"/>
        <v>11638.866080156404</v>
      </c>
      <c r="W584" s="1146">
        <f t="shared" si="164"/>
        <v>10124.862745098038</v>
      </c>
      <c r="X584" s="1146">
        <f t="shared" si="165"/>
        <v>1514.0033350583653</v>
      </c>
      <c r="Y584" s="1146">
        <f t="shared" si="166"/>
        <v>9206.2792701659746</v>
      </c>
      <c r="Z584" s="1146">
        <f t="shared" si="167"/>
        <v>10124.862745098038</v>
      </c>
      <c r="AA584" s="1146">
        <f t="shared" si="168"/>
        <v>-918.58347493206384</v>
      </c>
      <c r="AB584" s="1146">
        <f t="shared" si="169"/>
        <v>13530.18181818182</v>
      </c>
      <c r="AC584" s="1146">
        <f t="shared" si="170"/>
        <v>10124.862745098038</v>
      </c>
      <c r="AD584" s="1146">
        <f t="shared" si="171"/>
        <v>3405.3190730837814</v>
      </c>
      <c r="AE584" s="1146">
        <f t="shared" si="172"/>
        <v>10702.299651567944</v>
      </c>
      <c r="AF584" s="1146">
        <f t="shared" si="173"/>
        <v>10124.862745098038</v>
      </c>
      <c r="AG584" s="1146">
        <f t="shared" si="174"/>
        <v>577.43690646990581</v>
      </c>
    </row>
    <row r="585" spans="2:33" ht="14.4">
      <c r="B585" s="1134">
        <v>3605268</v>
      </c>
      <c r="C585" s="1135"/>
      <c r="D585" s="1134">
        <v>178413</v>
      </c>
      <c r="E585" s="1153">
        <v>42241</v>
      </c>
      <c r="F585" s="1154">
        <v>30000</v>
      </c>
      <c r="G585" s="1155">
        <v>11</v>
      </c>
      <c r="H585" s="1154">
        <v>36000</v>
      </c>
      <c r="I585" s="1155">
        <v>16</v>
      </c>
      <c r="J585" s="1156">
        <v>7836</v>
      </c>
      <c r="K585" s="1157"/>
      <c r="L585" s="1158">
        <v>42313</v>
      </c>
      <c r="M585" s="269">
        <f t="shared" si="157"/>
        <v>4</v>
      </c>
      <c r="N585" s="1074">
        <f t="shared" si="175"/>
        <v>225</v>
      </c>
      <c r="O585" s="1087">
        <f t="shared" si="158"/>
        <v>1311.5454545454552</v>
      </c>
      <c r="P585" s="269">
        <f t="shared" si="156"/>
        <v>1</v>
      </c>
      <c r="Q585" s="269" t="str">
        <f t="shared" si="159"/>
        <v/>
      </c>
      <c r="R585" s="1142"/>
      <c r="S585" s="1143" t="str">
        <f t="shared" si="160"/>
        <v>Upsize</v>
      </c>
      <c r="T585" s="1144">
        <f t="shared" si="161"/>
        <v>1856.6666666666667</v>
      </c>
      <c r="U585" s="1144">
        <f t="shared" si="162"/>
        <v>740.83333333333337</v>
      </c>
      <c r="V585" s="1146">
        <f t="shared" si="163"/>
        <v>7950</v>
      </c>
      <c r="W585" s="1146">
        <f t="shared" si="164"/>
        <v>7315.1470588235288</v>
      </c>
      <c r="X585" s="1146">
        <f t="shared" si="165"/>
        <v>634.85294117647118</v>
      </c>
      <c r="Y585" s="1146">
        <f t="shared" si="166"/>
        <v>6688.9372822299647</v>
      </c>
      <c r="Z585" s="1146">
        <f t="shared" si="167"/>
        <v>7315.1470588235288</v>
      </c>
      <c r="AA585" s="1146">
        <f t="shared" si="168"/>
        <v>-626.20977659356413</v>
      </c>
      <c r="AB585" s="1146">
        <f t="shared" si="169"/>
        <v>9540</v>
      </c>
      <c r="AC585" s="1146">
        <f t="shared" si="170"/>
        <v>7315.1470588235288</v>
      </c>
      <c r="AD585" s="1146">
        <f t="shared" si="171"/>
        <v>2224.8529411764712</v>
      </c>
      <c r="AE585" s="1146">
        <f t="shared" si="172"/>
        <v>8026.7247386759582</v>
      </c>
      <c r="AF585" s="1146">
        <f t="shared" si="173"/>
        <v>7315.1470588235288</v>
      </c>
      <c r="AG585" s="1146">
        <f t="shared" si="174"/>
        <v>711.57767985242936</v>
      </c>
    </row>
    <row r="586" spans="2:33" ht="14.4">
      <c r="B586" s="1134">
        <v>5992193</v>
      </c>
      <c r="C586" s="1135"/>
      <c r="D586" s="1134">
        <v>434044</v>
      </c>
      <c r="E586" s="1153">
        <v>42268</v>
      </c>
      <c r="F586" s="1154">
        <v>24000</v>
      </c>
      <c r="G586" s="1155">
        <v>10</v>
      </c>
      <c r="H586" s="1154">
        <v>30000</v>
      </c>
      <c r="I586" s="1155">
        <v>15</v>
      </c>
      <c r="J586" s="1156">
        <v>6252.87</v>
      </c>
      <c r="K586" s="1157"/>
      <c r="L586" s="1158">
        <v>42313</v>
      </c>
      <c r="M586" s="269">
        <f t="shared" si="157"/>
        <v>4</v>
      </c>
      <c r="N586" s="1074">
        <f t="shared" si="175"/>
        <v>150</v>
      </c>
      <c r="O586" s="1087">
        <f t="shared" si="158"/>
        <v>1099.20</v>
      </c>
      <c r="P586" s="269">
        <f t="shared" si="156"/>
        <v>1</v>
      </c>
      <c r="Q586" s="269" t="str">
        <f t="shared" si="159"/>
        <v/>
      </c>
      <c r="R586" s="1142"/>
      <c r="S586" s="1143" t="str">
        <f t="shared" si="160"/>
        <v>Upsize</v>
      </c>
      <c r="T586" s="1144">
        <f t="shared" si="161"/>
        <v>1782.40</v>
      </c>
      <c r="U586" s="1144">
        <f t="shared" si="162"/>
        <v>711.20</v>
      </c>
      <c r="V586" s="1146">
        <f t="shared" si="163"/>
        <v>6494.4872727272732</v>
      </c>
      <c r="W586" s="1146">
        <f t="shared" si="164"/>
        <v>6074.9176470588236</v>
      </c>
      <c r="X586" s="1146">
        <f t="shared" si="165"/>
        <v>419.56962566844959</v>
      </c>
      <c r="Y586" s="1146">
        <f t="shared" si="166"/>
        <v>5137.1038327526139</v>
      </c>
      <c r="Z586" s="1146">
        <f t="shared" si="167"/>
        <v>6074.9176470588236</v>
      </c>
      <c r="AA586" s="1146">
        <f t="shared" si="168"/>
        <v>-937.81381430620968</v>
      </c>
      <c r="AB586" s="1146">
        <f t="shared" si="169"/>
        <v>8118.1090909090917</v>
      </c>
      <c r="AC586" s="1146">
        <f t="shared" si="170"/>
        <v>6074.9176470588236</v>
      </c>
      <c r="AD586" s="1146">
        <f t="shared" si="171"/>
        <v>2043.1914438502681</v>
      </c>
      <c r="AE586" s="1146">
        <f t="shared" si="172"/>
        <v>6421.3797909407667</v>
      </c>
      <c r="AF586" s="1146">
        <f t="shared" si="173"/>
        <v>6074.9176470588236</v>
      </c>
      <c r="AG586" s="1146">
        <f t="shared" si="174"/>
        <v>346.46214388194312</v>
      </c>
    </row>
    <row r="587" spans="2:33" ht="14.4">
      <c r="B587" s="1134">
        <v>1506716</v>
      </c>
      <c r="C587" s="1135"/>
      <c r="D587" s="1134">
        <v>150671</v>
      </c>
      <c r="E587" s="1153">
        <v>42271</v>
      </c>
      <c r="F587" s="1154">
        <v>40000</v>
      </c>
      <c r="G587" s="1155">
        <v>12</v>
      </c>
      <c r="H587" s="1154">
        <v>48000</v>
      </c>
      <c r="I587" s="1155">
        <v>20</v>
      </c>
      <c r="J587" s="1156">
        <v>15700</v>
      </c>
      <c r="K587" s="1157"/>
      <c r="L587" s="1158">
        <v>42313</v>
      </c>
      <c r="M587" s="269">
        <f t="shared" si="157"/>
        <v>4</v>
      </c>
      <c r="N587" s="1074">
        <f t="shared" si="175"/>
        <v>400</v>
      </c>
      <c r="O587" s="1087">
        <f t="shared" si="158"/>
        <v>2564.8000000000006</v>
      </c>
      <c r="P587" s="269">
        <f t="shared" si="156"/>
        <v>1</v>
      </c>
      <c r="Q587" s="269" t="str">
        <f t="shared" si="159"/>
        <v/>
      </c>
      <c r="R587" s="1142"/>
      <c r="S587" s="1143" t="str">
        <f t="shared" si="160"/>
        <v>Upsize</v>
      </c>
      <c r="T587" s="1144">
        <f t="shared" si="161"/>
        <v>1856.6666666666667</v>
      </c>
      <c r="U587" s="1144">
        <f t="shared" si="162"/>
        <v>740.83333333333337</v>
      </c>
      <c r="V587" s="1146">
        <f t="shared" si="163"/>
        <v>10037.373737373739</v>
      </c>
      <c r="W587" s="1146">
        <f t="shared" si="164"/>
        <v>8639.5294117647063</v>
      </c>
      <c r="X587" s="1146">
        <f t="shared" si="165"/>
        <v>1397.8443256090322</v>
      </c>
      <c r="Y587" s="1146">
        <f t="shared" si="166"/>
        <v>8918.5830429732869</v>
      </c>
      <c r="Z587" s="1146">
        <f t="shared" si="167"/>
        <v>8639.5294117647063</v>
      </c>
      <c r="AA587" s="1146">
        <f t="shared" si="168"/>
        <v>279.05363120858055</v>
      </c>
      <c r="AB587" s="1146">
        <f t="shared" si="169"/>
        <v>12044.848484848486</v>
      </c>
      <c r="AC587" s="1146">
        <f t="shared" si="170"/>
        <v>8639.5294117647063</v>
      </c>
      <c r="AD587" s="1146">
        <f t="shared" si="171"/>
        <v>3405.3190730837796</v>
      </c>
      <c r="AE587" s="1146">
        <f t="shared" si="172"/>
        <v>10702.299651567944</v>
      </c>
      <c r="AF587" s="1146">
        <f t="shared" si="173"/>
        <v>8639.5294117647063</v>
      </c>
      <c r="AG587" s="1146">
        <f t="shared" si="174"/>
        <v>2062.7702398032379</v>
      </c>
    </row>
    <row r="588" spans="2:33" ht="14.4">
      <c r="B588" s="1134">
        <v>5331228</v>
      </c>
      <c r="C588" s="1135"/>
      <c r="D588" s="1134">
        <v>152736</v>
      </c>
      <c r="E588" s="1153">
        <v>42216</v>
      </c>
      <c r="F588" s="1154">
        <v>24000</v>
      </c>
      <c r="G588" s="1155">
        <v>10</v>
      </c>
      <c r="H588" s="1154">
        <v>28000</v>
      </c>
      <c r="I588" s="1155">
        <v>15</v>
      </c>
      <c r="J588" s="1156">
        <v>3935</v>
      </c>
      <c r="K588" s="1157"/>
      <c r="L588" s="1158">
        <v>42313</v>
      </c>
      <c r="M588" s="269">
        <f t="shared" si="157"/>
        <v>4</v>
      </c>
      <c r="N588" s="1074">
        <f t="shared" si="175"/>
        <v>150</v>
      </c>
      <c r="O588" s="1087">
        <f t="shared" si="158"/>
        <v>1465.60</v>
      </c>
      <c r="P588" s="269">
        <f t="shared" si="156"/>
        <v>1</v>
      </c>
      <c r="Q588" s="269" t="str">
        <f t="shared" si="159"/>
        <v/>
      </c>
      <c r="R588" s="1142"/>
      <c r="S588" s="1143" t="str">
        <f t="shared" si="160"/>
        <v>Upsize</v>
      </c>
      <c r="T588" s="1144">
        <f t="shared" si="161"/>
        <v>1909.7142857142856</v>
      </c>
      <c r="U588" s="1144">
        <f t="shared" si="162"/>
        <v>762</v>
      </c>
      <c r="V588" s="1146">
        <f t="shared" si="163"/>
        <v>6958.3792207792203</v>
      </c>
      <c r="W588" s="1146">
        <f t="shared" si="164"/>
        <v>6074.9176470588227</v>
      </c>
      <c r="X588" s="1146">
        <f t="shared" si="165"/>
        <v>883.46157372039761</v>
      </c>
      <c r="Y588" s="1146">
        <f t="shared" si="166"/>
        <v>5504.0398208063716</v>
      </c>
      <c r="Z588" s="1146">
        <f t="shared" si="167"/>
        <v>6074.9176470588227</v>
      </c>
      <c r="AA588" s="1146">
        <f t="shared" si="168"/>
        <v>-570.87782625245109</v>
      </c>
      <c r="AB588" s="1146">
        <f t="shared" si="169"/>
        <v>8118.1090909090908</v>
      </c>
      <c r="AC588" s="1146">
        <f t="shared" si="170"/>
        <v>6074.9176470588227</v>
      </c>
      <c r="AD588" s="1146">
        <f t="shared" si="171"/>
        <v>2043.1914438502681</v>
      </c>
      <c r="AE588" s="1146">
        <f t="shared" si="172"/>
        <v>6421.3797909407667</v>
      </c>
      <c r="AF588" s="1146">
        <f t="shared" si="173"/>
        <v>6074.9176470588227</v>
      </c>
      <c r="AG588" s="1146">
        <f t="shared" si="174"/>
        <v>346.46214388194403</v>
      </c>
    </row>
    <row r="589" spans="2:33" ht="14.4">
      <c r="B589" s="1134">
        <v>5394077</v>
      </c>
      <c r="C589" s="1135"/>
      <c r="D589" s="1134">
        <v>534277</v>
      </c>
      <c r="E589" s="1153">
        <v>42256</v>
      </c>
      <c r="F589" s="1154">
        <v>30000</v>
      </c>
      <c r="G589" s="1155">
        <v>10</v>
      </c>
      <c r="H589" s="1154">
        <v>30000</v>
      </c>
      <c r="I589" s="1155">
        <v>15</v>
      </c>
      <c r="J589" s="1156">
        <v>7285</v>
      </c>
      <c r="K589" s="1157"/>
      <c r="L589" s="1158">
        <v>42313</v>
      </c>
      <c r="M589" s="269">
        <f t="shared" si="157"/>
        <v>4</v>
      </c>
      <c r="N589" s="1074">
        <f t="shared" si="175"/>
        <v>150</v>
      </c>
      <c r="O589" s="1087">
        <f t="shared" si="158"/>
        <v>2748</v>
      </c>
      <c r="P589" s="269">
        <f t="shared" si="156"/>
        <v>1</v>
      </c>
      <c r="Q589" s="269" t="str">
        <f t="shared" si="159"/>
        <v/>
      </c>
      <c r="R589" s="1142"/>
      <c r="S589" s="1143" t="str">
        <f t="shared" si="160"/>
        <v>Same Size</v>
      </c>
      <c r="T589" s="1144">
        <f t="shared" si="161"/>
        <v>2228</v>
      </c>
      <c r="U589" s="1144">
        <f t="shared" si="162"/>
        <v>889</v>
      </c>
      <c r="V589" s="1146">
        <f t="shared" si="163"/>
        <v>10147.636363636364</v>
      </c>
      <c r="W589" s="1146">
        <f t="shared" si="164"/>
        <v>7593.6470588235297</v>
      </c>
      <c r="X589" s="1146">
        <f t="shared" si="165"/>
        <v>2553.9893048128342</v>
      </c>
      <c r="Y589" s="1146">
        <f t="shared" si="166"/>
        <v>8026.7247386759582</v>
      </c>
      <c r="Z589" s="1146">
        <f t="shared" si="167"/>
        <v>7593.6470588235297</v>
      </c>
      <c r="AA589" s="1146">
        <f t="shared" si="168"/>
        <v>433.07767985242845</v>
      </c>
      <c r="AB589" s="1146">
        <f t="shared" si="169"/>
        <v>10147.636363636364</v>
      </c>
      <c r="AC589" s="1146">
        <f t="shared" si="170"/>
        <v>7593.6470588235297</v>
      </c>
      <c r="AD589" s="1146">
        <f t="shared" si="171"/>
        <v>2553.9893048128342</v>
      </c>
      <c r="AE589" s="1146">
        <f t="shared" si="172"/>
        <v>8026.7247386759582</v>
      </c>
      <c r="AF589" s="1146">
        <f t="shared" si="173"/>
        <v>7593.6470588235297</v>
      </c>
      <c r="AG589" s="1146">
        <f t="shared" si="174"/>
        <v>433.07767985242845</v>
      </c>
    </row>
    <row r="590" spans="2:33" ht="14.4">
      <c r="B590" s="1134">
        <v>8940263</v>
      </c>
      <c r="C590" s="1135"/>
      <c r="D590" s="1134">
        <v>180668</v>
      </c>
      <c r="E590" s="1153">
        <v>42291</v>
      </c>
      <c r="F590" s="1154">
        <v>36000</v>
      </c>
      <c r="G590" s="1155">
        <v>12</v>
      </c>
      <c r="H590" s="1154">
        <v>35000</v>
      </c>
      <c r="I590" s="1155">
        <v>18</v>
      </c>
      <c r="J590" s="1156">
        <v>7622</v>
      </c>
      <c r="K590" s="1157"/>
      <c r="L590" s="1158">
        <v>42313</v>
      </c>
      <c r="M590" s="269">
        <f t="shared" si="157"/>
        <v>4</v>
      </c>
      <c r="N590" s="1074">
        <f t="shared" si="175"/>
        <v>275</v>
      </c>
      <c r="O590" s="1087">
        <f t="shared" si="158"/>
        <v>2900.666666666667</v>
      </c>
      <c r="P590" s="269">
        <f t="shared" si="156"/>
        <v>1</v>
      </c>
      <c r="Q590" s="269" t="str">
        <f t="shared" si="159"/>
        <v/>
      </c>
      <c r="R590" s="1142"/>
      <c r="S590" s="1143" t="str">
        <f t="shared" si="160"/>
        <v>Downsize</v>
      </c>
      <c r="T590" s="1144">
        <f t="shared" si="161"/>
        <v>2291.6571428571428</v>
      </c>
      <c r="U590" s="1144">
        <f t="shared" si="162"/>
        <v>914.39999999999986</v>
      </c>
      <c r="V590" s="1146">
        <f t="shared" si="163"/>
        <v>11150.088311688311</v>
      </c>
      <c r="W590" s="1146">
        <f t="shared" si="164"/>
        <v>8221.1764705882342</v>
      </c>
      <c r="X590" s="1146">
        <f t="shared" si="165"/>
        <v>2928.9118411000763</v>
      </c>
      <c r="Y590" s="1146">
        <f t="shared" si="166"/>
        <v>9907.2716774514683</v>
      </c>
      <c r="Z590" s="1146">
        <f t="shared" si="167"/>
        <v>8221.1764705882342</v>
      </c>
      <c r="AA590" s="1146">
        <f t="shared" si="168"/>
        <v>1686.0952068632341</v>
      </c>
      <c r="AB590" s="1146">
        <f t="shared" si="169"/>
        <v>10840.363636363634</v>
      </c>
      <c r="AC590" s="1146">
        <f t="shared" si="170"/>
        <v>8221.1764705882342</v>
      </c>
      <c r="AD590" s="1146">
        <f t="shared" si="171"/>
        <v>2619.1871657754</v>
      </c>
      <c r="AE590" s="1146">
        <f t="shared" si="172"/>
        <v>9632.0696864111487</v>
      </c>
      <c r="AF590" s="1146">
        <f t="shared" si="173"/>
        <v>8221.1764705882342</v>
      </c>
      <c r="AG590" s="1146">
        <f t="shared" si="174"/>
        <v>1410.8932158229145</v>
      </c>
    </row>
    <row r="591" spans="2:33" ht="14.4">
      <c r="B591" s="1134">
        <v>8182453</v>
      </c>
      <c r="C591" s="1135"/>
      <c r="D591" s="1134">
        <v>396280</v>
      </c>
      <c r="E591" s="1153">
        <v>42249</v>
      </c>
      <c r="F591" s="1154">
        <v>30000</v>
      </c>
      <c r="G591" s="1155">
        <v>10</v>
      </c>
      <c r="H591" s="1154">
        <v>34200</v>
      </c>
      <c r="I591" s="1155">
        <v>15</v>
      </c>
      <c r="J591" s="1156">
        <v>4700</v>
      </c>
      <c r="K591" s="1157"/>
      <c r="L591" s="1158">
        <v>42313</v>
      </c>
      <c r="M591" s="269">
        <f t="shared" si="157"/>
        <v>4</v>
      </c>
      <c r="N591" s="1074">
        <f t="shared" si="175"/>
        <v>175</v>
      </c>
      <c r="O591" s="1087">
        <f t="shared" si="158"/>
        <v>1978.5600000000002</v>
      </c>
      <c r="P591" s="269">
        <f t="shared" si="176" ref="P591:P622">IF(L591&gt;0,1,"")</f>
        <v>1</v>
      </c>
      <c r="Q591" s="269" t="str">
        <f t="shared" si="159"/>
        <v/>
      </c>
      <c r="R591" s="1142"/>
      <c r="S591" s="1143" t="str">
        <f t="shared" si="160"/>
        <v>Upsize</v>
      </c>
      <c r="T591" s="1144">
        <f t="shared" si="161"/>
        <v>1954.3859649122805</v>
      </c>
      <c r="U591" s="1144">
        <f t="shared" si="162"/>
        <v>779.82456140350871</v>
      </c>
      <c r="V591" s="1146">
        <f t="shared" si="163"/>
        <v>8901.4354066985634</v>
      </c>
      <c r="W591" s="1146">
        <f t="shared" si="164"/>
        <v>7593.6470588235297</v>
      </c>
      <c r="X591" s="1146">
        <f t="shared" si="165"/>
        <v>1307.7883478750337</v>
      </c>
      <c r="Y591" s="1146">
        <f t="shared" si="166"/>
        <v>7040.9866128736476</v>
      </c>
      <c r="Z591" s="1146">
        <f t="shared" si="167"/>
        <v>7593.6470588235297</v>
      </c>
      <c r="AA591" s="1146">
        <f t="shared" si="168"/>
        <v>-552.66044594988216</v>
      </c>
      <c r="AB591" s="1146">
        <f t="shared" si="169"/>
        <v>10147.636363636364</v>
      </c>
      <c r="AC591" s="1146">
        <f t="shared" si="170"/>
        <v>7593.6470588235297</v>
      </c>
      <c r="AD591" s="1146">
        <f t="shared" si="171"/>
        <v>2553.9893048128342</v>
      </c>
      <c r="AE591" s="1146">
        <f t="shared" si="172"/>
        <v>8026.7247386759591</v>
      </c>
      <c r="AF591" s="1146">
        <f t="shared" si="173"/>
        <v>7593.6470588235297</v>
      </c>
      <c r="AG591" s="1146">
        <f t="shared" si="174"/>
        <v>433.07767985242936</v>
      </c>
    </row>
    <row r="592" spans="2:33" ht="14.4">
      <c r="B592" s="1134">
        <v>871459</v>
      </c>
      <c r="C592" s="1135"/>
      <c r="D592" s="1134">
        <v>87145</v>
      </c>
      <c r="E592" s="1153">
        <v>42284</v>
      </c>
      <c r="F592" s="1154">
        <v>20000</v>
      </c>
      <c r="G592" s="1155">
        <v>10</v>
      </c>
      <c r="H592" s="1154">
        <v>22400</v>
      </c>
      <c r="I592" s="1155">
        <v>19</v>
      </c>
      <c r="J592" s="1156">
        <v>5000</v>
      </c>
      <c r="K592" s="1157"/>
      <c r="L592" s="1158">
        <v>42313</v>
      </c>
      <c r="M592" s="269">
        <f t="shared" si="157"/>
        <v>4</v>
      </c>
      <c r="N592" s="1074">
        <f t="shared" si="175"/>
        <v>200</v>
      </c>
      <c r="O592" s="1087">
        <f t="shared" si="158"/>
        <v>2256.2526315789473</v>
      </c>
      <c r="P592" s="269">
        <f t="shared" si="176"/>
        <v>1</v>
      </c>
      <c r="Q592" s="269" t="str">
        <f t="shared" si="159"/>
        <v/>
      </c>
      <c r="R592" s="1142"/>
      <c r="S592" s="1143" t="str">
        <f t="shared" si="160"/>
        <v>Upsize</v>
      </c>
      <c r="T592" s="1144">
        <f t="shared" si="161"/>
        <v>1989.2857142857145</v>
      </c>
      <c r="U592" s="1144">
        <f t="shared" si="162"/>
        <v>793.75</v>
      </c>
      <c r="V592" s="1146">
        <f t="shared" si="163"/>
        <v>6040.2597402597403</v>
      </c>
      <c r="W592" s="1146">
        <f t="shared" si="164"/>
        <v>4437.0278637770889</v>
      </c>
      <c r="X592" s="1146">
        <f t="shared" si="165"/>
        <v>1603.2318764826514</v>
      </c>
      <c r="Y592" s="1146">
        <f t="shared" si="166"/>
        <v>4777.8123444499752</v>
      </c>
      <c r="Z592" s="1146">
        <f t="shared" si="167"/>
        <v>4437.0278637770889</v>
      </c>
      <c r="AA592" s="1146">
        <f t="shared" si="168"/>
        <v>340.78448067288627</v>
      </c>
      <c r="AB592" s="1146">
        <f t="shared" si="169"/>
        <v>6765.090909090909</v>
      </c>
      <c r="AC592" s="1146">
        <f t="shared" si="170"/>
        <v>4437.0278637770889</v>
      </c>
      <c r="AD592" s="1146">
        <f t="shared" si="171"/>
        <v>2328.0630453138201</v>
      </c>
      <c r="AE592" s="1146">
        <f t="shared" si="172"/>
        <v>5351.1498257839721</v>
      </c>
      <c r="AF592" s="1146">
        <f t="shared" si="173"/>
        <v>4437.0278637770889</v>
      </c>
      <c r="AG592" s="1146">
        <f t="shared" si="174"/>
        <v>914.12196200688322</v>
      </c>
    </row>
    <row r="593" spans="2:33" ht="14.4">
      <c r="B593" s="1134">
        <v>611589</v>
      </c>
      <c r="C593" s="1135"/>
      <c r="D593" s="1134">
        <v>486437</v>
      </c>
      <c r="E593" s="1153">
        <v>42244</v>
      </c>
      <c r="F593" s="1154">
        <v>30000</v>
      </c>
      <c r="G593" s="1155">
        <v>10</v>
      </c>
      <c r="H593" s="1154">
        <v>39500</v>
      </c>
      <c r="I593" s="1155">
        <v>15</v>
      </c>
      <c r="J593" s="1156">
        <v>4552.62</v>
      </c>
      <c r="K593" s="1157"/>
      <c r="L593" s="1158">
        <v>42313</v>
      </c>
      <c r="M593" s="269">
        <f t="shared" si="157"/>
        <v>4</v>
      </c>
      <c r="N593" s="1074">
        <f t="shared" si="175"/>
        <v>225</v>
      </c>
      <c r="O593" s="1087">
        <f t="shared" si="158"/>
        <v>1007.5999999999997</v>
      </c>
      <c r="P593" s="269">
        <f t="shared" si="176"/>
        <v>1</v>
      </c>
      <c r="Q593" s="269" t="str">
        <f t="shared" si="159"/>
        <v/>
      </c>
      <c r="R593" s="1142"/>
      <c r="S593" s="1143" t="str">
        <f t="shared" si="160"/>
        <v>Upsize</v>
      </c>
      <c r="T593" s="1144">
        <f t="shared" si="161"/>
        <v>1692.1518987341774</v>
      </c>
      <c r="U593" s="1144">
        <f t="shared" si="162"/>
        <v>675.18987341772151</v>
      </c>
      <c r="V593" s="1146">
        <f t="shared" si="163"/>
        <v>7707.0655926352138</v>
      </c>
      <c r="W593" s="1146">
        <f t="shared" si="164"/>
        <v>7593.6470588235297</v>
      </c>
      <c r="X593" s="1146">
        <f t="shared" si="165"/>
        <v>113.41853381168403</v>
      </c>
      <c r="Y593" s="1146">
        <f t="shared" si="166"/>
        <v>6096.2466369690828</v>
      </c>
      <c r="Z593" s="1146">
        <f t="shared" si="167"/>
        <v>7593.6470588235297</v>
      </c>
      <c r="AA593" s="1146">
        <f t="shared" si="168"/>
        <v>-1497.4004218544469</v>
      </c>
      <c r="AB593" s="1146">
        <f t="shared" si="169"/>
        <v>10147.636363636364</v>
      </c>
      <c r="AC593" s="1146">
        <f t="shared" si="170"/>
        <v>7593.6470588235297</v>
      </c>
      <c r="AD593" s="1146">
        <f t="shared" si="171"/>
        <v>2553.9893048128342</v>
      </c>
      <c r="AE593" s="1146">
        <f t="shared" si="172"/>
        <v>8026.72473867596</v>
      </c>
      <c r="AF593" s="1146">
        <f t="shared" si="173"/>
        <v>7593.6470588235297</v>
      </c>
      <c r="AG593" s="1146">
        <f t="shared" si="174"/>
        <v>433.07767985243026</v>
      </c>
    </row>
    <row r="594" spans="2:33" ht="14.4">
      <c r="B594" s="1134">
        <v>6764062</v>
      </c>
      <c r="C594" s="1135"/>
      <c r="D594" s="1134">
        <v>664223</v>
      </c>
      <c r="E594" s="1153">
        <v>42290</v>
      </c>
      <c r="F594" s="1154">
        <v>36000</v>
      </c>
      <c r="G594" s="1155">
        <v>12</v>
      </c>
      <c r="H594" s="1154">
        <v>35200</v>
      </c>
      <c r="I594" s="1155">
        <v>17</v>
      </c>
      <c r="J594" s="1156">
        <v>11093</v>
      </c>
      <c r="K594" s="1157"/>
      <c r="L594" s="1158">
        <v>42313</v>
      </c>
      <c r="M594" s="269">
        <f t="shared" si="157"/>
        <v>4</v>
      </c>
      <c r="N594" s="1074">
        <f t="shared" si="175"/>
        <v>250</v>
      </c>
      <c r="O594" s="1087">
        <f t="shared" si="158"/>
        <v>2554.0235294117651</v>
      </c>
      <c r="P594" s="269">
        <f t="shared" si="176"/>
        <v>1</v>
      </c>
      <c r="Q594" s="269" t="str">
        <f t="shared" si="159"/>
        <v/>
      </c>
      <c r="R594" s="1142"/>
      <c r="S594" s="1143" t="str">
        <f t="shared" si="160"/>
        <v>Downsize</v>
      </c>
      <c r="T594" s="1144">
        <f t="shared" si="161"/>
        <v>2278.6363636363635</v>
      </c>
      <c r="U594" s="1144">
        <f t="shared" si="162"/>
        <v>909.20454545454538</v>
      </c>
      <c r="V594" s="1146">
        <f t="shared" si="163"/>
        <v>11086.735537190083</v>
      </c>
      <c r="W594" s="1146">
        <f t="shared" si="164"/>
        <v>8483.2941176470595</v>
      </c>
      <c r="X594" s="1146">
        <f t="shared" si="165"/>
        <v>2603.4414195430236</v>
      </c>
      <c r="Y594" s="1146">
        <f t="shared" si="166"/>
        <v>9850.9803611023126</v>
      </c>
      <c r="Z594" s="1146">
        <f t="shared" si="167"/>
        <v>8483.2941176470595</v>
      </c>
      <c r="AA594" s="1146">
        <f t="shared" si="168"/>
        <v>1367.6862434552531</v>
      </c>
      <c r="AB594" s="1146">
        <f t="shared" si="169"/>
        <v>10840.363636363638</v>
      </c>
      <c r="AC594" s="1146">
        <f t="shared" si="170"/>
        <v>8483.2941176470595</v>
      </c>
      <c r="AD594" s="1146">
        <f t="shared" si="171"/>
        <v>2357.0695187165784</v>
      </c>
      <c r="AE594" s="1146">
        <f t="shared" si="172"/>
        <v>9632.0696864111505</v>
      </c>
      <c r="AF594" s="1146">
        <f t="shared" si="173"/>
        <v>8483.2941176470595</v>
      </c>
      <c r="AG594" s="1146">
        <f t="shared" si="174"/>
        <v>1148.7755687640911</v>
      </c>
    </row>
    <row r="595" spans="2:33" ht="14.4">
      <c r="B595" s="1134">
        <v>8937165</v>
      </c>
      <c r="C595" s="1135"/>
      <c r="D595" s="1134">
        <v>509614</v>
      </c>
      <c r="E595" s="1153">
        <v>42285</v>
      </c>
      <c r="F595" s="1154">
        <v>24000</v>
      </c>
      <c r="G595" s="1155">
        <v>12</v>
      </c>
      <c r="H595" s="1154">
        <v>24000</v>
      </c>
      <c r="I595" s="1155">
        <v>16</v>
      </c>
      <c r="J595" s="1156">
        <v>5550</v>
      </c>
      <c r="K595" s="1157"/>
      <c r="L595" s="1158">
        <v>42313</v>
      </c>
      <c r="M595" s="269">
        <f t="shared" si="157"/>
        <v>4</v>
      </c>
      <c r="N595" s="1074">
        <f t="shared" si="175"/>
        <v>150</v>
      </c>
      <c r="O595" s="1087">
        <f t="shared" si="158"/>
        <v>1374</v>
      </c>
      <c r="P595" s="269">
        <f t="shared" si="176"/>
        <v>1</v>
      </c>
      <c r="Q595" s="269" t="str">
        <f t="shared" si="159"/>
        <v/>
      </c>
      <c r="R595" s="1142"/>
      <c r="S595" s="1143" t="str">
        <f t="shared" si="160"/>
        <v>Same Size</v>
      </c>
      <c r="T595" s="1144">
        <f t="shared" si="161"/>
        <v>2228</v>
      </c>
      <c r="U595" s="1144">
        <f t="shared" si="162"/>
        <v>889</v>
      </c>
      <c r="V595" s="1146">
        <f t="shared" si="163"/>
        <v>7226.909090909091</v>
      </c>
      <c r="W595" s="1146">
        <f t="shared" si="164"/>
        <v>5852.1176470588234</v>
      </c>
      <c r="X595" s="1146">
        <f t="shared" si="165"/>
        <v>1374.7914438502676</v>
      </c>
      <c r="Y595" s="1146">
        <f t="shared" si="166"/>
        <v>6421.3797909407658</v>
      </c>
      <c r="Z595" s="1146">
        <f t="shared" si="167"/>
        <v>5852.1176470588234</v>
      </c>
      <c r="AA595" s="1146">
        <f t="shared" si="168"/>
        <v>569.26214388194239</v>
      </c>
      <c r="AB595" s="1146">
        <f t="shared" si="169"/>
        <v>7226.909090909091</v>
      </c>
      <c r="AC595" s="1146">
        <f t="shared" si="170"/>
        <v>5852.1176470588234</v>
      </c>
      <c r="AD595" s="1146">
        <f t="shared" si="171"/>
        <v>1374.7914438502676</v>
      </c>
      <c r="AE595" s="1146">
        <f t="shared" si="172"/>
        <v>6421.3797909407658</v>
      </c>
      <c r="AF595" s="1146">
        <f t="shared" si="173"/>
        <v>5852.1176470588234</v>
      </c>
      <c r="AG595" s="1146">
        <f t="shared" si="174"/>
        <v>569.26214388194239</v>
      </c>
    </row>
    <row r="596" spans="2:33" ht="14.4">
      <c r="B596" s="1134">
        <v>4570826</v>
      </c>
      <c r="C596" s="1135"/>
      <c r="D596" s="1134">
        <v>457082</v>
      </c>
      <c r="E596" s="1153">
        <v>42275</v>
      </c>
      <c r="F596" s="1154">
        <v>45000</v>
      </c>
      <c r="G596" s="1155">
        <v>12</v>
      </c>
      <c r="H596" s="1154">
        <v>55000</v>
      </c>
      <c r="I596" s="1155">
        <v>16</v>
      </c>
      <c r="J596" s="1156">
        <v>11028</v>
      </c>
      <c r="K596" s="1157"/>
      <c r="L596" s="1158">
        <v>42313</v>
      </c>
      <c r="M596" s="269">
        <f t="shared" si="157"/>
        <v>4</v>
      </c>
      <c r="N596" s="1074">
        <f t="shared" si="175"/>
        <v>375</v>
      </c>
      <c r="O596" s="1087">
        <f t="shared" si="158"/>
        <v>858.75000000000011</v>
      </c>
      <c r="P596" s="269">
        <f t="shared" si="176"/>
        <v>1</v>
      </c>
      <c r="Q596" s="269" t="str">
        <f t="shared" si="159"/>
        <v/>
      </c>
      <c r="R596" s="1142"/>
      <c r="S596" s="1143" t="str">
        <f t="shared" si="160"/>
        <v>Upsize</v>
      </c>
      <c r="T596" s="1144">
        <f t="shared" si="161"/>
        <v>1822.909090909091</v>
      </c>
      <c r="U596" s="1144">
        <f t="shared" si="162"/>
        <v>727.36363636363637</v>
      </c>
      <c r="V596" s="1146">
        <f t="shared" si="163"/>
        <v>11086.735537190083</v>
      </c>
      <c r="W596" s="1146">
        <f t="shared" si="164"/>
        <v>10972.720588235294</v>
      </c>
      <c r="X596" s="1146">
        <f t="shared" si="165"/>
        <v>114.01494895478936</v>
      </c>
      <c r="Y596" s="1146">
        <f t="shared" si="166"/>
        <v>9850.9803611023126</v>
      </c>
      <c r="Z596" s="1146">
        <f t="shared" si="167"/>
        <v>10972.720588235294</v>
      </c>
      <c r="AA596" s="1146">
        <f t="shared" si="168"/>
        <v>-1121.7402271329811</v>
      </c>
      <c r="AB596" s="1146">
        <f t="shared" si="169"/>
        <v>13550.454545454546</v>
      </c>
      <c r="AC596" s="1146">
        <f t="shared" si="170"/>
        <v>10972.720588235294</v>
      </c>
      <c r="AD596" s="1146">
        <f t="shared" si="171"/>
        <v>2577.7339572192523</v>
      </c>
      <c r="AE596" s="1146">
        <f t="shared" si="172"/>
        <v>12040.087108013939</v>
      </c>
      <c r="AF596" s="1146">
        <f t="shared" si="173"/>
        <v>10972.720588235294</v>
      </c>
      <c r="AG596" s="1146">
        <f t="shared" si="174"/>
        <v>1067.3665197786449</v>
      </c>
    </row>
    <row r="597" spans="2:33" ht="14.4">
      <c r="B597" s="1134">
        <v>4931655</v>
      </c>
      <c r="C597" s="1135"/>
      <c r="D597" s="1134">
        <v>493165</v>
      </c>
      <c r="E597" s="1153">
        <v>42261</v>
      </c>
      <c r="F597" s="1154">
        <v>40000</v>
      </c>
      <c r="G597" s="1155">
        <v>10</v>
      </c>
      <c r="H597" s="1154">
        <v>46500</v>
      </c>
      <c r="I597" s="1155">
        <v>16</v>
      </c>
      <c r="J597" s="1156">
        <v>7500</v>
      </c>
      <c r="K597" s="1157"/>
      <c r="L597" s="1158">
        <v>42313</v>
      </c>
      <c r="M597" s="269">
        <f t="shared" si="157"/>
        <v>4</v>
      </c>
      <c r="N597" s="1074">
        <f t="shared" si="175"/>
        <v>300</v>
      </c>
      <c r="O597" s="1087">
        <f t="shared" si="158"/>
        <v>3005.6250000000005</v>
      </c>
      <c r="P597" s="269">
        <f t="shared" si="176"/>
        <v>1</v>
      </c>
      <c r="Q597" s="269" t="str">
        <f t="shared" si="159"/>
        <v/>
      </c>
      <c r="R597" s="1142"/>
      <c r="S597" s="1143" t="str">
        <f t="shared" si="160"/>
        <v>Upsize</v>
      </c>
      <c r="T597" s="1144">
        <f t="shared" si="161"/>
        <v>1916.5591397849462</v>
      </c>
      <c r="U597" s="1144">
        <f t="shared" si="162"/>
        <v>764.73118279569894</v>
      </c>
      <c r="V597" s="1146">
        <f t="shared" si="163"/>
        <v>11638.866080156404</v>
      </c>
      <c r="W597" s="1146">
        <f t="shared" si="164"/>
        <v>9753.5294117647063</v>
      </c>
      <c r="X597" s="1146">
        <f t="shared" si="165"/>
        <v>1885.3366683916975</v>
      </c>
      <c r="Y597" s="1146">
        <f t="shared" si="166"/>
        <v>9206.2792701659746</v>
      </c>
      <c r="Z597" s="1146">
        <f t="shared" si="167"/>
        <v>9753.5294117647063</v>
      </c>
      <c r="AA597" s="1146">
        <f t="shared" si="168"/>
        <v>-547.25014159873172</v>
      </c>
      <c r="AB597" s="1146">
        <f t="shared" si="169"/>
        <v>13530.18181818182</v>
      </c>
      <c r="AC597" s="1146">
        <f t="shared" si="170"/>
        <v>9753.5294117647063</v>
      </c>
      <c r="AD597" s="1146">
        <f t="shared" si="171"/>
        <v>3776.6524064171135</v>
      </c>
      <c r="AE597" s="1146">
        <f t="shared" si="172"/>
        <v>10702.299651567944</v>
      </c>
      <c r="AF597" s="1146">
        <f t="shared" si="173"/>
        <v>9753.5294117647063</v>
      </c>
      <c r="AG597" s="1146">
        <f t="shared" si="174"/>
        <v>948.77023980323793</v>
      </c>
    </row>
    <row r="598" spans="2:33" ht="14.4">
      <c r="B598" s="1134">
        <v>7654783</v>
      </c>
      <c r="C598" s="1135"/>
      <c r="D598" s="1134">
        <v>643944</v>
      </c>
      <c r="E598" s="1153">
        <v>42271</v>
      </c>
      <c r="F598" s="1154">
        <v>30000</v>
      </c>
      <c r="G598" s="1155">
        <v>10</v>
      </c>
      <c r="H598" s="1154">
        <v>34800</v>
      </c>
      <c r="I598" s="1155">
        <v>15</v>
      </c>
      <c r="J598" s="1156">
        <v>5600</v>
      </c>
      <c r="K598" s="1157"/>
      <c r="L598" s="1158">
        <v>42313</v>
      </c>
      <c r="M598" s="269">
        <v>4</v>
      </c>
      <c r="N598" s="1074">
        <f t="shared" si="175"/>
        <v>175</v>
      </c>
      <c r="O598" s="1087">
        <f t="shared" si="158"/>
        <v>1868.64</v>
      </c>
      <c r="P598" s="269">
        <f t="shared" si="176"/>
        <v>1</v>
      </c>
      <c r="Q598" s="269" t="str">
        <f t="shared" si="159"/>
        <v/>
      </c>
      <c r="R598" s="1142"/>
      <c r="S598" s="1143" t="str">
        <f t="shared" si="160"/>
        <v>Upsize</v>
      </c>
      <c r="T598" s="1144">
        <f t="shared" si="161"/>
        <v>1920.6896551724137</v>
      </c>
      <c r="U598" s="1144">
        <f t="shared" si="162"/>
        <v>766.37931034482756</v>
      </c>
      <c r="V598" s="1146">
        <f t="shared" si="163"/>
        <v>8747.962382445141</v>
      </c>
      <c r="W598" s="1146">
        <f t="shared" si="164"/>
        <v>7593.6470588235288</v>
      </c>
      <c r="X598" s="1146">
        <f t="shared" si="165"/>
        <v>1154.3153236216122</v>
      </c>
      <c r="Y598" s="1146">
        <f t="shared" si="166"/>
        <v>6919.5902919620321</v>
      </c>
      <c r="Z598" s="1146">
        <f t="shared" si="167"/>
        <v>7593.6470588235288</v>
      </c>
      <c r="AA598" s="1146">
        <f t="shared" si="168"/>
        <v>-674.05676686149673</v>
      </c>
      <c r="AB598" s="1146">
        <f t="shared" si="169"/>
        <v>10147.636363636364</v>
      </c>
      <c r="AC598" s="1146">
        <f t="shared" si="170"/>
        <v>7593.6470588235288</v>
      </c>
      <c r="AD598" s="1146">
        <f t="shared" si="171"/>
        <v>2553.9893048128351</v>
      </c>
      <c r="AE598" s="1146">
        <f t="shared" si="172"/>
        <v>8026.7247386759573</v>
      </c>
      <c r="AF598" s="1146">
        <f t="shared" si="173"/>
        <v>7593.6470588235288</v>
      </c>
      <c r="AG598" s="1146">
        <f t="shared" si="174"/>
        <v>433.07767985242845</v>
      </c>
    </row>
    <row r="599" spans="2:33" ht="14.4">
      <c r="B599" s="1134">
        <v>3951134</v>
      </c>
      <c r="C599" s="1135"/>
      <c r="D599" s="1134">
        <v>395113</v>
      </c>
      <c r="E599" s="1153">
        <v>42284</v>
      </c>
      <c r="F599" s="1154">
        <v>48000</v>
      </c>
      <c r="G599" s="1155">
        <v>10</v>
      </c>
      <c r="H599" s="1154">
        <v>47500</v>
      </c>
      <c r="I599" s="1155">
        <v>15</v>
      </c>
      <c r="J599" s="1156">
        <v>5200</v>
      </c>
      <c r="K599" s="1157"/>
      <c r="L599" s="1158">
        <v>42324</v>
      </c>
      <c r="M599" s="269">
        <v>4</v>
      </c>
      <c r="N599" s="1074">
        <f t="shared" si="175"/>
        <v>250</v>
      </c>
      <c r="O599" s="1087">
        <f t="shared" si="158"/>
        <v>4488.4000000000005</v>
      </c>
      <c r="P599" s="269">
        <f t="shared" si="176"/>
        <v>1</v>
      </c>
      <c r="Q599" s="269" t="str">
        <f t="shared" si="159"/>
        <v/>
      </c>
      <c r="R599" s="1142"/>
      <c r="S599" s="1143" t="str">
        <f t="shared" si="160"/>
        <v>Downsize</v>
      </c>
      <c r="T599" s="1144">
        <f t="shared" si="161"/>
        <v>2251.4526315789476</v>
      </c>
      <c r="U599" s="1144">
        <f t="shared" si="162"/>
        <v>898.35789473684213</v>
      </c>
      <c r="V599" s="1146">
        <f t="shared" si="163"/>
        <v>16407.125741626798</v>
      </c>
      <c r="W599" s="1146">
        <f t="shared" si="164"/>
        <v>12149.835294117649</v>
      </c>
      <c r="X599" s="1146">
        <f t="shared" si="165"/>
        <v>4257.2904475091491</v>
      </c>
      <c r="Y599" s="1146">
        <f t="shared" si="166"/>
        <v>12977.946524848709</v>
      </c>
      <c r="Z599" s="1146">
        <f t="shared" si="167"/>
        <v>12149.835294117649</v>
      </c>
      <c r="AA599" s="1146">
        <f t="shared" si="168"/>
        <v>828.11123073105955</v>
      </c>
      <c r="AB599" s="1146">
        <f t="shared" si="169"/>
        <v>16236.218181818183</v>
      </c>
      <c r="AC599" s="1146">
        <f t="shared" si="170"/>
        <v>12149.835294117649</v>
      </c>
      <c r="AD599" s="1146">
        <f t="shared" si="171"/>
        <v>4086.3828877005344</v>
      </c>
      <c r="AE599" s="1146">
        <f t="shared" si="172"/>
        <v>12842.759581881535</v>
      </c>
      <c r="AF599" s="1146">
        <f t="shared" si="173"/>
        <v>12149.835294117649</v>
      </c>
      <c r="AG599" s="1146">
        <f t="shared" si="174"/>
        <v>692.92428776388624</v>
      </c>
    </row>
    <row r="600" spans="2:33" ht="14.4">
      <c r="B600" s="1134">
        <v>2414449</v>
      </c>
      <c r="C600" s="1135"/>
      <c r="D600" s="1134">
        <v>153143</v>
      </c>
      <c r="E600" s="1153">
        <v>42306</v>
      </c>
      <c r="F600" s="1154">
        <v>20000</v>
      </c>
      <c r="G600" s="1155">
        <v>10</v>
      </c>
      <c r="H600" s="1154">
        <v>28800</v>
      </c>
      <c r="I600" s="1155">
        <v>15</v>
      </c>
      <c r="J600" s="1156">
        <v>3700</v>
      </c>
      <c r="K600" s="1157"/>
      <c r="L600" s="1158">
        <v>42324</v>
      </c>
      <c r="M600" s="269">
        <f t="shared" si="177" ref="M600:M631">IF(MAX(K600,L600)&lt;40000,"",ROUNDUP(MONTH(MAX(K600,L600))/3,0))</f>
        <v>4</v>
      </c>
      <c r="N600" s="1074">
        <f t="shared" si="175"/>
        <v>150</v>
      </c>
      <c r="O600" s="1087">
        <f t="shared" si="158"/>
        <v>219.84000000000003</v>
      </c>
      <c r="P600" s="269">
        <f t="shared" si="176"/>
        <v>1</v>
      </c>
      <c r="Q600" s="269" t="str">
        <f t="shared" si="159"/>
        <v/>
      </c>
      <c r="R600" s="1142"/>
      <c r="S600" s="1143" t="str">
        <f t="shared" si="160"/>
        <v>Upsize</v>
      </c>
      <c r="T600" s="1144">
        <f t="shared" si="161"/>
        <v>1547.2222222222222</v>
      </c>
      <c r="U600" s="1144">
        <f t="shared" si="162"/>
        <v>617.36111111111109</v>
      </c>
      <c r="V600" s="1146">
        <f t="shared" si="163"/>
        <v>4697.9797979797977</v>
      </c>
      <c r="W600" s="1146">
        <f t="shared" si="164"/>
        <v>5062.4313725490192</v>
      </c>
      <c r="X600" s="1146">
        <f t="shared" si="165"/>
        <v>-364.45157456922152</v>
      </c>
      <c r="Y600" s="1146">
        <f t="shared" si="166"/>
        <v>3716.076267905536</v>
      </c>
      <c r="Z600" s="1146">
        <f t="shared" si="167"/>
        <v>5062.4313725490192</v>
      </c>
      <c r="AA600" s="1146">
        <f t="shared" si="168"/>
        <v>-1346.3551046434832</v>
      </c>
      <c r="AB600" s="1146">
        <f t="shared" si="169"/>
        <v>6765.090909090909</v>
      </c>
      <c r="AC600" s="1146">
        <f t="shared" si="170"/>
        <v>5062.4313725490192</v>
      </c>
      <c r="AD600" s="1146">
        <f t="shared" si="171"/>
        <v>1702.6595365418898</v>
      </c>
      <c r="AE600" s="1146">
        <f t="shared" si="172"/>
        <v>5351.1498257839721</v>
      </c>
      <c r="AF600" s="1146">
        <f t="shared" si="173"/>
        <v>5062.4313725490192</v>
      </c>
      <c r="AG600" s="1146">
        <f t="shared" si="174"/>
        <v>288.7184532349529</v>
      </c>
    </row>
    <row r="601" spans="2:33" ht="14.4">
      <c r="B601" s="1134">
        <v>5054358</v>
      </c>
      <c r="C601" s="1135"/>
      <c r="D601" s="1134">
        <v>5054358</v>
      </c>
      <c r="E601" s="1153">
        <v>42306</v>
      </c>
      <c r="F601" s="1154">
        <v>40000</v>
      </c>
      <c r="G601" s="1155">
        <v>10</v>
      </c>
      <c r="H601" s="1154">
        <v>47000</v>
      </c>
      <c r="I601" s="1155">
        <v>15</v>
      </c>
      <c r="J601" s="1156">
        <v>5600</v>
      </c>
      <c r="K601" s="1157"/>
      <c r="L601" s="1158">
        <v>42324</v>
      </c>
      <c r="M601" s="269">
        <f t="shared" si="177"/>
        <v>4</v>
      </c>
      <c r="N601" s="1074">
        <f t="shared" si="175"/>
        <v>250</v>
      </c>
      <c r="O601" s="1087">
        <f t="shared" si="158"/>
        <v>2381.60</v>
      </c>
      <c r="P601" s="269">
        <f t="shared" si="176"/>
        <v>1</v>
      </c>
      <c r="Q601" s="269" t="str">
        <f t="shared" si="159"/>
        <v/>
      </c>
      <c r="R601" s="1142"/>
      <c r="S601" s="1143" t="str">
        <f t="shared" si="160"/>
        <v>Upsize</v>
      </c>
      <c r="T601" s="1144">
        <f t="shared" si="161"/>
        <v>1896.1702127659576</v>
      </c>
      <c r="U601" s="1144">
        <f t="shared" si="162"/>
        <v>756.59574468085111</v>
      </c>
      <c r="V601" s="1146">
        <f t="shared" si="163"/>
        <v>11515.04835589942</v>
      </c>
      <c r="W601" s="1146">
        <f t="shared" si="164"/>
        <v>10124.86274509804</v>
      </c>
      <c r="X601" s="1146">
        <f t="shared" si="165"/>
        <v>1390.1856108013799</v>
      </c>
      <c r="Y601" s="1146">
        <f t="shared" si="166"/>
        <v>9108.3401289939957</v>
      </c>
      <c r="Z601" s="1146">
        <f t="shared" si="167"/>
        <v>10124.86274509804</v>
      </c>
      <c r="AA601" s="1146">
        <f t="shared" si="168"/>
        <v>-1016.5226161040446</v>
      </c>
      <c r="AB601" s="1146">
        <f t="shared" si="169"/>
        <v>13530.18181818182</v>
      </c>
      <c r="AC601" s="1146">
        <f t="shared" si="170"/>
        <v>10124.86274509804</v>
      </c>
      <c r="AD601" s="1146">
        <f t="shared" si="171"/>
        <v>3405.3190730837796</v>
      </c>
      <c r="AE601" s="1146">
        <f t="shared" si="172"/>
        <v>10702.299651567944</v>
      </c>
      <c r="AF601" s="1146">
        <f t="shared" si="173"/>
        <v>10124.86274509804</v>
      </c>
      <c r="AG601" s="1146">
        <f t="shared" si="174"/>
        <v>577.43690646990399</v>
      </c>
    </row>
    <row r="602" spans="2:33" ht="14.4">
      <c r="B602" s="1134">
        <v>1024249</v>
      </c>
      <c r="C602" s="1135"/>
      <c r="D602" s="1134">
        <v>1024249</v>
      </c>
      <c r="E602" s="1153">
        <v>42314</v>
      </c>
      <c r="F602" s="1154">
        <v>36000</v>
      </c>
      <c r="G602" s="1155">
        <v>10</v>
      </c>
      <c r="H602" s="1154">
        <v>34800</v>
      </c>
      <c r="I602" s="1155">
        <v>15</v>
      </c>
      <c r="J602" s="1156">
        <v>4070</v>
      </c>
      <c r="K602" s="1157"/>
      <c r="L602" s="1158">
        <v>42324</v>
      </c>
      <c r="M602" s="269">
        <f t="shared" si="177"/>
        <v>4</v>
      </c>
      <c r="N602" s="1074">
        <f t="shared" si="175"/>
        <v>175</v>
      </c>
      <c r="O602" s="1087">
        <f t="shared" si="158"/>
        <v>3517.4400000000005</v>
      </c>
      <c r="P602" s="269">
        <f t="shared" si="176"/>
        <v>1</v>
      </c>
      <c r="Q602" s="269" t="str">
        <f t="shared" si="159"/>
        <v/>
      </c>
      <c r="R602" s="1142"/>
      <c r="S602" s="1143" t="str">
        <f t="shared" si="160"/>
        <v>Downsize</v>
      </c>
      <c r="T602" s="1144">
        <f t="shared" si="161"/>
        <v>2304.8275862068967</v>
      </c>
      <c r="U602" s="1144">
        <f t="shared" si="162"/>
        <v>919.65517241379314</v>
      </c>
      <c r="V602" s="1146">
        <f t="shared" si="163"/>
        <v>12597.065830721003</v>
      </c>
      <c r="W602" s="1146">
        <f t="shared" si="164"/>
        <v>9112.376470588235</v>
      </c>
      <c r="X602" s="1146">
        <f t="shared" si="165"/>
        <v>3484.6893601327683</v>
      </c>
      <c r="Y602" s="1146">
        <f t="shared" si="166"/>
        <v>9964.2100204253293</v>
      </c>
      <c r="Z602" s="1146">
        <f t="shared" si="167"/>
        <v>9112.376470588235</v>
      </c>
      <c r="AA602" s="1146">
        <f t="shared" si="168"/>
        <v>851.83354983709432</v>
      </c>
      <c r="AB602" s="1146">
        <f t="shared" si="169"/>
        <v>12177.163636363635</v>
      </c>
      <c r="AC602" s="1146">
        <f t="shared" si="170"/>
        <v>9112.376470588235</v>
      </c>
      <c r="AD602" s="1146">
        <f t="shared" si="171"/>
        <v>3064.7871657754004</v>
      </c>
      <c r="AE602" s="1146">
        <f t="shared" si="172"/>
        <v>9632.0696864111505</v>
      </c>
      <c r="AF602" s="1146">
        <f t="shared" si="173"/>
        <v>9112.376470588235</v>
      </c>
      <c r="AG602" s="1146">
        <f t="shared" si="174"/>
        <v>519.69321582291559</v>
      </c>
    </row>
    <row r="603" spans="2:33" ht="14.4">
      <c r="B603" s="1134">
        <v>4665709</v>
      </c>
      <c r="C603" s="1135"/>
      <c r="D603" s="1134">
        <v>187529</v>
      </c>
      <c r="E603" s="1153">
        <v>42269</v>
      </c>
      <c r="F603" s="1154">
        <v>36000</v>
      </c>
      <c r="G603" s="1155">
        <v>10</v>
      </c>
      <c r="H603" s="1154">
        <v>34800</v>
      </c>
      <c r="I603" s="1155">
        <v>15</v>
      </c>
      <c r="J603" s="1156">
        <v>6720</v>
      </c>
      <c r="K603" s="1157"/>
      <c r="L603" s="1158">
        <v>42324</v>
      </c>
      <c r="M603" s="269">
        <f t="shared" si="177"/>
        <v>4</v>
      </c>
      <c r="N603" s="1074">
        <f t="shared" si="175"/>
        <v>175</v>
      </c>
      <c r="O603" s="1087">
        <f t="shared" si="158"/>
        <v>3517.4400000000005</v>
      </c>
      <c r="P603" s="269">
        <f t="shared" si="176"/>
        <v>1</v>
      </c>
      <c r="Q603" s="269" t="str">
        <f t="shared" si="159"/>
        <v/>
      </c>
      <c r="R603" s="1142"/>
      <c r="S603" s="1143" t="str">
        <f t="shared" si="160"/>
        <v>Downsize</v>
      </c>
      <c r="T603" s="1144">
        <f t="shared" si="161"/>
        <v>2304.8275862068967</v>
      </c>
      <c r="U603" s="1144">
        <f t="shared" si="162"/>
        <v>919.65517241379314</v>
      </c>
      <c r="V603" s="1146">
        <f t="shared" si="163"/>
        <v>12597.065830721003</v>
      </c>
      <c r="W603" s="1146">
        <f t="shared" si="164"/>
        <v>9112.376470588235</v>
      </c>
      <c r="X603" s="1146">
        <f t="shared" si="165"/>
        <v>3484.6893601327683</v>
      </c>
      <c r="Y603" s="1146">
        <f t="shared" si="166"/>
        <v>9964.2100204253293</v>
      </c>
      <c r="Z603" s="1146">
        <f t="shared" si="167"/>
        <v>9112.376470588235</v>
      </c>
      <c r="AA603" s="1146">
        <f t="shared" si="168"/>
        <v>851.83354983709432</v>
      </c>
      <c r="AB603" s="1146">
        <f t="shared" si="169"/>
        <v>12177.163636363635</v>
      </c>
      <c r="AC603" s="1146">
        <f t="shared" si="170"/>
        <v>9112.376470588235</v>
      </c>
      <c r="AD603" s="1146">
        <f t="shared" si="171"/>
        <v>3064.7871657754004</v>
      </c>
      <c r="AE603" s="1146">
        <f t="shared" si="172"/>
        <v>9632.0696864111505</v>
      </c>
      <c r="AF603" s="1146">
        <f t="shared" si="173"/>
        <v>9112.376470588235</v>
      </c>
      <c r="AG603" s="1146">
        <f t="shared" si="174"/>
        <v>519.69321582291559</v>
      </c>
    </row>
    <row r="604" spans="2:33" ht="14.4">
      <c r="B604" s="1134">
        <v>6300644</v>
      </c>
      <c r="C604" s="1135"/>
      <c r="D604" s="1134">
        <v>265334</v>
      </c>
      <c r="E604" s="1153">
        <v>42307</v>
      </c>
      <c r="F604" s="1154">
        <v>30000</v>
      </c>
      <c r="G604" s="1155">
        <v>10</v>
      </c>
      <c r="H604" s="1154">
        <v>36000</v>
      </c>
      <c r="I604" s="1155">
        <v>16</v>
      </c>
      <c r="J604" s="1156">
        <v>7507</v>
      </c>
      <c r="K604" s="1157"/>
      <c r="L604" s="1158">
        <v>42324</v>
      </c>
      <c r="M604" s="269">
        <f t="shared" si="177"/>
        <v>4</v>
      </c>
      <c r="N604" s="1074">
        <f t="shared" si="175"/>
        <v>225</v>
      </c>
      <c r="O604" s="1087">
        <f t="shared" si="158"/>
        <v>2061</v>
      </c>
      <c r="P604" s="269">
        <f t="shared" si="176"/>
        <v>1</v>
      </c>
      <c r="Q604" s="269" t="str">
        <f t="shared" si="159"/>
        <v/>
      </c>
      <c r="R604" s="1142"/>
      <c r="S604" s="1143" t="str">
        <f t="shared" si="160"/>
        <v>Upsize</v>
      </c>
      <c r="T604" s="1144">
        <f t="shared" si="161"/>
        <v>1856.6666666666667</v>
      </c>
      <c r="U604" s="1144">
        <f t="shared" si="162"/>
        <v>740.83333333333337</v>
      </c>
      <c r="V604" s="1146">
        <f t="shared" si="163"/>
        <v>8456.363636363636</v>
      </c>
      <c r="W604" s="1146">
        <f t="shared" si="164"/>
        <v>7315.1470588235288</v>
      </c>
      <c r="X604" s="1146">
        <f t="shared" si="165"/>
        <v>1141.2165775401072</v>
      </c>
      <c r="Y604" s="1146">
        <f t="shared" si="166"/>
        <v>6688.9372822299647</v>
      </c>
      <c r="Z604" s="1146">
        <f t="shared" si="167"/>
        <v>7315.1470588235288</v>
      </c>
      <c r="AA604" s="1146">
        <f t="shared" si="168"/>
        <v>-626.20977659356413</v>
      </c>
      <c r="AB604" s="1146">
        <f t="shared" si="169"/>
        <v>10147.636363636364</v>
      </c>
      <c r="AC604" s="1146">
        <f t="shared" si="170"/>
        <v>7315.1470588235288</v>
      </c>
      <c r="AD604" s="1146">
        <f t="shared" si="171"/>
        <v>2832.4893048128351</v>
      </c>
      <c r="AE604" s="1146">
        <f t="shared" si="172"/>
        <v>8026.7247386759582</v>
      </c>
      <c r="AF604" s="1146">
        <f t="shared" si="173"/>
        <v>7315.1470588235288</v>
      </c>
      <c r="AG604" s="1146">
        <f t="shared" si="174"/>
        <v>711.57767985242936</v>
      </c>
    </row>
    <row r="605" spans="2:33" ht="14.4">
      <c r="B605" s="1134">
        <v>8821493</v>
      </c>
      <c r="C605" s="1135"/>
      <c r="D605" s="1134">
        <v>614191</v>
      </c>
      <c r="E605" s="1153">
        <v>42300</v>
      </c>
      <c r="F605" s="1154">
        <v>30000</v>
      </c>
      <c r="G605" s="1155">
        <v>12</v>
      </c>
      <c r="H605" s="1154">
        <v>34600</v>
      </c>
      <c r="I605" s="1155">
        <v>16</v>
      </c>
      <c r="J605" s="1156">
        <v>7900</v>
      </c>
      <c r="K605" s="1157"/>
      <c r="L605" s="1158">
        <v>42324</v>
      </c>
      <c r="M605" s="269">
        <f t="shared" si="177"/>
        <v>4</v>
      </c>
      <c r="N605" s="1074">
        <f t="shared" si="175"/>
        <v>225</v>
      </c>
      <c r="O605" s="1087">
        <f t="shared" si="158"/>
        <v>927.45</v>
      </c>
      <c r="P605" s="269">
        <f t="shared" si="176"/>
        <v>1</v>
      </c>
      <c r="Q605" s="269" t="str">
        <f t="shared" si="159"/>
        <v/>
      </c>
      <c r="R605" s="1142"/>
      <c r="S605" s="1143" t="str">
        <f t="shared" si="160"/>
        <v>Upsize</v>
      </c>
      <c r="T605" s="1144">
        <f t="shared" si="161"/>
        <v>1931.7919075144509</v>
      </c>
      <c r="U605" s="1144">
        <f t="shared" si="162"/>
        <v>770.80924855491332</v>
      </c>
      <c r="V605" s="1146">
        <f t="shared" si="163"/>
        <v>7832.6326852338416</v>
      </c>
      <c r="W605" s="1146">
        <f t="shared" si="164"/>
        <v>7315.1470588235297</v>
      </c>
      <c r="X605" s="1146">
        <f t="shared" si="165"/>
        <v>517.48562641031185</v>
      </c>
      <c r="Y605" s="1146">
        <f t="shared" si="166"/>
        <v>6959.5879237074778</v>
      </c>
      <c r="Z605" s="1146">
        <f t="shared" si="167"/>
        <v>7315.1470588235297</v>
      </c>
      <c r="AA605" s="1146">
        <f t="shared" si="168"/>
        <v>-355.55913511605195</v>
      </c>
      <c r="AB605" s="1146">
        <f t="shared" si="169"/>
        <v>9033.636363636364</v>
      </c>
      <c r="AC605" s="1146">
        <f t="shared" si="170"/>
        <v>7315.1470588235297</v>
      </c>
      <c r="AD605" s="1146">
        <f t="shared" si="171"/>
        <v>1718.4893048128342</v>
      </c>
      <c r="AE605" s="1146">
        <f t="shared" si="172"/>
        <v>8026.7247386759582</v>
      </c>
      <c r="AF605" s="1146">
        <f t="shared" si="173"/>
        <v>7315.1470588235297</v>
      </c>
      <c r="AG605" s="1146">
        <f t="shared" si="174"/>
        <v>711.57767985242845</v>
      </c>
    </row>
    <row r="606" spans="2:33" ht="14.4">
      <c r="B606" s="1134">
        <v>2650281</v>
      </c>
      <c r="C606" s="1135"/>
      <c r="D606" s="1134">
        <v>265028</v>
      </c>
      <c r="E606" s="1153">
        <v>42307</v>
      </c>
      <c r="F606" s="1154">
        <v>30000</v>
      </c>
      <c r="G606" s="1155">
        <v>10</v>
      </c>
      <c r="H606" s="1154">
        <v>35600</v>
      </c>
      <c r="I606" s="1155">
        <v>15</v>
      </c>
      <c r="J606" s="1156">
        <v>4607.50</v>
      </c>
      <c r="K606" s="1157"/>
      <c r="L606" s="1158">
        <v>42324</v>
      </c>
      <c r="M606" s="269">
        <f t="shared" si="177"/>
        <v>4</v>
      </c>
      <c r="N606" s="1074">
        <f t="shared" si="175"/>
        <v>175</v>
      </c>
      <c r="O606" s="1087">
        <f t="shared" si="158"/>
        <v>1722.0799999999997</v>
      </c>
      <c r="P606" s="269">
        <f t="shared" si="176"/>
        <v>1</v>
      </c>
      <c r="Q606" s="269" t="str">
        <f t="shared" si="159"/>
        <v/>
      </c>
      <c r="R606" s="1142"/>
      <c r="S606" s="1143" t="str">
        <f t="shared" si="160"/>
        <v>Upsize</v>
      </c>
      <c r="T606" s="1144">
        <f t="shared" si="161"/>
        <v>1877.5280898876404</v>
      </c>
      <c r="U606" s="1144">
        <f t="shared" si="162"/>
        <v>749.15730337078651</v>
      </c>
      <c r="V606" s="1146">
        <f t="shared" si="163"/>
        <v>8551.378958120531</v>
      </c>
      <c r="W606" s="1146">
        <f t="shared" si="164"/>
        <v>7593.6470588235288</v>
      </c>
      <c r="X606" s="1146">
        <f t="shared" si="165"/>
        <v>957.7318992970022</v>
      </c>
      <c r="Y606" s="1146">
        <f t="shared" si="166"/>
        <v>6764.0938809067065</v>
      </c>
      <c r="Z606" s="1146">
        <f t="shared" si="167"/>
        <v>7593.6470588235288</v>
      </c>
      <c r="AA606" s="1146">
        <f t="shared" si="168"/>
        <v>-829.55317791682228</v>
      </c>
      <c r="AB606" s="1146">
        <f t="shared" si="169"/>
        <v>10147.636363636364</v>
      </c>
      <c r="AC606" s="1146">
        <f t="shared" si="170"/>
        <v>7593.6470588235288</v>
      </c>
      <c r="AD606" s="1146">
        <f t="shared" si="171"/>
        <v>2553.9893048128351</v>
      </c>
      <c r="AE606" s="1146">
        <f t="shared" si="172"/>
        <v>8026.7247386759591</v>
      </c>
      <c r="AF606" s="1146">
        <f t="shared" si="173"/>
        <v>7593.6470588235288</v>
      </c>
      <c r="AG606" s="1146">
        <f t="shared" si="174"/>
        <v>433.07767985243026</v>
      </c>
    </row>
    <row r="607" spans="2:33" ht="14.4">
      <c r="B607" s="1134">
        <v>2519585</v>
      </c>
      <c r="C607" s="1135"/>
      <c r="D607" s="1134">
        <v>83048</v>
      </c>
      <c r="E607" s="1153">
        <v>42300</v>
      </c>
      <c r="F607" s="1154">
        <v>40000</v>
      </c>
      <c r="G607" s="1155">
        <v>12</v>
      </c>
      <c r="H607" s="1154">
        <v>47500</v>
      </c>
      <c r="I607" s="1155">
        <v>16</v>
      </c>
      <c r="J607" s="1156">
        <v>6400</v>
      </c>
      <c r="K607" s="1157"/>
      <c r="L607" s="1158">
        <v>42324</v>
      </c>
      <c r="M607" s="269">
        <f t="shared" si="177"/>
        <v>4</v>
      </c>
      <c r="N607" s="1074">
        <f t="shared" si="175"/>
        <v>300</v>
      </c>
      <c r="O607" s="1087">
        <f t="shared" si="158"/>
        <v>1001.8750000000005</v>
      </c>
      <c r="P607" s="269">
        <f t="shared" si="176"/>
        <v>1</v>
      </c>
      <c r="Q607" s="269" t="str">
        <f t="shared" si="159"/>
        <v/>
      </c>
      <c r="R607" s="1142"/>
      <c r="S607" s="1143" t="str">
        <f t="shared" si="160"/>
        <v>Upsize</v>
      </c>
      <c r="T607" s="1144">
        <f t="shared" si="161"/>
        <v>1876.2105263157894</v>
      </c>
      <c r="U607" s="1144">
        <f t="shared" si="162"/>
        <v>748.63157894736833</v>
      </c>
      <c r="V607" s="1146">
        <f t="shared" si="163"/>
        <v>10143.030303030302</v>
      </c>
      <c r="W607" s="1146">
        <f t="shared" si="164"/>
        <v>9753.5294117647063</v>
      </c>
      <c r="X607" s="1146">
        <f t="shared" si="165"/>
        <v>389.50089126559578</v>
      </c>
      <c r="Y607" s="1146">
        <f t="shared" si="166"/>
        <v>9012.4628644782679</v>
      </c>
      <c r="Z607" s="1146">
        <f t="shared" si="167"/>
        <v>9753.5294117647063</v>
      </c>
      <c r="AA607" s="1146">
        <f t="shared" si="168"/>
        <v>-741.06654728643844</v>
      </c>
      <c r="AB607" s="1146">
        <f t="shared" si="169"/>
        <v>12044.848484848484</v>
      </c>
      <c r="AC607" s="1146">
        <f t="shared" si="170"/>
        <v>9753.5294117647063</v>
      </c>
      <c r="AD607" s="1146">
        <f t="shared" si="171"/>
        <v>2291.3190730837778</v>
      </c>
      <c r="AE607" s="1146">
        <f t="shared" si="172"/>
        <v>10702.299651567944</v>
      </c>
      <c r="AF607" s="1146">
        <f t="shared" si="173"/>
        <v>9753.5294117647063</v>
      </c>
      <c r="AG607" s="1146">
        <f t="shared" si="174"/>
        <v>948.77023980323793</v>
      </c>
    </row>
    <row r="608" spans="2:33" ht="14.4">
      <c r="B608" s="1134">
        <v>1502939</v>
      </c>
      <c r="C608" s="1135"/>
      <c r="D608" s="1134">
        <v>150293</v>
      </c>
      <c r="E608" s="1153">
        <v>42303</v>
      </c>
      <c r="F608" s="1154">
        <v>30000</v>
      </c>
      <c r="G608" s="1155">
        <v>10</v>
      </c>
      <c r="H608" s="1154">
        <v>28400</v>
      </c>
      <c r="I608" s="1155">
        <v>15</v>
      </c>
      <c r="J608" s="1156">
        <v>6120</v>
      </c>
      <c r="K608" s="1157"/>
      <c r="L608" s="1158">
        <v>42324</v>
      </c>
      <c r="M608" s="269">
        <f t="shared" si="177"/>
        <v>4</v>
      </c>
      <c r="N608" s="1074">
        <f t="shared" si="175"/>
        <v>150</v>
      </c>
      <c r="O608" s="1087">
        <f t="shared" si="158"/>
        <v>3041.1200000000003</v>
      </c>
      <c r="P608" s="269">
        <f t="shared" si="176"/>
        <v>1</v>
      </c>
      <c r="Q608" s="269" t="str">
        <f t="shared" si="159"/>
        <v/>
      </c>
      <c r="R608" s="1142"/>
      <c r="S608" s="1143" t="str">
        <f t="shared" si="160"/>
        <v>Downsize</v>
      </c>
      <c r="T608" s="1144">
        <f t="shared" si="161"/>
        <v>2353.5211267605632</v>
      </c>
      <c r="U608" s="1144">
        <f t="shared" si="162"/>
        <v>939.08450704225345</v>
      </c>
      <c r="V608" s="1146">
        <f t="shared" si="163"/>
        <v>10719.334186939819</v>
      </c>
      <c r="W608" s="1146">
        <f t="shared" si="164"/>
        <v>7593.6470588235279</v>
      </c>
      <c r="X608" s="1146">
        <f t="shared" si="165"/>
        <v>3125.6871281162912</v>
      </c>
      <c r="Y608" s="1146">
        <f t="shared" si="166"/>
        <v>8478.9345831084065</v>
      </c>
      <c r="Z608" s="1146">
        <f t="shared" si="167"/>
        <v>7593.6470588235279</v>
      </c>
      <c r="AA608" s="1146">
        <f t="shared" si="168"/>
        <v>885.2875242848786</v>
      </c>
      <c r="AB608" s="1146">
        <f t="shared" si="169"/>
        <v>10147.636363636362</v>
      </c>
      <c r="AC608" s="1146">
        <f t="shared" si="170"/>
        <v>7593.6470588235279</v>
      </c>
      <c r="AD608" s="1146">
        <f t="shared" si="171"/>
        <v>2553.9893048128342</v>
      </c>
      <c r="AE608" s="1146">
        <f t="shared" si="172"/>
        <v>8026.7247386759573</v>
      </c>
      <c r="AF608" s="1146">
        <f t="shared" si="173"/>
        <v>7593.6470588235279</v>
      </c>
      <c r="AG608" s="1146">
        <f t="shared" si="174"/>
        <v>433.07767985242936</v>
      </c>
    </row>
    <row r="609" spans="2:33" ht="14.4">
      <c r="B609" s="1134">
        <v>7222060</v>
      </c>
      <c r="C609" s="1135"/>
      <c r="D609" s="1134">
        <v>457765</v>
      </c>
      <c r="E609" s="1153">
        <v>42266</v>
      </c>
      <c r="F609" s="1154">
        <v>46500</v>
      </c>
      <c r="G609" s="1155">
        <v>10</v>
      </c>
      <c r="H609" s="1154">
        <v>48000</v>
      </c>
      <c r="I609" s="1155">
        <v>16</v>
      </c>
      <c r="J609" s="1156">
        <v>8529</v>
      </c>
      <c r="K609" s="1157"/>
      <c r="L609" s="1158">
        <v>42324</v>
      </c>
      <c r="M609" s="269">
        <f t="shared" si="177"/>
        <v>4</v>
      </c>
      <c r="N609" s="1074">
        <f t="shared" si="175"/>
        <v>300</v>
      </c>
      <c r="O609" s="1087">
        <f t="shared" si="158"/>
        <v>4534.2000000000007</v>
      </c>
      <c r="P609" s="269">
        <f t="shared" si="176"/>
        <v>1</v>
      </c>
      <c r="Q609" s="269" t="str">
        <f t="shared" si="159"/>
        <v/>
      </c>
      <c r="R609" s="1142"/>
      <c r="S609" s="1143" t="str">
        <f t="shared" si="160"/>
        <v>Upsize</v>
      </c>
      <c r="T609" s="1144">
        <f t="shared" si="161"/>
        <v>2158.375</v>
      </c>
      <c r="U609" s="1144">
        <f t="shared" si="162"/>
        <v>861.21875</v>
      </c>
      <c r="V609" s="1146">
        <f t="shared" si="163"/>
        <v>15237.310227272728</v>
      </c>
      <c r="W609" s="1146">
        <f t="shared" si="164"/>
        <v>11338.47794117647</v>
      </c>
      <c r="X609" s="1146">
        <f t="shared" si="165"/>
        <v>3898.832286096258</v>
      </c>
      <c r="Y609" s="1146">
        <f t="shared" si="166"/>
        <v>12052.628865418117</v>
      </c>
      <c r="Z609" s="1146">
        <f t="shared" si="167"/>
        <v>11338.47794117647</v>
      </c>
      <c r="AA609" s="1146">
        <f t="shared" si="168"/>
        <v>714.15092424164686</v>
      </c>
      <c r="AB609" s="1146">
        <f t="shared" si="169"/>
        <v>15728.836363636365</v>
      </c>
      <c r="AC609" s="1146">
        <f t="shared" si="170"/>
        <v>11338.47794117647</v>
      </c>
      <c r="AD609" s="1146">
        <f t="shared" si="171"/>
        <v>4390.3584224598944</v>
      </c>
      <c r="AE609" s="1146">
        <f t="shared" si="172"/>
        <v>12441.423344947734</v>
      </c>
      <c r="AF609" s="1146">
        <f t="shared" si="173"/>
        <v>11338.47794117647</v>
      </c>
      <c r="AG609" s="1146">
        <f t="shared" si="174"/>
        <v>1102.945403771264</v>
      </c>
    </row>
    <row r="610" spans="2:33" ht="14.4">
      <c r="B610" s="1134">
        <v>8874947</v>
      </c>
      <c r="C610" s="1135"/>
      <c r="D610" s="1134">
        <v>130658</v>
      </c>
      <c r="E610" s="1153">
        <v>42227</v>
      </c>
      <c r="F610" s="1154">
        <v>40000</v>
      </c>
      <c r="G610" s="1155">
        <v>10</v>
      </c>
      <c r="H610" s="1154">
        <v>46000</v>
      </c>
      <c r="I610" s="1155">
        <v>14</v>
      </c>
      <c r="J610" s="1156">
        <v>3940</v>
      </c>
      <c r="K610" s="1157"/>
      <c r="L610" s="1158">
        <v>42324</v>
      </c>
      <c r="M610" s="269">
        <f t="shared" si="177"/>
        <v>4</v>
      </c>
      <c r="N610" s="1074" t="str">
        <f t="shared" si="175"/>
        <v>No Rebate</v>
      </c>
      <c r="O610" s="1087">
        <f t="shared" si="158"/>
        <v>1962.8571428571429</v>
      </c>
      <c r="P610" s="269">
        <f t="shared" si="176"/>
        <v>1</v>
      </c>
      <c r="Q610" s="269" t="str">
        <f t="shared" si="159"/>
        <v/>
      </c>
      <c r="R610" s="1142"/>
      <c r="S610" s="1143" t="str">
        <f t="shared" si="160"/>
        <v>Upsize</v>
      </c>
      <c r="T610" s="1144">
        <f t="shared" si="161"/>
        <v>1937.391304347826</v>
      </c>
      <c r="U610" s="1144">
        <f t="shared" si="162"/>
        <v>773.04347826086951</v>
      </c>
      <c r="V610" s="1146">
        <f t="shared" si="163"/>
        <v>11765.375494071144</v>
      </c>
      <c r="W610" s="1146">
        <f t="shared" si="164"/>
        <v>10549.243697478991</v>
      </c>
      <c r="X610" s="1146">
        <f t="shared" si="165"/>
        <v>1216.1317965921535</v>
      </c>
      <c r="Y610" s="1146">
        <f t="shared" si="166"/>
        <v>9306.3475231025604</v>
      </c>
      <c r="Z610" s="1146">
        <f t="shared" si="167"/>
        <v>10549.243697478991</v>
      </c>
      <c r="AA610" s="1146">
        <f t="shared" si="168"/>
        <v>-1242.8961743764303</v>
      </c>
      <c r="AB610" s="1146">
        <f t="shared" si="169"/>
        <v>13530.181818181816</v>
      </c>
      <c r="AC610" s="1146">
        <f t="shared" si="170"/>
        <v>10549.243697478991</v>
      </c>
      <c r="AD610" s="1146">
        <f t="shared" si="171"/>
        <v>2980.9381207028255</v>
      </c>
      <c r="AE610" s="1146">
        <f t="shared" si="172"/>
        <v>10702.299651567944</v>
      </c>
      <c r="AF610" s="1146">
        <f t="shared" si="173"/>
        <v>10549.243697478991</v>
      </c>
      <c r="AG610" s="1146">
        <f t="shared" si="174"/>
        <v>153.05595408895351</v>
      </c>
    </row>
    <row r="611" spans="2:33" ht="14.4">
      <c r="B611" s="1134">
        <v>2271435</v>
      </c>
      <c r="C611" s="1135"/>
      <c r="D611" s="1134">
        <v>153731</v>
      </c>
      <c r="E611" s="1153">
        <v>42282</v>
      </c>
      <c r="F611" s="1154">
        <v>34400</v>
      </c>
      <c r="G611" s="1155">
        <v>12</v>
      </c>
      <c r="H611" s="1154">
        <v>30000</v>
      </c>
      <c r="I611" s="1155">
        <v>15</v>
      </c>
      <c r="J611" s="1156">
        <v>5701</v>
      </c>
      <c r="K611" s="1157"/>
      <c r="L611" s="1158">
        <v>42324</v>
      </c>
      <c r="M611" s="269">
        <f t="shared" si="177"/>
        <v>4</v>
      </c>
      <c r="N611" s="1074">
        <f t="shared" si="175"/>
        <v>150</v>
      </c>
      <c r="O611" s="1087">
        <f t="shared" si="158"/>
        <v>2381.60</v>
      </c>
      <c r="P611" s="269">
        <f t="shared" si="176"/>
        <v>1</v>
      </c>
      <c r="Q611" s="269" t="str">
        <f t="shared" si="159"/>
        <v/>
      </c>
      <c r="R611" s="1142"/>
      <c r="S611" s="1143" t="str">
        <f t="shared" si="160"/>
        <v>Downsize</v>
      </c>
      <c r="T611" s="1144">
        <f t="shared" si="161"/>
        <v>2554.7733333333335</v>
      </c>
      <c r="U611" s="1144">
        <f t="shared" si="162"/>
        <v>1019.3866666666668</v>
      </c>
      <c r="V611" s="1146">
        <f t="shared" si="163"/>
        <v>11877.826585858587</v>
      </c>
      <c r="W611" s="1146">
        <f t="shared" si="164"/>
        <v>8707.3819607843143</v>
      </c>
      <c r="X611" s="1146">
        <f t="shared" si="165"/>
        <v>3170.4446250742731</v>
      </c>
      <c r="Y611" s="1146">
        <f t="shared" si="166"/>
        <v>10553.894429732869</v>
      </c>
      <c r="Z611" s="1146">
        <f t="shared" si="167"/>
        <v>8707.3819607843143</v>
      </c>
      <c r="AA611" s="1146">
        <f t="shared" si="168"/>
        <v>1846.5124689485547</v>
      </c>
      <c r="AB611" s="1146">
        <f t="shared" si="169"/>
        <v>10358.569696969698</v>
      </c>
      <c r="AC611" s="1146">
        <f t="shared" si="170"/>
        <v>8707.3819607843143</v>
      </c>
      <c r="AD611" s="1146">
        <f t="shared" si="171"/>
        <v>1651.187736185384</v>
      </c>
      <c r="AE611" s="1146">
        <f t="shared" si="172"/>
        <v>9203.9777003484323</v>
      </c>
      <c r="AF611" s="1146">
        <f t="shared" si="173"/>
        <v>8707.3819607843143</v>
      </c>
      <c r="AG611" s="1146">
        <f t="shared" si="174"/>
        <v>496.59573956411805</v>
      </c>
    </row>
    <row r="612" spans="2:33" ht="14.4">
      <c r="B612" s="1134">
        <v>1785310</v>
      </c>
      <c r="C612" s="1135"/>
      <c r="D612" s="1134">
        <v>178531</v>
      </c>
      <c r="E612" s="1153">
        <v>42268</v>
      </c>
      <c r="F612" s="1154">
        <v>20000</v>
      </c>
      <c r="G612" s="1155">
        <v>13</v>
      </c>
      <c r="H612" s="1154">
        <v>28400</v>
      </c>
      <c r="I612" s="1155">
        <v>15</v>
      </c>
      <c r="J612" s="1156">
        <v>4720</v>
      </c>
      <c r="K612" s="1157"/>
      <c r="L612" s="1158">
        <v>42324</v>
      </c>
      <c r="M612" s="269">
        <f t="shared" si="177"/>
        <v>4</v>
      </c>
      <c r="N612" s="1074">
        <f t="shared" si="175"/>
        <v>150</v>
      </c>
      <c r="O612" s="1087">
        <f t="shared" si="158"/>
        <v>-975.18769230769192</v>
      </c>
      <c r="P612" s="269">
        <f t="shared" si="176"/>
        <v>1</v>
      </c>
      <c r="Q612" s="269" t="str">
        <f t="shared" si="159"/>
        <v/>
      </c>
      <c r="R612" s="1142"/>
      <c r="S612" s="1143" t="str">
        <f t="shared" si="160"/>
        <v>Upsize</v>
      </c>
      <c r="T612" s="1144">
        <f t="shared" si="161"/>
        <v>1569.0140845070421</v>
      </c>
      <c r="U612" s="1144">
        <f t="shared" si="162"/>
        <v>626.05633802816897</v>
      </c>
      <c r="V612" s="1146">
        <f t="shared" si="163"/>
        <v>4039.9881808332511</v>
      </c>
      <c r="W612" s="1146">
        <f t="shared" si="164"/>
        <v>5062.4313725490192</v>
      </c>
      <c r="X612" s="1146">
        <f t="shared" si="165"/>
        <v>-1022.4431917157681</v>
      </c>
      <c r="Y612" s="1146">
        <f t="shared" si="166"/>
        <v>3768.4153702704025</v>
      </c>
      <c r="Z612" s="1146">
        <f t="shared" si="167"/>
        <v>5062.4313725490192</v>
      </c>
      <c r="AA612" s="1146">
        <f t="shared" si="168"/>
        <v>-1294.0160022786167</v>
      </c>
      <c r="AB612" s="1146">
        <f t="shared" si="169"/>
        <v>5736.7832167832157</v>
      </c>
      <c r="AC612" s="1146">
        <f t="shared" si="170"/>
        <v>5062.4313725490192</v>
      </c>
      <c r="AD612" s="1146">
        <f t="shared" si="171"/>
        <v>674.35184423419651</v>
      </c>
      <c r="AE612" s="1146">
        <f t="shared" si="172"/>
        <v>5351.1498257839712</v>
      </c>
      <c r="AF612" s="1146">
        <f t="shared" si="173"/>
        <v>5062.4313725490192</v>
      </c>
      <c r="AG612" s="1146">
        <f t="shared" si="174"/>
        <v>288.71845323495199</v>
      </c>
    </row>
    <row r="613" spans="2:33" ht="14.4">
      <c r="B613" s="1134">
        <v>8930487</v>
      </c>
      <c r="C613" s="1135"/>
      <c r="D613" s="1134">
        <v>616204</v>
      </c>
      <c r="E613" s="1153">
        <v>42286</v>
      </c>
      <c r="F613" s="1154">
        <v>60000</v>
      </c>
      <c r="G613" s="1155">
        <v>10</v>
      </c>
      <c r="H613" s="1154">
        <v>59000</v>
      </c>
      <c r="I613" s="1155">
        <v>15</v>
      </c>
      <c r="J613" s="1156">
        <v>7143</v>
      </c>
      <c r="K613" s="1157"/>
      <c r="L613" s="1158">
        <v>42324</v>
      </c>
      <c r="M613" s="269">
        <f t="shared" si="177"/>
        <v>4</v>
      </c>
      <c r="N613" s="1074">
        <f t="shared" si="175"/>
        <v>325</v>
      </c>
      <c r="O613" s="1087">
        <f t="shared" si="158"/>
        <v>5679.20</v>
      </c>
      <c r="P613" s="269">
        <f t="shared" si="176"/>
        <v>1</v>
      </c>
      <c r="Q613" s="269" t="str">
        <f t="shared" si="159"/>
        <v/>
      </c>
      <c r="R613" s="1142"/>
      <c r="S613" s="1143" t="str">
        <f t="shared" si="160"/>
        <v>Downsize</v>
      </c>
      <c r="T613" s="1144">
        <f t="shared" si="161"/>
        <v>2265.7627118644068</v>
      </c>
      <c r="U613" s="1144">
        <f t="shared" si="162"/>
        <v>904.06779661016947</v>
      </c>
      <c r="V613" s="1146">
        <f t="shared" si="163"/>
        <v>20639.260400616331</v>
      </c>
      <c r="W613" s="1146">
        <f t="shared" si="164"/>
        <v>15187.29411764706</v>
      </c>
      <c r="X613" s="1146">
        <f t="shared" si="165"/>
        <v>5451.9662829692716</v>
      </c>
      <c r="Y613" s="1146">
        <f t="shared" si="166"/>
        <v>16325.54184137483</v>
      </c>
      <c r="Z613" s="1146">
        <f t="shared" si="167"/>
        <v>15187.29411764706</v>
      </c>
      <c r="AA613" s="1146">
        <f t="shared" si="168"/>
        <v>1138.2477237277708</v>
      </c>
      <c r="AB613" s="1146">
        <f t="shared" si="169"/>
        <v>20295.272727272728</v>
      </c>
      <c r="AC613" s="1146">
        <f t="shared" si="170"/>
        <v>15187.29411764706</v>
      </c>
      <c r="AD613" s="1146">
        <f t="shared" si="171"/>
        <v>5107.9786096256685</v>
      </c>
      <c r="AE613" s="1146">
        <f t="shared" si="172"/>
        <v>16053.449477351916</v>
      </c>
      <c r="AF613" s="1146">
        <f t="shared" si="173"/>
        <v>15187.29411764706</v>
      </c>
      <c r="AG613" s="1146">
        <f t="shared" si="174"/>
        <v>866.15535970485689</v>
      </c>
    </row>
    <row r="614" spans="2:33" ht="14.4">
      <c r="B614" s="1134">
        <v>1474741</v>
      </c>
      <c r="C614" s="1135"/>
      <c r="D614" s="1134">
        <v>147474</v>
      </c>
      <c r="E614" s="1153">
        <v>42264</v>
      </c>
      <c r="F614" s="1154">
        <v>30000</v>
      </c>
      <c r="G614" s="1155">
        <v>10</v>
      </c>
      <c r="H614" s="1154">
        <v>35800</v>
      </c>
      <c r="I614" s="1155">
        <v>15</v>
      </c>
      <c r="J614" s="1156">
        <v>4707</v>
      </c>
      <c r="K614" s="1157"/>
      <c r="L614" s="1158">
        <v>42324</v>
      </c>
      <c r="M614" s="269">
        <f t="shared" si="177"/>
        <v>4</v>
      </c>
      <c r="N614" s="1074">
        <f t="shared" si="178" ref="N614:N645">IF(L614&gt;40000,IFERROR(INDEX($E$12:$I$19,IF(H614&lt;=15000,1,IF(H614&gt;60000,"No Rebate",IF(H614&gt;54000,8,MIN(ROUND((H614-0.001)/6000,0)-1,7)))),IF(I614&lt;15,0,IF(I614&gt;18.5,5,ROUND(I614-14.001,0)))),"No Rebate"),"")</f>
        <v>175</v>
      </c>
      <c r="O614" s="1087">
        <f t="shared" si="158"/>
        <v>1685.4400000000005</v>
      </c>
      <c r="P614" s="269">
        <f t="shared" si="176"/>
        <v>1</v>
      </c>
      <c r="Q614" s="269" t="str">
        <f t="shared" si="159"/>
        <v/>
      </c>
      <c r="R614" s="1142"/>
      <c r="S614" s="1143" t="str">
        <f t="shared" si="160"/>
        <v>Upsize</v>
      </c>
      <c r="T614" s="1144">
        <f t="shared" si="161"/>
        <v>1867.0391061452515</v>
      </c>
      <c r="U614" s="1144">
        <f t="shared" si="162"/>
        <v>744.97206703910615</v>
      </c>
      <c r="V614" s="1146">
        <f t="shared" si="163"/>
        <v>8503.6058913153884</v>
      </c>
      <c r="W614" s="1146">
        <f t="shared" si="164"/>
        <v>7593.6470588235297</v>
      </c>
      <c r="X614" s="1146">
        <f t="shared" si="165"/>
        <v>909.95883249185863</v>
      </c>
      <c r="Y614" s="1146">
        <f t="shared" si="166"/>
        <v>6726.3056469351604</v>
      </c>
      <c r="Z614" s="1146">
        <f t="shared" si="167"/>
        <v>7593.6470588235297</v>
      </c>
      <c r="AA614" s="1146">
        <f t="shared" si="168"/>
        <v>-867.34141188836929</v>
      </c>
      <c r="AB614" s="1146">
        <f t="shared" si="169"/>
        <v>10147.636363636362</v>
      </c>
      <c r="AC614" s="1146">
        <f t="shared" si="170"/>
        <v>7593.6470588235297</v>
      </c>
      <c r="AD614" s="1146">
        <f t="shared" si="171"/>
        <v>2553.9893048128324</v>
      </c>
      <c r="AE614" s="1146">
        <f t="shared" si="172"/>
        <v>8026.7247386759582</v>
      </c>
      <c r="AF614" s="1146">
        <f t="shared" si="173"/>
        <v>7593.6470588235297</v>
      </c>
      <c r="AG614" s="1146">
        <f t="shared" si="174"/>
        <v>433.07767985242845</v>
      </c>
    </row>
    <row r="615" spans="2:33" ht="14.4">
      <c r="B615" s="1134">
        <v>4126314</v>
      </c>
      <c r="C615" s="1135"/>
      <c r="D615" s="1134">
        <v>412631</v>
      </c>
      <c r="E615" s="1153">
        <v>42300</v>
      </c>
      <c r="F615" s="1154">
        <v>30000</v>
      </c>
      <c r="G615" s="1155">
        <v>10</v>
      </c>
      <c r="H615" s="1154">
        <v>57500</v>
      </c>
      <c r="I615" s="1155">
        <v>19</v>
      </c>
      <c r="J615" s="1156">
        <v>13651</v>
      </c>
      <c r="K615" s="1157"/>
      <c r="L615" s="1158">
        <v>42324</v>
      </c>
      <c r="M615" s="269">
        <f t="shared" si="177"/>
        <v>4</v>
      </c>
      <c r="N615" s="1074">
        <f t="shared" si="178"/>
        <v>500</v>
      </c>
      <c r="O615" s="1087">
        <f t="shared" si="158"/>
        <v>-72.315789473684092</v>
      </c>
      <c r="P615" s="269">
        <f t="shared" si="176"/>
        <v>1</v>
      </c>
      <c r="Q615" s="269" t="str">
        <f t="shared" si="159"/>
        <v/>
      </c>
      <c r="R615" s="1142"/>
      <c r="S615" s="1143" t="str">
        <f t="shared" si="160"/>
        <v>Upsize</v>
      </c>
      <c r="T615" s="1144">
        <f t="shared" si="161"/>
        <v>1162.4347826086955</v>
      </c>
      <c r="U615" s="1144">
        <f t="shared" si="162"/>
        <v>463.82608695652175</v>
      </c>
      <c r="V615" s="1146">
        <f t="shared" si="163"/>
        <v>5294.4189723320151</v>
      </c>
      <c r="W615" s="1146">
        <f t="shared" si="164"/>
        <v>6655.5417956656338</v>
      </c>
      <c r="X615" s="1146">
        <f t="shared" si="165"/>
        <v>-1361.1228233336187</v>
      </c>
      <c r="Y615" s="1146">
        <f t="shared" si="166"/>
        <v>4187.8563853961523</v>
      </c>
      <c r="Z615" s="1146">
        <f t="shared" si="167"/>
        <v>6655.5417956656338</v>
      </c>
      <c r="AA615" s="1146">
        <f t="shared" si="168"/>
        <v>-2467.6854102694815</v>
      </c>
      <c r="AB615" s="1146">
        <f t="shared" si="169"/>
        <v>10147.636363636362</v>
      </c>
      <c r="AC615" s="1146">
        <f t="shared" si="170"/>
        <v>6655.5417956656338</v>
      </c>
      <c r="AD615" s="1146">
        <f t="shared" si="171"/>
        <v>3492.0945679707283</v>
      </c>
      <c r="AE615" s="1146">
        <f t="shared" si="172"/>
        <v>8026.7247386759582</v>
      </c>
      <c r="AF615" s="1146">
        <f t="shared" si="173"/>
        <v>6655.5417956656338</v>
      </c>
      <c r="AG615" s="1146">
        <f t="shared" si="174"/>
        <v>1371.1829430103244</v>
      </c>
    </row>
    <row r="616" spans="2:33" ht="14.4">
      <c r="B616" s="1134">
        <v>2620433</v>
      </c>
      <c r="C616" s="1135"/>
      <c r="D616" s="1134">
        <v>262043</v>
      </c>
      <c r="E616" s="1153">
        <v>42292</v>
      </c>
      <c r="F616" s="1154">
        <v>20000</v>
      </c>
      <c r="G616" s="1155">
        <v>10</v>
      </c>
      <c r="H616" s="1154">
        <v>24000</v>
      </c>
      <c r="I616" s="1155">
        <v>15</v>
      </c>
      <c r="J616" s="1156">
        <v>8465</v>
      </c>
      <c r="K616" s="1157"/>
      <c r="L616" s="1158">
        <v>42324</v>
      </c>
      <c r="M616" s="269">
        <f t="shared" si="177"/>
        <v>4</v>
      </c>
      <c r="N616" s="1074">
        <f t="shared" si="178"/>
        <v>125</v>
      </c>
      <c r="O616" s="1087">
        <f t="shared" si="158"/>
        <v>1099.20</v>
      </c>
      <c r="P616" s="269">
        <f t="shared" si="176"/>
        <v>1</v>
      </c>
      <c r="Q616" s="269" t="str">
        <f t="shared" si="159"/>
        <v/>
      </c>
      <c r="R616" s="1142"/>
      <c r="S616" s="1143" t="str">
        <f t="shared" si="160"/>
        <v>Upsize</v>
      </c>
      <c r="T616" s="1144">
        <f t="shared" si="161"/>
        <v>1856.6666666666667</v>
      </c>
      <c r="U616" s="1144">
        <f t="shared" si="162"/>
        <v>740.83333333333337</v>
      </c>
      <c r="V616" s="1146">
        <f t="shared" si="163"/>
        <v>5637.575757575758</v>
      </c>
      <c r="W616" s="1146">
        <f t="shared" si="164"/>
        <v>5062.4313725490201</v>
      </c>
      <c r="X616" s="1146">
        <f t="shared" si="165"/>
        <v>575.14438502673784</v>
      </c>
      <c r="Y616" s="1146">
        <f t="shared" si="166"/>
        <v>4459.2915214866434</v>
      </c>
      <c r="Z616" s="1146">
        <f t="shared" si="167"/>
        <v>5062.4313725490201</v>
      </c>
      <c r="AA616" s="1146">
        <f t="shared" si="168"/>
        <v>-603.13985106237669</v>
      </c>
      <c r="AB616" s="1146">
        <f t="shared" si="169"/>
        <v>6765.090909090909</v>
      </c>
      <c r="AC616" s="1146">
        <f t="shared" si="170"/>
        <v>5062.4313725490201</v>
      </c>
      <c r="AD616" s="1146">
        <f t="shared" si="171"/>
        <v>1702.6595365418889</v>
      </c>
      <c r="AE616" s="1146">
        <f t="shared" si="172"/>
        <v>5351.1498257839721</v>
      </c>
      <c r="AF616" s="1146">
        <f t="shared" si="173"/>
        <v>5062.4313725490201</v>
      </c>
      <c r="AG616" s="1146">
        <f t="shared" si="174"/>
        <v>288.71845323495199</v>
      </c>
    </row>
    <row r="617" spans="2:33" ht="14.4">
      <c r="B617" s="1134">
        <v>5674858</v>
      </c>
      <c r="C617" s="1135"/>
      <c r="D617" s="1134">
        <v>203329</v>
      </c>
      <c r="E617" s="1153">
        <v>42251</v>
      </c>
      <c r="F617" s="1154">
        <v>20000</v>
      </c>
      <c r="G617" s="1155">
        <v>10</v>
      </c>
      <c r="H617" s="1154">
        <v>20000</v>
      </c>
      <c r="I617" s="1155">
        <v>15</v>
      </c>
      <c r="J617" s="1156">
        <v>4529</v>
      </c>
      <c r="K617" s="1157"/>
      <c r="L617" s="1158">
        <v>42324</v>
      </c>
      <c r="M617" s="269">
        <f t="shared" si="177"/>
        <v>4</v>
      </c>
      <c r="N617" s="1074">
        <f t="shared" si="178"/>
        <v>100</v>
      </c>
      <c r="O617" s="1087">
        <f t="shared" si="158"/>
        <v>1832.0000000000005</v>
      </c>
      <c r="P617" s="269">
        <f t="shared" si="176"/>
        <v>1</v>
      </c>
      <c r="Q617" s="269" t="str">
        <f t="shared" si="159"/>
        <v/>
      </c>
      <c r="R617" s="1142"/>
      <c r="S617" s="1143" t="str">
        <f t="shared" si="160"/>
        <v>Same Size</v>
      </c>
      <c r="T617" s="1144">
        <f t="shared" si="161"/>
        <v>2228</v>
      </c>
      <c r="U617" s="1144">
        <f t="shared" si="162"/>
        <v>889</v>
      </c>
      <c r="V617" s="1146">
        <f t="shared" si="163"/>
        <v>6765.090909090909</v>
      </c>
      <c r="W617" s="1146">
        <f t="shared" si="164"/>
        <v>5062.4313725490192</v>
      </c>
      <c r="X617" s="1146">
        <f t="shared" si="165"/>
        <v>1702.6595365418898</v>
      </c>
      <c r="Y617" s="1146">
        <f t="shared" si="166"/>
        <v>5351.1498257839721</v>
      </c>
      <c r="Z617" s="1146">
        <f t="shared" si="167"/>
        <v>5062.4313725490192</v>
      </c>
      <c r="AA617" s="1146">
        <f t="shared" si="168"/>
        <v>288.7184532349529</v>
      </c>
      <c r="AB617" s="1146">
        <f t="shared" si="169"/>
        <v>6765.090909090909</v>
      </c>
      <c r="AC617" s="1146">
        <f t="shared" si="170"/>
        <v>5062.4313725490192</v>
      </c>
      <c r="AD617" s="1146">
        <f t="shared" si="171"/>
        <v>1702.6595365418898</v>
      </c>
      <c r="AE617" s="1146">
        <f t="shared" si="172"/>
        <v>5351.1498257839721</v>
      </c>
      <c r="AF617" s="1146">
        <f t="shared" si="173"/>
        <v>5062.4313725490192</v>
      </c>
      <c r="AG617" s="1146">
        <f t="shared" si="174"/>
        <v>288.7184532349529</v>
      </c>
    </row>
    <row r="618" spans="2:33" ht="14.4">
      <c r="B618" s="1134">
        <v>5483169</v>
      </c>
      <c r="C618" s="1135"/>
      <c r="D618" s="1134">
        <v>398206</v>
      </c>
      <c r="E618" s="1153">
        <v>42154</v>
      </c>
      <c r="F618" s="1154">
        <v>30000</v>
      </c>
      <c r="G618" s="1155">
        <v>10</v>
      </c>
      <c r="H618" s="1154">
        <v>42000</v>
      </c>
      <c r="I618" s="1155">
        <v>15</v>
      </c>
      <c r="J618" s="1156">
        <v>5608</v>
      </c>
      <c r="K618" s="1157"/>
      <c r="L618" s="1158">
        <v>42324</v>
      </c>
      <c r="M618" s="269">
        <f t="shared" si="177"/>
        <v>4</v>
      </c>
      <c r="N618" s="1074">
        <f t="shared" si="178"/>
        <v>225</v>
      </c>
      <c r="O618" s="1087">
        <f t="shared" si="158"/>
        <v>549.60</v>
      </c>
      <c r="P618" s="269">
        <f t="shared" si="176"/>
        <v>1</v>
      </c>
      <c r="Q618" s="269" t="str">
        <f t="shared" si="159"/>
        <v/>
      </c>
      <c r="R618" s="1142"/>
      <c r="S618" s="1143" t="str">
        <f t="shared" si="160"/>
        <v>Upsize</v>
      </c>
      <c r="T618" s="1144">
        <f t="shared" si="161"/>
        <v>1591.4285714285716</v>
      </c>
      <c r="U618" s="1144">
        <f t="shared" si="162"/>
        <v>635</v>
      </c>
      <c r="V618" s="1146">
        <f t="shared" si="163"/>
        <v>7248.3116883116891</v>
      </c>
      <c r="W618" s="1146">
        <f t="shared" si="164"/>
        <v>7593.6470588235297</v>
      </c>
      <c r="X618" s="1146">
        <f t="shared" si="165"/>
        <v>-345.33537051184067</v>
      </c>
      <c r="Y618" s="1146">
        <f t="shared" si="166"/>
        <v>5733.3748133399704</v>
      </c>
      <c r="Z618" s="1146">
        <f t="shared" si="167"/>
        <v>7593.6470588235297</v>
      </c>
      <c r="AA618" s="1146">
        <f t="shared" si="168"/>
        <v>-1860.2722454835594</v>
      </c>
      <c r="AB618" s="1146">
        <f t="shared" si="169"/>
        <v>10147.636363636364</v>
      </c>
      <c r="AC618" s="1146">
        <f t="shared" si="170"/>
        <v>7593.6470588235297</v>
      </c>
      <c r="AD618" s="1146">
        <f t="shared" si="171"/>
        <v>2553.9893048128342</v>
      </c>
      <c r="AE618" s="1146">
        <f t="shared" si="172"/>
        <v>8026.7247386759591</v>
      </c>
      <c r="AF618" s="1146">
        <f t="shared" si="173"/>
        <v>7593.6470588235297</v>
      </c>
      <c r="AG618" s="1146">
        <f t="shared" si="174"/>
        <v>433.07767985242936</v>
      </c>
    </row>
    <row r="619" spans="2:33" ht="14.4">
      <c r="B619" s="1134">
        <v>4943130</v>
      </c>
      <c r="C619" s="1135"/>
      <c r="D619" s="1134">
        <v>410655</v>
      </c>
      <c r="E619" s="1153">
        <v>42268</v>
      </c>
      <c r="F619" s="1154">
        <v>30000</v>
      </c>
      <c r="G619" s="1155">
        <v>10</v>
      </c>
      <c r="H619" s="1154">
        <v>30000</v>
      </c>
      <c r="I619" s="1155">
        <v>15</v>
      </c>
      <c r="J619" s="1156">
        <v>5865</v>
      </c>
      <c r="K619" s="1157"/>
      <c r="L619" s="1158">
        <v>42324</v>
      </c>
      <c r="M619" s="269">
        <f t="shared" si="177"/>
        <v>4</v>
      </c>
      <c r="N619" s="1074">
        <f t="shared" si="178"/>
        <v>150</v>
      </c>
      <c r="O619" s="1087">
        <f t="shared" si="158"/>
        <v>2748</v>
      </c>
      <c r="P619" s="269">
        <f t="shared" si="176"/>
        <v>1</v>
      </c>
      <c r="Q619" s="269" t="str">
        <f t="shared" si="159"/>
        <v/>
      </c>
      <c r="R619" s="1142"/>
      <c r="S619" s="1143" t="str">
        <f t="shared" si="160"/>
        <v>Same Size</v>
      </c>
      <c r="T619" s="1144">
        <f t="shared" si="161"/>
        <v>2228</v>
      </c>
      <c r="U619" s="1144">
        <f t="shared" si="162"/>
        <v>889</v>
      </c>
      <c r="V619" s="1146">
        <f t="shared" si="163"/>
        <v>10147.636363636364</v>
      </c>
      <c r="W619" s="1146">
        <f t="shared" si="164"/>
        <v>7593.6470588235297</v>
      </c>
      <c r="X619" s="1146">
        <f t="shared" si="165"/>
        <v>2553.9893048128342</v>
      </c>
      <c r="Y619" s="1146">
        <f t="shared" si="166"/>
        <v>8026.7247386759582</v>
      </c>
      <c r="Z619" s="1146">
        <f t="shared" si="167"/>
        <v>7593.6470588235297</v>
      </c>
      <c r="AA619" s="1146">
        <f t="shared" si="168"/>
        <v>433.07767985242845</v>
      </c>
      <c r="AB619" s="1146">
        <f t="shared" si="169"/>
        <v>10147.636363636364</v>
      </c>
      <c r="AC619" s="1146">
        <f t="shared" si="170"/>
        <v>7593.6470588235297</v>
      </c>
      <c r="AD619" s="1146">
        <f t="shared" si="171"/>
        <v>2553.9893048128342</v>
      </c>
      <c r="AE619" s="1146">
        <f t="shared" si="172"/>
        <v>8026.7247386759582</v>
      </c>
      <c r="AF619" s="1146">
        <f t="shared" si="173"/>
        <v>7593.6470588235297</v>
      </c>
      <c r="AG619" s="1146">
        <f t="shared" si="174"/>
        <v>433.07767985242845</v>
      </c>
    </row>
    <row r="620" spans="2:33" ht="14.4">
      <c r="B620" s="1134">
        <v>1439553</v>
      </c>
      <c r="C620" s="1135"/>
      <c r="D620" s="1134">
        <v>143955</v>
      </c>
      <c r="E620" s="1153">
        <v>42222</v>
      </c>
      <c r="F620" s="1154">
        <v>30000</v>
      </c>
      <c r="G620" s="1155">
        <v>10</v>
      </c>
      <c r="H620" s="1154">
        <v>36000</v>
      </c>
      <c r="I620" s="1155">
        <v>15</v>
      </c>
      <c r="J620" s="1156">
        <v>4697</v>
      </c>
      <c r="K620" s="1157"/>
      <c r="L620" s="1158">
        <v>42324</v>
      </c>
      <c r="M620" s="269">
        <f t="shared" si="177"/>
        <v>4</v>
      </c>
      <c r="N620" s="1074">
        <f t="shared" si="178"/>
        <v>175</v>
      </c>
      <c r="O620" s="1087">
        <f t="shared" si="158"/>
        <v>1648.8000000000002</v>
      </c>
      <c r="P620" s="269">
        <f t="shared" si="176"/>
        <v>1</v>
      </c>
      <c r="Q620" s="269" t="str">
        <f t="shared" si="159"/>
        <v/>
      </c>
      <c r="R620" s="1142"/>
      <c r="S620" s="1143" t="str">
        <f t="shared" si="160"/>
        <v>Upsize</v>
      </c>
      <c r="T620" s="1144">
        <f t="shared" si="161"/>
        <v>1856.6666666666667</v>
      </c>
      <c r="U620" s="1144">
        <f t="shared" si="162"/>
        <v>740.83333333333337</v>
      </c>
      <c r="V620" s="1146">
        <f t="shared" si="163"/>
        <v>8456.363636363636</v>
      </c>
      <c r="W620" s="1146">
        <f t="shared" si="164"/>
        <v>7593.6470588235297</v>
      </c>
      <c r="X620" s="1146">
        <f t="shared" si="165"/>
        <v>862.7165775401063</v>
      </c>
      <c r="Y620" s="1146">
        <f t="shared" si="166"/>
        <v>6688.9372822299647</v>
      </c>
      <c r="Z620" s="1146">
        <f t="shared" si="167"/>
        <v>7593.6470588235297</v>
      </c>
      <c r="AA620" s="1146">
        <f t="shared" si="168"/>
        <v>-904.70977659356504</v>
      </c>
      <c r="AB620" s="1146">
        <f t="shared" si="169"/>
        <v>10147.636363636364</v>
      </c>
      <c r="AC620" s="1146">
        <f t="shared" si="170"/>
        <v>7593.6470588235297</v>
      </c>
      <c r="AD620" s="1146">
        <f t="shared" si="171"/>
        <v>2553.9893048128342</v>
      </c>
      <c r="AE620" s="1146">
        <f t="shared" si="172"/>
        <v>8026.7247386759582</v>
      </c>
      <c r="AF620" s="1146">
        <f t="shared" si="173"/>
        <v>7593.6470588235297</v>
      </c>
      <c r="AG620" s="1146">
        <f t="shared" si="174"/>
        <v>433.07767985242845</v>
      </c>
    </row>
    <row r="621" spans="2:33" ht="14.4">
      <c r="B621" s="1134">
        <v>5448212</v>
      </c>
      <c r="C621" s="1135"/>
      <c r="D621" s="1134">
        <v>515617</v>
      </c>
      <c r="E621" s="1153">
        <v>42285</v>
      </c>
      <c r="F621" s="1154">
        <v>30000</v>
      </c>
      <c r="G621" s="1155">
        <v>10</v>
      </c>
      <c r="H621" s="1154">
        <v>35000</v>
      </c>
      <c r="I621" s="1155">
        <v>15</v>
      </c>
      <c r="J621" s="1156">
        <v>5075</v>
      </c>
      <c r="K621" s="1157"/>
      <c r="L621" s="1158">
        <v>42324</v>
      </c>
      <c r="M621" s="269">
        <f t="shared" si="177"/>
        <v>4</v>
      </c>
      <c r="N621" s="1074">
        <f t="shared" si="178"/>
        <v>175</v>
      </c>
      <c r="O621" s="1087">
        <f t="shared" si="158"/>
        <v>1831.9999999999998</v>
      </c>
      <c r="P621" s="269">
        <f t="shared" si="176"/>
        <v>1</v>
      </c>
      <c r="Q621" s="269" t="str">
        <f t="shared" si="159"/>
        <v/>
      </c>
      <c r="R621" s="1142"/>
      <c r="S621" s="1143" t="str">
        <f t="shared" si="160"/>
        <v>Upsize</v>
      </c>
      <c r="T621" s="1144">
        <f t="shared" si="161"/>
        <v>1909.7142857142856</v>
      </c>
      <c r="U621" s="1144">
        <f t="shared" si="162"/>
        <v>762</v>
      </c>
      <c r="V621" s="1146">
        <f t="shared" si="163"/>
        <v>8697.9740259740247</v>
      </c>
      <c r="W621" s="1146">
        <f t="shared" si="164"/>
        <v>7593.6470588235288</v>
      </c>
      <c r="X621" s="1146">
        <f t="shared" si="165"/>
        <v>1104.3269671504959</v>
      </c>
      <c r="Y621" s="1146">
        <f t="shared" si="166"/>
        <v>6880.0497760079643</v>
      </c>
      <c r="Z621" s="1146">
        <f t="shared" si="167"/>
        <v>7593.6470588235288</v>
      </c>
      <c r="AA621" s="1146">
        <f t="shared" si="168"/>
        <v>-713.59728281556454</v>
      </c>
      <c r="AB621" s="1146">
        <f t="shared" si="169"/>
        <v>10147.636363636362</v>
      </c>
      <c r="AC621" s="1146">
        <f t="shared" si="170"/>
        <v>7593.6470588235288</v>
      </c>
      <c r="AD621" s="1146">
        <f t="shared" si="171"/>
        <v>2553.9893048128333</v>
      </c>
      <c r="AE621" s="1146">
        <f t="shared" si="172"/>
        <v>8026.7247386759582</v>
      </c>
      <c r="AF621" s="1146">
        <f t="shared" si="173"/>
        <v>7593.6470588235288</v>
      </c>
      <c r="AG621" s="1146">
        <f t="shared" si="174"/>
        <v>433.07767985242936</v>
      </c>
    </row>
    <row r="622" spans="2:33" ht="14.4">
      <c r="B622" s="1134">
        <v>8929069</v>
      </c>
      <c r="C622" s="1135"/>
      <c r="D622" s="1134">
        <v>133006</v>
      </c>
      <c r="E622" s="1153">
        <v>42177</v>
      </c>
      <c r="F622" s="1154">
        <v>40000</v>
      </c>
      <c r="G622" s="1155">
        <v>10</v>
      </c>
      <c r="H622" s="1154">
        <v>48000</v>
      </c>
      <c r="I622" s="1155">
        <v>16</v>
      </c>
      <c r="J622" s="1156">
        <v>11114</v>
      </c>
      <c r="K622" s="1157"/>
      <c r="L622" s="1158">
        <v>42324</v>
      </c>
      <c r="M622" s="269">
        <f t="shared" si="177"/>
        <v>4</v>
      </c>
      <c r="N622" s="1074">
        <f t="shared" si="178"/>
        <v>300</v>
      </c>
      <c r="O622" s="1087">
        <f t="shared" si="158"/>
        <v>2748</v>
      </c>
      <c r="P622" s="269">
        <f t="shared" si="176"/>
        <v>1</v>
      </c>
      <c r="Q622" s="269" t="str">
        <f t="shared" si="159"/>
        <v/>
      </c>
      <c r="R622" s="1142"/>
      <c r="S622" s="1143" t="str">
        <f t="shared" si="160"/>
        <v>Upsize</v>
      </c>
      <c r="T622" s="1144">
        <f t="shared" si="161"/>
        <v>1856.6666666666667</v>
      </c>
      <c r="U622" s="1144">
        <f t="shared" si="162"/>
        <v>740.83333333333337</v>
      </c>
      <c r="V622" s="1146">
        <f t="shared" si="163"/>
        <v>11275.151515151516</v>
      </c>
      <c r="W622" s="1146">
        <f t="shared" si="164"/>
        <v>9753.5294117647063</v>
      </c>
      <c r="X622" s="1146">
        <f t="shared" si="165"/>
        <v>1521.6221033868096</v>
      </c>
      <c r="Y622" s="1146">
        <f t="shared" si="166"/>
        <v>8918.5830429732869</v>
      </c>
      <c r="Z622" s="1146">
        <f t="shared" si="167"/>
        <v>9753.5294117647063</v>
      </c>
      <c r="AA622" s="1146">
        <f t="shared" si="168"/>
        <v>-834.94636879141945</v>
      </c>
      <c r="AB622" s="1146">
        <f t="shared" si="169"/>
        <v>13530.181818181818</v>
      </c>
      <c r="AC622" s="1146">
        <f t="shared" si="170"/>
        <v>9753.5294117647063</v>
      </c>
      <c r="AD622" s="1146">
        <f t="shared" si="171"/>
        <v>3776.6524064171117</v>
      </c>
      <c r="AE622" s="1146">
        <f t="shared" si="172"/>
        <v>10702.299651567944</v>
      </c>
      <c r="AF622" s="1146">
        <f t="shared" si="173"/>
        <v>9753.5294117647063</v>
      </c>
      <c r="AG622" s="1146">
        <f t="shared" si="174"/>
        <v>948.77023980323793</v>
      </c>
    </row>
    <row r="623" spans="2:33" ht="14.4">
      <c r="B623" s="1134">
        <v>5099635</v>
      </c>
      <c r="C623" s="1135"/>
      <c r="D623" s="1134">
        <v>5099635</v>
      </c>
      <c r="E623" s="1153">
        <v>42257</v>
      </c>
      <c r="F623" s="1154">
        <v>20000</v>
      </c>
      <c r="G623" s="1155">
        <v>10</v>
      </c>
      <c r="H623" s="1154">
        <v>29400</v>
      </c>
      <c r="I623" s="1155">
        <v>16</v>
      </c>
      <c r="J623" s="1156">
        <v>6775</v>
      </c>
      <c r="K623" s="1157"/>
      <c r="L623" s="1158">
        <v>42324</v>
      </c>
      <c r="M623" s="269">
        <f t="shared" si="177"/>
        <v>4</v>
      </c>
      <c r="N623" s="1074">
        <f t="shared" si="178"/>
        <v>175</v>
      </c>
      <c r="O623" s="1087">
        <f t="shared" si="158"/>
        <v>446.55</v>
      </c>
      <c r="P623" s="269">
        <f t="shared" si="179" ref="P623:P643">IF(L623&gt;0,1,"")</f>
        <v>1</v>
      </c>
      <c r="Q623" s="269" t="str">
        <f t="shared" si="159"/>
        <v/>
      </c>
      <c r="R623" s="1142"/>
      <c r="S623" s="1143" t="str">
        <f t="shared" si="160"/>
        <v>Upsize</v>
      </c>
      <c r="T623" s="1144">
        <f t="shared" si="161"/>
        <v>1515.6462585034012</v>
      </c>
      <c r="U623" s="1144">
        <f t="shared" si="162"/>
        <v>604.7619047619047</v>
      </c>
      <c r="V623" s="1146">
        <f t="shared" si="163"/>
        <v>4602.1026592455155</v>
      </c>
      <c r="W623" s="1146">
        <f t="shared" si="164"/>
        <v>4876.7647058823522</v>
      </c>
      <c r="X623" s="1146">
        <f t="shared" si="165"/>
        <v>-274.66204663683675</v>
      </c>
      <c r="Y623" s="1146">
        <f t="shared" si="166"/>
        <v>3640.2379767237903</v>
      </c>
      <c r="Z623" s="1146">
        <f t="shared" si="167"/>
        <v>4876.7647058823522</v>
      </c>
      <c r="AA623" s="1146">
        <f t="shared" si="168"/>
        <v>-1236.5267291585619</v>
      </c>
      <c r="AB623" s="1146">
        <f t="shared" si="169"/>
        <v>6765.0909090909072</v>
      </c>
      <c r="AC623" s="1146">
        <f t="shared" si="170"/>
        <v>4876.7647058823522</v>
      </c>
      <c r="AD623" s="1146">
        <f t="shared" si="171"/>
        <v>1888.3262032085549</v>
      </c>
      <c r="AE623" s="1146">
        <f t="shared" si="172"/>
        <v>5351.1498257839712</v>
      </c>
      <c r="AF623" s="1146">
        <f t="shared" si="173"/>
        <v>4876.7647058823522</v>
      </c>
      <c r="AG623" s="1146">
        <f t="shared" si="174"/>
        <v>474.38511990161896</v>
      </c>
    </row>
    <row r="624" spans="2:33" ht="14.4">
      <c r="B624" s="1134">
        <v>4996617</v>
      </c>
      <c r="C624" s="1135"/>
      <c r="D624" s="1134">
        <v>108301</v>
      </c>
      <c r="E624" s="1153">
        <v>42153</v>
      </c>
      <c r="F624" s="1154">
        <v>20000</v>
      </c>
      <c r="G624" s="1155">
        <v>10</v>
      </c>
      <c r="H624" s="1154">
        <v>22600</v>
      </c>
      <c r="I624" s="1155">
        <v>14</v>
      </c>
      <c r="J624" s="1156">
        <v>5300</v>
      </c>
      <c r="K624" s="1157"/>
      <c r="L624" s="1158">
        <v>42331</v>
      </c>
      <c r="M624" s="269">
        <f t="shared" si="177"/>
        <v>4</v>
      </c>
      <c r="N624" s="1074" t="str">
        <f t="shared" si="178"/>
        <v>No Rebate</v>
      </c>
      <c r="O624" s="1087">
        <f t="shared" si="158"/>
        <v>1059.9428571428575</v>
      </c>
      <c r="P624" s="269">
        <f t="shared" si="179"/>
        <v>1</v>
      </c>
      <c r="Q624" s="269" t="str">
        <f t="shared" si="159"/>
        <v/>
      </c>
      <c r="R624" s="1142"/>
      <c r="S624" s="1143" t="str">
        <f t="shared" si="160"/>
        <v>Upsize</v>
      </c>
      <c r="T624" s="1144">
        <f t="shared" si="161"/>
        <v>1971.6814159292037</v>
      </c>
      <c r="U624" s="1144">
        <f t="shared" si="162"/>
        <v>786.72566371681421</v>
      </c>
      <c r="V624" s="1146">
        <f t="shared" si="163"/>
        <v>5986.8061142397428</v>
      </c>
      <c r="W624" s="1146">
        <f t="shared" si="164"/>
        <v>5274.6218487394963</v>
      </c>
      <c r="X624" s="1146">
        <f t="shared" si="165"/>
        <v>712.18426550024651</v>
      </c>
      <c r="Y624" s="1146">
        <f t="shared" si="166"/>
        <v>4735.5308192778521</v>
      </c>
      <c r="Z624" s="1146">
        <f t="shared" si="167"/>
        <v>5274.6218487394963</v>
      </c>
      <c r="AA624" s="1146">
        <f t="shared" si="168"/>
        <v>-539.09102946164421</v>
      </c>
      <c r="AB624" s="1146">
        <f t="shared" si="169"/>
        <v>6765.0909090909099</v>
      </c>
      <c r="AC624" s="1146">
        <f t="shared" si="170"/>
        <v>5274.6218487394963</v>
      </c>
      <c r="AD624" s="1146">
        <f t="shared" si="171"/>
        <v>1490.4690603514137</v>
      </c>
      <c r="AE624" s="1146">
        <f t="shared" si="172"/>
        <v>5351.149825783973</v>
      </c>
      <c r="AF624" s="1146">
        <f t="shared" si="173"/>
        <v>5274.6218487394963</v>
      </c>
      <c r="AG624" s="1146">
        <f t="shared" si="174"/>
        <v>76.527977044476756</v>
      </c>
    </row>
    <row r="625" spans="2:33" ht="14.4">
      <c r="B625" s="1134">
        <v>4996617</v>
      </c>
      <c r="C625" s="1135"/>
      <c r="D625" s="1134">
        <v>108301</v>
      </c>
      <c r="E625" s="1153">
        <v>42153</v>
      </c>
      <c r="F625" s="1154">
        <v>20000</v>
      </c>
      <c r="G625" s="1155">
        <v>10</v>
      </c>
      <c r="H625" s="1154">
        <v>22600</v>
      </c>
      <c r="I625" s="1155">
        <v>14</v>
      </c>
      <c r="J625" s="1156">
        <v>5300</v>
      </c>
      <c r="K625" s="1157"/>
      <c r="L625" s="1158">
        <v>42331</v>
      </c>
      <c r="M625" s="269">
        <f t="shared" si="177"/>
        <v>4</v>
      </c>
      <c r="N625" s="1074" t="str">
        <f t="shared" si="178"/>
        <v>No Rebate</v>
      </c>
      <c r="O625" s="1087">
        <f t="shared" si="158"/>
        <v>1059.9428571428575</v>
      </c>
      <c r="P625" s="269">
        <f t="shared" si="179"/>
        <v>1</v>
      </c>
      <c r="Q625" s="269" t="str">
        <f t="shared" si="159"/>
        <v/>
      </c>
      <c r="R625" s="1142"/>
      <c r="S625" s="1143" t="str">
        <f t="shared" si="160"/>
        <v>Upsize</v>
      </c>
      <c r="T625" s="1144">
        <f t="shared" si="161"/>
        <v>1971.6814159292037</v>
      </c>
      <c r="U625" s="1144">
        <f t="shared" si="162"/>
        <v>786.72566371681421</v>
      </c>
      <c r="V625" s="1146">
        <f t="shared" si="163"/>
        <v>5986.8061142397428</v>
      </c>
      <c r="W625" s="1146">
        <f t="shared" si="164"/>
        <v>5274.6218487394963</v>
      </c>
      <c r="X625" s="1146">
        <f t="shared" si="165"/>
        <v>712.18426550024651</v>
      </c>
      <c r="Y625" s="1146">
        <f t="shared" si="166"/>
        <v>4735.5308192778521</v>
      </c>
      <c r="Z625" s="1146">
        <f t="shared" si="167"/>
        <v>5274.6218487394963</v>
      </c>
      <c r="AA625" s="1146">
        <f t="shared" si="168"/>
        <v>-539.09102946164421</v>
      </c>
      <c r="AB625" s="1146">
        <f t="shared" si="169"/>
        <v>6765.0909090909099</v>
      </c>
      <c r="AC625" s="1146">
        <f t="shared" si="170"/>
        <v>5274.6218487394963</v>
      </c>
      <c r="AD625" s="1146">
        <f t="shared" si="171"/>
        <v>1490.4690603514137</v>
      </c>
      <c r="AE625" s="1146">
        <f t="shared" si="172"/>
        <v>5351.149825783973</v>
      </c>
      <c r="AF625" s="1146">
        <f t="shared" si="173"/>
        <v>5274.6218487394963</v>
      </c>
      <c r="AG625" s="1146">
        <f t="shared" si="174"/>
        <v>76.527977044476756</v>
      </c>
    </row>
    <row r="626" spans="2:33" ht="14.4">
      <c r="B626" s="1134">
        <v>1133776</v>
      </c>
      <c r="C626" s="1135"/>
      <c r="D626" s="1134">
        <v>113377</v>
      </c>
      <c r="E626" s="1153">
        <v>42311</v>
      </c>
      <c r="F626" s="1154">
        <v>30000</v>
      </c>
      <c r="G626" s="1155">
        <v>10</v>
      </c>
      <c r="H626" s="1154">
        <v>41500</v>
      </c>
      <c r="I626" s="1155">
        <v>15</v>
      </c>
      <c r="J626" s="1156">
        <v>6500</v>
      </c>
      <c r="K626" s="1157"/>
      <c r="L626" s="1158">
        <v>42331</v>
      </c>
      <c r="M626" s="269">
        <f t="shared" si="177"/>
        <v>4</v>
      </c>
      <c r="N626" s="1074">
        <f t="shared" si="178"/>
        <v>225</v>
      </c>
      <c r="O626" s="1087">
        <f t="shared" si="158"/>
        <v>641.2000000000005</v>
      </c>
      <c r="P626" s="269">
        <f t="shared" si="179"/>
        <v>1</v>
      </c>
      <c r="Q626" s="269" t="str">
        <f t="shared" si="159"/>
        <v/>
      </c>
      <c r="R626" s="1142"/>
      <c r="S626" s="1143" t="str">
        <f t="shared" si="160"/>
        <v>Upsize</v>
      </c>
      <c r="T626" s="1144">
        <f t="shared" si="161"/>
        <v>1610.6024096385543</v>
      </c>
      <c r="U626" s="1144">
        <f t="shared" si="162"/>
        <v>642.65060240963851</v>
      </c>
      <c r="V626" s="1146">
        <f t="shared" si="163"/>
        <v>7335.6407447973716</v>
      </c>
      <c r="W626" s="1146">
        <f t="shared" si="164"/>
        <v>7593.6470588235288</v>
      </c>
      <c r="X626" s="1146">
        <f t="shared" si="165"/>
        <v>-258.00631402615727</v>
      </c>
      <c r="Y626" s="1146">
        <f t="shared" si="166"/>
        <v>5802.4516183199703</v>
      </c>
      <c r="Z626" s="1146">
        <f t="shared" si="167"/>
        <v>7593.6470588235288</v>
      </c>
      <c r="AA626" s="1146">
        <f t="shared" si="168"/>
        <v>-1791.1954405035585</v>
      </c>
      <c r="AB626" s="1146">
        <f t="shared" si="169"/>
        <v>10147.636363636364</v>
      </c>
      <c r="AC626" s="1146">
        <f t="shared" si="170"/>
        <v>7593.6470588235288</v>
      </c>
      <c r="AD626" s="1146">
        <f t="shared" si="171"/>
        <v>2553.9893048128351</v>
      </c>
      <c r="AE626" s="1146">
        <f t="shared" si="172"/>
        <v>8026.7247386759582</v>
      </c>
      <c r="AF626" s="1146">
        <f t="shared" si="173"/>
        <v>7593.6470588235288</v>
      </c>
      <c r="AG626" s="1146">
        <f t="shared" si="174"/>
        <v>433.07767985242936</v>
      </c>
    </row>
    <row r="627" spans="2:33" ht="14.4">
      <c r="B627" s="1134">
        <v>4742748</v>
      </c>
      <c r="C627" s="1135"/>
      <c r="D627" s="1134">
        <v>474274</v>
      </c>
      <c r="E627" s="1153">
        <v>42250</v>
      </c>
      <c r="F627" s="1154">
        <v>50000</v>
      </c>
      <c r="G627" s="1155">
        <v>10</v>
      </c>
      <c r="H627" s="1154">
        <v>47500</v>
      </c>
      <c r="I627" s="1155">
        <v>16</v>
      </c>
      <c r="J627" s="1156">
        <v>10313.200000000001</v>
      </c>
      <c r="K627" s="1157"/>
      <c r="L627" s="1158">
        <v>42325</v>
      </c>
      <c r="M627" s="269">
        <f t="shared" si="177"/>
        <v>4</v>
      </c>
      <c r="N627" s="1074">
        <f t="shared" si="178"/>
        <v>300</v>
      </c>
      <c r="O627" s="1087">
        <f t="shared" si="158"/>
        <v>5581.875</v>
      </c>
      <c r="P627" s="269">
        <f t="shared" si="179"/>
        <v>1</v>
      </c>
      <c r="Q627" s="269" t="str">
        <f t="shared" si="159"/>
        <v/>
      </c>
      <c r="R627" s="1142"/>
      <c r="S627" s="1143" t="str">
        <f t="shared" si="160"/>
        <v>Downsize</v>
      </c>
      <c r="T627" s="1144">
        <f t="shared" si="161"/>
        <v>2345.2631578947367</v>
      </c>
      <c r="U627" s="1144">
        <f t="shared" si="162"/>
        <v>935.78947368421052</v>
      </c>
      <c r="V627" s="1146">
        <f t="shared" si="163"/>
        <v>17802.87081339713</v>
      </c>
      <c r="W627" s="1146">
        <f t="shared" si="164"/>
        <v>12191.911764705881</v>
      </c>
      <c r="X627" s="1146">
        <f t="shared" si="165"/>
        <v>5610.9590486912493</v>
      </c>
      <c r="Y627" s="1146">
        <f t="shared" si="166"/>
        <v>14081.973225747293</v>
      </c>
      <c r="Z627" s="1146">
        <f t="shared" si="167"/>
        <v>12191.911764705881</v>
      </c>
      <c r="AA627" s="1146">
        <f t="shared" si="168"/>
        <v>1890.0614610414123</v>
      </c>
      <c r="AB627" s="1146">
        <f t="shared" si="169"/>
        <v>16912.727272727272</v>
      </c>
      <c r="AC627" s="1146">
        <f t="shared" si="170"/>
        <v>12191.911764705881</v>
      </c>
      <c r="AD627" s="1146">
        <f t="shared" si="171"/>
        <v>4720.815508021391</v>
      </c>
      <c r="AE627" s="1146">
        <f t="shared" si="172"/>
        <v>13377.874564459929</v>
      </c>
      <c r="AF627" s="1146">
        <f t="shared" si="173"/>
        <v>12191.911764705881</v>
      </c>
      <c r="AG627" s="1146">
        <f t="shared" si="174"/>
        <v>1185.9627997540483</v>
      </c>
    </row>
    <row r="628" spans="2:33" ht="14.4">
      <c r="B628" s="1134">
        <v>8838689</v>
      </c>
      <c r="C628" s="1135"/>
      <c r="D628" s="1134">
        <v>155522</v>
      </c>
      <c r="E628" s="1153">
        <v>42137</v>
      </c>
      <c r="F628" s="1154">
        <v>40000</v>
      </c>
      <c r="G628" s="1155">
        <v>13</v>
      </c>
      <c r="H628" s="1154">
        <v>47000</v>
      </c>
      <c r="I628" s="1155">
        <v>16</v>
      </c>
      <c r="J628" s="1156">
        <v>9100</v>
      </c>
      <c r="K628" s="1157"/>
      <c r="L628" s="1158">
        <v>42325</v>
      </c>
      <c r="M628" s="269">
        <f t="shared" si="177"/>
        <v>4</v>
      </c>
      <c r="N628" s="1074">
        <f t="shared" si="178"/>
        <v>300</v>
      </c>
      <c r="O628" s="1087">
        <f t="shared" si="158"/>
        <v>383.13461538461598</v>
      </c>
      <c r="P628" s="269">
        <f t="shared" si="179"/>
        <v>1</v>
      </c>
      <c r="Q628" s="269" t="str">
        <f t="shared" si="159"/>
        <v/>
      </c>
      <c r="R628" s="1142"/>
      <c r="S628" s="1143" t="str">
        <f t="shared" si="160"/>
        <v>Upsize</v>
      </c>
      <c r="T628" s="1144">
        <f t="shared" si="161"/>
        <v>1896.1702127659576</v>
      </c>
      <c r="U628" s="1144">
        <f t="shared" si="162"/>
        <v>756.59574468085111</v>
      </c>
      <c r="V628" s="1146">
        <f t="shared" si="163"/>
        <v>9764.7373902693053</v>
      </c>
      <c r="W628" s="1146">
        <f t="shared" si="164"/>
        <v>9753.5294117647063</v>
      </c>
      <c r="X628" s="1146">
        <f t="shared" si="165"/>
        <v>11.207978504598941</v>
      </c>
      <c r="Y628" s="1146">
        <f t="shared" si="166"/>
        <v>9108.3401289939957</v>
      </c>
      <c r="Z628" s="1146">
        <f t="shared" si="167"/>
        <v>9753.5294117647063</v>
      </c>
      <c r="AA628" s="1146">
        <f t="shared" si="168"/>
        <v>-645.18928277071063</v>
      </c>
      <c r="AB628" s="1146">
        <f t="shared" si="169"/>
        <v>11473.566433566433</v>
      </c>
      <c r="AC628" s="1146">
        <f t="shared" si="170"/>
        <v>9753.5294117647063</v>
      </c>
      <c r="AD628" s="1146">
        <f t="shared" si="171"/>
        <v>1720.037021801727</v>
      </c>
      <c r="AE628" s="1146">
        <f t="shared" si="172"/>
        <v>10702.299651567944</v>
      </c>
      <c r="AF628" s="1146">
        <f t="shared" si="173"/>
        <v>9753.5294117647063</v>
      </c>
      <c r="AG628" s="1146">
        <f t="shared" si="174"/>
        <v>948.77023980323793</v>
      </c>
    </row>
    <row r="629" spans="2:33" ht="14.4">
      <c r="B629" s="1134">
        <v>8208167</v>
      </c>
      <c r="C629" s="1135"/>
      <c r="D629" s="1134">
        <v>309599</v>
      </c>
      <c r="E629" s="1153">
        <v>42212</v>
      </c>
      <c r="F629" s="1154">
        <v>48000</v>
      </c>
      <c r="G629" s="1155">
        <v>10</v>
      </c>
      <c r="H629" s="1154">
        <v>46000</v>
      </c>
      <c r="I629" s="1155">
        <v>18</v>
      </c>
      <c r="J629" s="1156">
        <v>10404</v>
      </c>
      <c r="K629" s="1157"/>
      <c r="L629" s="1158">
        <v>42325</v>
      </c>
      <c r="M629" s="269">
        <f t="shared" si="177"/>
        <v>4</v>
      </c>
      <c r="N629" s="1074">
        <f t="shared" si="178"/>
        <v>350</v>
      </c>
      <c r="O629" s="1087">
        <f t="shared" si="158"/>
        <v>6167.7333333333336</v>
      </c>
      <c r="P629" s="269">
        <f t="shared" si="179"/>
        <v>1</v>
      </c>
      <c r="Q629" s="269" t="str">
        <f t="shared" si="159"/>
        <v/>
      </c>
      <c r="R629" s="1142"/>
      <c r="S629" s="1143" t="str">
        <f t="shared" si="160"/>
        <v>Downsize</v>
      </c>
      <c r="T629" s="1144">
        <f t="shared" si="161"/>
        <v>2324.869565217391</v>
      </c>
      <c r="U629" s="1144">
        <f t="shared" si="162"/>
        <v>927.6521739130435</v>
      </c>
      <c r="V629" s="1146">
        <f t="shared" si="163"/>
        <v>16942.140711462449</v>
      </c>
      <c r="W629" s="1146">
        <f t="shared" si="164"/>
        <v>10961.568627450981</v>
      </c>
      <c r="X629" s="1146">
        <f t="shared" si="165"/>
        <v>5980.5720840114682</v>
      </c>
      <c r="Y629" s="1146">
        <f t="shared" si="166"/>
        <v>13401.140433267687</v>
      </c>
      <c r="Z629" s="1146">
        <f t="shared" si="167"/>
        <v>10961.568627450981</v>
      </c>
      <c r="AA629" s="1146">
        <f t="shared" si="168"/>
        <v>2439.5718058167058</v>
      </c>
      <c r="AB629" s="1146">
        <f t="shared" si="169"/>
        <v>16236.21818181818</v>
      </c>
      <c r="AC629" s="1146">
        <f t="shared" si="170"/>
        <v>10961.568627450981</v>
      </c>
      <c r="AD629" s="1146">
        <f t="shared" si="171"/>
        <v>5274.649554367199</v>
      </c>
      <c r="AE629" s="1146">
        <f t="shared" si="172"/>
        <v>12842.759581881533</v>
      </c>
      <c r="AF629" s="1146">
        <f t="shared" si="173"/>
        <v>10961.568627450981</v>
      </c>
      <c r="AG629" s="1146">
        <f t="shared" si="174"/>
        <v>1881.1909544305527</v>
      </c>
    </row>
    <row r="630" spans="2:33" ht="14.4">
      <c r="B630" s="1134">
        <v>2552743</v>
      </c>
      <c r="C630" s="1135"/>
      <c r="D630" s="1134">
        <v>255274</v>
      </c>
      <c r="E630" s="1153">
        <v>42305</v>
      </c>
      <c r="F630" s="1154">
        <v>30000</v>
      </c>
      <c r="G630" s="1155">
        <v>10</v>
      </c>
      <c r="H630" s="1154">
        <v>47500</v>
      </c>
      <c r="I630" s="1155">
        <v>15</v>
      </c>
      <c r="J630" s="1156">
        <v>6045</v>
      </c>
      <c r="K630" s="1157"/>
      <c r="L630" s="1158">
        <v>42325</v>
      </c>
      <c r="M630" s="269">
        <f t="shared" si="177"/>
        <v>4</v>
      </c>
      <c r="N630" s="1074">
        <f t="shared" si="178"/>
        <v>250</v>
      </c>
      <c r="O630" s="1087">
        <f t="shared" si="158"/>
        <v>-457.9999999999996</v>
      </c>
      <c r="P630" s="269">
        <f t="shared" si="179"/>
        <v>1</v>
      </c>
      <c r="Q630" s="269" t="str">
        <f t="shared" si="159"/>
        <v/>
      </c>
      <c r="R630" s="1142"/>
      <c r="S630" s="1143" t="str">
        <f t="shared" si="160"/>
        <v>Upsize</v>
      </c>
      <c r="T630" s="1144">
        <f t="shared" si="161"/>
        <v>1407.1578947368421</v>
      </c>
      <c r="U630" s="1144">
        <f t="shared" si="162"/>
        <v>561.47368421052624</v>
      </c>
      <c r="V630" s="1146">
        <f t="shared" si="163"/>
        <v>6409.0334928229649</v>
      </c>
      <c r="W630" s="1146">
        <f t="shared" si="164"/>
        <v>7593.6470588235288</v>
      </c>
      <c r="X630" s="1146">
        <f t="shared" si="165"/>
        <v>-1184.6135660005639</v>
      </c>
      <c r="Y630" s="1146">
        <f t="shared" si="166"/>
        <v>5069.5103612690264</v>
      </c>
      <c r="Z630" s="1146">
        <f t="shared" si="167"/>
        <v>7593.6470588235288</v>
      </c>
      <c r="AA630" s="1146">
        <f t="shared" si="168"/>
        <v>-2524.1366975545025</v>
      </c>
      <c r="AB630" s="1146">
        <f t="shared" si="169"/>
        <v>10147.636363636362</v>
      </c>
      <c r="AC630" s="1146">
        <f t="shared" si="170"/>
        <v>7593.6470588235288</v>
      </c>
      <c r="AD630" s="1146">
        <f t="shared" si="171"/>
        <v>2553.9893048128333</v>
      </c>
      <c r="AE630" s="1146">
        <f t="shared" si="172"/>
        <v>8026.7247386759582</v>
      </c>
      <c r="AF630" s="1146">
        <f t="shared" si="173"/>
        <v>7593.6470588235288</v>
      </c>
      <c r="AG630" s="1146">
        <f t="shared" si="174"/>
        <v>433.07767985242936</v>
      </c>
    </row>
    <row r="631" spans="2:33" ht="14.4">
      <c r="B631" s="1134">
        <v>2962579</v>
      </c>
      <c r="C631" s="1135"/>
      <c r="D631" s="1134">
        <v>296257</v>
      </c>
      <c r="E631" s="1153">
        <v>42156</v>
      </c>
      <c r="F631" s="1154">
        <v>20000</v>
      </c>
      <c r="G631" s="1155">
        <v>10</v>
      </c>
      <c r="H631" s="1154">
        <v>25000</v>
      </c>
      <c r="I631" s="1155">
        <v>19</v>
      </c>
      <c r="J631" s="1156">
        <v>4386</v>
      </c>
      <c r="K631" s="1157"/>
      <c r="L631" s="1158">
        <v>42325</v>
      </c>
      <c r="M631" s="269">
        <f t="shared" si="177"/>
        <v>4</v>
      </c>
      <c r="N631" s="1074">
        <f t="shared" si="178"/>
        <v>200</v>
      </c>
      <c r="O631" s="1087">
        <f t="shared" si="158"/>
        <v>1880.2105263157894</v>
      </c>
      <c r="P631" s="269">
        <f t="shared" si="179"/>
        <v>1</v>
      </c>
      <c r="Q631" s="269" t="str">
        <f t="shared" si="159"/>
        <v/>
      </c>
      <c r="R631" s="1142"/>
      <c r="S631" s="1143" t="str">
        <f t="shared" si="160"/>
        <v>Upsize</v>
      </c>
      <c r="T631" s="1144">
        <f t="shared" si="161"/>
        <v>1782.40</v>
      </c>
      <c r="U631" s="1144">
        <f t="shared" si="162"/>
        <v>711.20</v>
      </c>
      <c r="V631" s="1146">
        <f t="shared" si="163"/>
        <v>5412.0727272727272</v>
      </c>
      <c r="W631" s="1146">
        <f t="shared" si="164"/>
        <v>4437.0278637770898</v>
      </c>
      <c r="X631" s="1146">
        <f t="shared" si="165"/>
        <v>975.0448634956374</v>
      </c>
      <c r="Y631" s="1146">
        <f t="shared" si="166"/>
        <v>4280.9198606271784</v>
      </c>
      <c r="Z631" s="1146">
        <f t="shared" si="167"/>
        <v>4437.0278637770898</v>
      </c>
      <c r="AA631" s="1146">
        <f t="shared" si="168"/>
        <v>-156.10800314991138</v>
      </c>
      <c r="AB631" s="1146">
        <f t="shared" si="169"/>
        <v>6765.0909090909099</v>
      </c>
      <c r="AC631" s="1146">
        <f t="shared" si="170"/>
        <v>4437.0278637770898</v>
      </c>
      <c r="AD631" s="1146">
        <f t="shared" si="171"/>
        <v>2328.0630453138201</v>
      </c>
      <c r="AE631" s="1146">
        <f t="shared" si="172"/>
        <v>5351.149825783973</v>
      </c>
      <c r="AF631" s="1146">
        <f t="shared" si="173"/>
        <v>4437.0278637770898</v>
      </c>
      <c r="AG631" s="1146">
        <f t="shared" si="174"/>
        <v>914.12196200688322</v>
      </c>
    </row>
    <row r="632" spans="2:33" ht="14.4">
      <c r="B632" s="1134">
        <v>6714968</v>
      </c>
      <c r="C632" s="1135"/>
      <c r="D632" s="1134">
        <v>366091</v>
      </c>
      <c r="E632" s="1153">
        <v>42284</v>
      </c>
      <c r="F632" s="1154">
        <v>42000</v>
      </c>
      <c r="G632" s="1155">
        <v>13</v>
      </c>
      <c r="H632" s="1154">
        <v>41000</v>
      </c>
      <c r="I632" s="1155">
        <v>15</v>
      </c>
      <c r="J632" s="1156">
        <v>5917.23</v>
      </c>
      <c r="K632" s="1157"/>
      <c r="L632" s="1158">
        <v>42325</v>
      </c>
      <c r="M632" s="269">
        <f t="shared" si="180" ref="M632:M663">IF(MAX(K632,L632)&lt;40000,"",ROUNDUP(MONTH(MAX(K632,L632))/3,0))</f>
        <v>4</v>
      </c>
      <c r="N632" s="1074">
        <f t="shared" si="178"/>
        <v>225</v>
      </c>
      <c r="O632" s="1087">
        <f t="shared" si="158"/>
        <v>1366.9538461538464</v>
      </c>
      <c r="P632" s="269">
        <f t="shared" si="179"/>
        <v>1</v>
      </c>
      <c r="Q632" s="269" t="str">
        <f t="shared" si="159"/>
        <v/>
      </c>
      <c r="R632" s="1142"/>
      <c r="S632" s="1143" t="str">
        <f t="shared" si="160"/>
        <v>Downsize</v>
      </c>
      <c r="T632" s="1144">
        <f t="shared" si="161"/>
        <v>2282.3414634146343</v>
      </c>
      <c r="U632" s="1144">
        <f t="shared" si="162"/>
        <v>910.68292682926835</v>
      </c>
      <c r="V632" s="1146">
        <f t="shared" si="163"/>
        <v>12341.079993177555</v>
      </c>
      <c r="W632" s="1146">
        <f t="shared" si="164"/>
        <v>10631.105882352942</v>
      </c>
      <c r="X632" s="1146">
        <f t="shared" si="165"/>
        <v>1709.9741108246126</v>
      </c>
      <c r="Y632" s="1146">
        <f t="shared" si="166"/>
        <v>11511.497917906008</v>
      </c>
      <c r="Z632" s="1146">
        <f t="shared" si="167"/>
        <v>10631.105882352942</v>
      </c>
      <c r="AA632" s="1146">
        <f t="shared" si="168"/>
        <v>880.39203555306631</v>
      </c>
      <c r="AB632" s="1146">
        <f t="shared" si="169"/>
        <v>12047.244755244756</v>
      </c>
      <c r="AC632" s="1146">
        <f t="shared" si="170"/>
        <v>10631.105882352942</v>
      </c>
      <c r="AD632" s="1146">
        <f t="shared" si="171"/>
        <v>1416.1388728918137</v>
      </c>
      <c r="AE632" s="1146">
        <f t="shared" si="172"/>
        <v>11237.414634146342</v>
      </c>
      <c r="AF632" s="1146">
        <f t="shared" si="173"/>
        <v>10631.105882352942</v>
      </c>
      <c r="AG632" s="1146">
        <f t="shared" si="174"/>
        <v>606.30875179340001</v>
      </c>
    </row>
    <row r="633" spans="2:33" ht="14.4">
      <c r="B633" s="1134">
        <v>6539753</v>
      </c>
      <c r="C633" s="1135"/>
      <c r="D633" s="1134">
        <v>637164</v>
      </c>
      <c r="E633" s="1153">
        <v>42310</v>
      </c>
      <c r="F633" s="1154">
        <v>56500</v>
      </c>
      <c r="G633" s="1155">
        <v>10</v>
      </c>
      <c r="H633" s="1154">
        <v>56500</v>
      </c>
      <c r="I633" s="1155">
        <v>16</v>
      </c>
      <c r="J633" s="1156">
        <v>10800.28</v>
      </c>
      <c r="K633" s="1157"/>
      <c r="L633" s="1158">
        <v>42325</v>
      </c>
      <c r="M633" s="269">
        <f t="shared" si="180"/>
        <v>4</v>
      </c>
      <c r="N633" s="1074">
        <f t="shared" si="178"/>
        <v>375</v>
      </c>
      <c r="O633" s="1087">
        <f t="shared" si="158"/>
        <v>5822.3250000000007</v>
      </c>
      <c r="P633" s="269">
        <f t="shared" si="179"/>
        <v>1</v>
      </c>
      <c r="Q633" s="269" t="str">
        <f t="shared" si="159"/>
        <v/>
      </c>
      <c r="R633" s="1142"/>
      <c r="S633" s="1143" t="str">
        <f t="shared" si="160"/>
        <v>Same Size</v>
      </c>
      <c r="T633" s="1144">
        <f t="shared" si="161"/>
        <v>2228</v>
      </c>
      <c r="U633" s="1144">
        <f t="shared" si="162"/>
        <v>889</v>
      </c>
      <c r="V633" s="1146">
        <f t="shared" si="163"/>
        <v>19111.381818181817</v>
      </c>
      <c r="W633" s="1146">
        <f t="shared" si="164"/>
        <v>13776.860294117647</v>
      </c>
      <c r="X633" s="1146">
        <f t="shared" si="165"/>
        <v>5334.5215240641701</v>
      </c>
      <c r="Y633" s="1146">
        <f t="shared" si="166"/>
        <v>15116.998257839721</v>
      </c>
      <c r="Z633" s="1146">
        <f t="shared" si="167"/>
        <v>13776.860294117647</v>
      </c>
      <c r="AA633" s="1146">
        <f t="shared" si="168"/>
        <v>1340.1379637220744</v>
      </c>
      <c r="AB633" s="1146">
        <f t="shared" si="169"/>
        <v>19111.381818181817</v>
      </c>
      <c r="AC633" s="1146">
        <f t="shared" si="170"/>
        <v>13776.860294117647</v>
      </c>
      <c r="AD633" s="1146">
        <f t="shared" si="171"/>
        <v>5334.5215240641701</v>
      </c>
      <c r="AE633" s="1146">
        <f t="shared" si="172"/>
        <v>15116.998257839721</v>
      </c>
      <c r="AF633" s="1146">
        <f t="shared" si="173"/>
        <v>13776.860294117647</v>
      </c>
      <c r="AG633" s="1146">
        <f t="shared" si="174"/>
        <v>1340.1379637220744</v>
      </c>
    </row>
    <row r="634" spans="2:33" ht="14.4">
      <c r="B634" s="1134">
        <v>8889093</v>
      </c>
      <c r="C634" s="1135"/>
      <c r="D634" s="1134">
        <v>487639</v>
      </c>
      <c r="E634" s="1153">
        <v>42286</v>
      </c>
      <c r="F634" s="1154">
        <v>56500</v>
      </c>
      <c r="G634" s="1155">
        <v>10</v>
      </c>
      <c r="H634" s="1154">
        <v>56500</v>
      </c>
      <c r="I634" s="1155">
        <v>16</v>
      </c>
      <c r="J634" s="1156">
        <v>8748.2900000000009</v>
      </c>
      <c r="K634" s="1157"/>
      <c r="L634" s="1158">
        <v>42325</v>
      </c>
      <c r="M634" s="269">
        <f t="shared" si="180"/>
        <v>4</v>
      </c>
      <c r="N634" s="1074">
        <f t="shared" si="178"/>
        <v>375</v>
      </c>
      <c r="O634" s="1087">
        <f t="shared" si="158"/>
        <v>5822.3250000000007</v>
      </c>
      <c r="P634" s="269">
        <f t="shared" si="179"/>
        <v>1</v>
      </c>
      <c r="Q634" s="269" t="str">
        <f t="shared" si="159"/>
        <v/>
      </c>
      <c r="R634" s="1142"/>
      <c r="S634" s="1143" t="str">
        <f t="shared" si="160"/>
        <v>Same Size</v>
      </c>
      <c r="T634" s="1144">
        <f t="shared" si="161"/>
        <v>2228</v>
      </c>
      <c r="U634" s="1144">
        <f t="shared" si="162"/>
        <v>889</v>
      </c>
      <c r="V634" s="1146">
        <f t="shared" si="163"/>
        <v>19111.381818181817</v>
      </c>
      <c r="W634" s="1146">
        <f t="shared" si="164"/>
        <v>13776.860294117647</v>
      </c>
      <c r="X634" s="1146">
        <f t="shared" si="165"/>
        <v>5334.5215240641701</v>
      </c>
      <c r="Y634" s="1146">
        <f t="shared" si="166"/>
        <v>15116.998257839721</v>
      </c>
      <c r="Z634" s="1146">
        <f t="shared" si="167"/>
        <v>13776.860294117647</v>
      </c>
      <c r="AA634" s="1146">
        <f t="shared" si="168"/>
        <v>1340.1379637220744</v>
      </c>
      <c r="AB634" s="1146">
        <f t="shared" si="169"/>
        <v>19111.381818181817</v>
      </c>
      <c r="AC634" s="1146">
        <f t="shared" si="170"/>
        <v>13776.860294117647</v>
      </c>
      <c r="AD634" s="1146">
        <f t="shared" si="171"/>
        <v>5334.5215240641701</v>
      </c>
      <c r="AE634" s="1146">
        <f t="shared" si="172"/>
        <v>15116.998257839721</v>
      </c>
      <c r="AF634" s="1146">
        <f t="shared" si="173"/>
        <v>13776.860294117647</v>
      </c>
      <c r="AG634" s="1146">
        <f t="shared" si="174"/>
        <v>1340.1379637220744</v>
      </c>
    </row>
    <row r="635" spans="2:33" ht="14.4">
      <c r="B635" s="1134">
        <v>5257688</v>
      </c>
      <c r="C635" s="1135"/>
      <c r="D635" s="1134">
        <v>5257688</v>
      </c>
      <c r="E635" s="1153">
        <v>42293</v>
      </c>
      <c r="F635" s="1154">
        <v>48000</v>
      </c>
      <c r="G635" s="1155">
        <v>8</v>
      </c>
      <c r="H635" s="1154">
        <v>44500</v>
      </c>
      <c r="I635" s="1155">
        <v>15</v>
      </c>
      <c r="J635" s="1156">
        <v>6000</v>
      </c>
      <c r="K635" s="1157"/>
      <c r="L635" s="1158">
        <v>42325</v>
      </c>
      <c r="M635" s="269">
        <f t="shared" si="180"/>
        <v>4</v>
      </c>
      <c r="N635" s="1074">
        <f t="shared" si="178"/>
        <v>225</v>
      </c>
      <c r="O635" s="1087">
        <f t="shared" si="158"/>
        <v>8335.60</v>
      </c>
      <c r="P635" s="269">
        <f t="shared" si="179"/>
        <v>1</v>
      </c>
      <c r="Q635" s="269" t="str">
        <f t="shared" si="159"/>
        <v/>
      </c>
      <c r="R635" s="1142"/>
      <c r="S635" s="1143" t="str">
        <f t="shared" si="160"/>
        <v>Downsize</v>
      </c>
      <c r="T635" s="1144">
        <f t="shared" si="161"/>
        <v>2403.2359550561796</v>
      </c>
      <c r="U635" s="1144">
        <f t="shared" si="162"/>
        <v>958.92134831460669</v>
      </c>
      <c r="V635" s="1146">
        <f t="shared" si="163"/>
        <v>20397.107252298261</v>
      </c>
      <c r="W635" s="1146">
        <f t="shared" si="164"/>
        <v>12149.835294117645</v>
      </c>
      <c r="X635" s="1146">
        <f t="shared" si="165"/>
        <v>8247.2719581806159</v>
      </c>
      <c r="Y635" s="1146">
        <f t="shared" si="166"/>
        <v>13852.864268096933</v>
      </c>
      <c r="Z635" s="1146">
        <f t="shared" si="167"/>
        <v>12149.835294117645</v>
      </c>
      <c r="AA635" s="1146">
        <f t="shared" si="168"/>
        <v>1703.0289739792879</v>
      </c>
      <c r="AB635" s="1146">
        <f t="shared" si="169"/>
        <v>18909.81818181818</v>
      </c>
      <c r="AC635" s="1146">
        <f t="shared" si="170"/>
        <v>12149.835294117645</v>
      </c>
      <c r="AD635" s="1146">
        <f t="shared" si="171"/>
        <v>6759.9828877005348</v>
      </c>
      <c r="AE635" s="1146">
        <f t="shared" si="172"/>
        <v>12842.759581881532</v>
      </c>
      <c r="AF635" s="1146">
        <f t="shared" si="173"/>
        <v>12149.835294117645</v>
      </c>
      <c r="AG635" s="1146">
        <f t="shared" si="174"/>
        <v>692.92428776388624</v>
      </c>
    </row>
    <row r="636" spans="2:33" ht="14.4">
      <c r="B636" s="1134">
        <v>8639346</v>
      </c>
      <c r="C636" s="1135"/>
      <c r="D636" s="1134">
        <v>8639346</v>
      </c>
      <c r="E636" s="1153">
        <v>42278</v>
      </c>
      <c r="F636" s="1154">
        <v>30000</v>
      </c>
      <c r="G636" s="1155">
        <v>11</v>
      </c>
      <c r="H636" s="1154">
        <v>34400</v>
      </c>
      <c r="I636" s="1155">
        <v>15</v>
      </c>
      <c r="J636" s="1156">
        <v>3700</v>
      </c>
      <c r="K636" s="1157"/>
      <c r="L636" s="1158">
        <v>42325</v>
      </c>
      <c r="M636" s="269">
        <f t="shared" si="180"/>
        <v>4</v>
      </c>
      <c r="N636" s="1074">
        <f t="shared" si="178"/>
        <v>175</v>
      </c>
      <c r="O636" s="1087">
        <f t="shared" si="181" ref="O636:O690">IF(F636&lt;1,"",2.748*(F636/G636-H636/I636))</f>
        <v>1192.4654545454548</v>
      </c>
      <c r="P636" s="269">
        <f t="shared" si="179"/>
        <v>1</v>
      </c>
      <c r="Q636" s="269" t="str">
        <f t="shared" si="182" ref="Q636:Q643">IF(K636&gt;0,1,"")</f>
        <v/>
      </c>
      <c r="R636" s="1142"/>
      <c r="S636" s="1143" t="str">
        <f t="shared" si="160"/>
        <v>Upsize</v>
      </c>
      <c r="T636" s="1144">
        <f t="shared" si="161"/>
        <v>1943.0232558139535</v>
      </c>
      <c r="U636" s="1144">
        <f t="shared" si="162"/>
        <v>775.29069767441865</v>
      </c>
      <c r="V636" s="1146">
        <f t="shared" si="163"/>
        <v>8319.7674418604638</v>
      </c>
      <c r="W636" s="1146">
        <f t="shared" si="164"/>
        <v>7593.6470588235279</v>
      </c>
      <c r="X636" s="1146">
        <f t="shared" si="165"/>
        <v>726.12038303693589</v>
      </c>
      <c r="Y636" s="1146">
        <f t="shared" si="166"/>
        <v>7000.0506441941507</v>
      </c>
      <c r="Z636" s="1146">
        <f t="shared" si="167"/>
        <v>7593.6470588235279</v>
      </c>
      <c r="AA636" s="1146">
        <f t="shared" si="168"/>
        <v>-593.59641462937725</v>
      </c>
      <c r="AB636" s="1146">
        <f t="shared" si="169"/>
        <v>9539.9999999999982</v>
      </c>
      <c r="AC636" s="1146">
        <f t="shared" si="170"/>
        <v>7593.6470588235279</v>
      </c>
      <c r="AD636" s="1146">
        <f t="shared" si="171"/>
        <v>1946.3529411764703</v>
      </c>
      <c r="AE636" s="1146">
        <f t="shared" si="172"/>
        <v>8026.7247386759582</v>
      </c>
      <c r="AF636" s="1146">
        <f t="shared" si="173"/>
        <v>7593.6470588235279</v>
      </c>
      <c r="AG636" s="1146">
        <f t="shared" si="174"/>
        <v>433.07767985243026</v>
      </c>
    </row>
    <row r="637" spans="2:33" ht="14.4">
      <c r="B637" s="1134">
        <v>6044820</v>
      </c>
      <c r="C637" s="1135"/>
      <c r="D637" s="1134">
        <v>127314</v>
      </c>
      <c r="E637" s="1153">
        <v>42226</v>
      </c>
      <c r="F637" s="1154">
        <v>30000</v>
      </c>
      <c r="G637" s="1155">
        <v>10</v>
      </c>
      <c r="H637" s="1154">
        <v>30000</v>
      </c>
      <c r="I637" s="1155">
        <v>15</v>
      </c>
      <c r="J637" s="1156">
        <v>8905</v>
      </c>
      <c r="K637" s="1157"/>
      <c r="L637" s="1158">
        <v>42339</v>
      </c>
      <c r="M637" s="269">
        <f t="shared" si="180"/>
        <v>4</v>
      </c>
      <c r="N637" s="1074">
        <f t="shared" si="178"/>
        <v>150</v>
      </c>
      <c r="O637" s="1087">
        <f t="shared" si="181"/>
        <v>2748</v>
      </c>
      <c r="P637" s="269">
        <f t="shared" si="179"/>
        <v>1</v>
      </c>
      <c r="Q637" s="269" t="str">
        <f t="shared" si="182"/>
        <v/>
      </c>
      <c r="R637" s="1142"/>
      <c r="S637" s="1143" t="str">
        <f t="shared" si="183" ref="S637:S690">IF(F637=H637,"Same Size",IF(F637&lt;H637,"Upsize","Downsize"))</f>
        <v>Same Size</v>
      </c>
      <c r="T637" s="1144">
        <f t="shared" si="184" ref="T637:T690">($F637/$H637)*$K$35</f>
        <v>2228</v>
      </c>
      <c r="U637" s="1144">
        <f t="shared" si="185" ref="U637:U690">($F637/$H637)*$K$36</f>
        <v>889</v>
      </c>
      <c r="V637" s="1146">
        <f t="shared" si="186" ref="V637:V690">$P637*$F637/1000*($T637/$G637+$U637/$K$33)</f>
        <v>10147.636363636364</v>
      </c>
      <c r="W637" s="1146">
        <f t="shared" si="187" ref="W637:W690">$P637*$H637/1000*($T637/$I637+$U637/$K$32)</f>
        <v>7593.6470588235297</v>
      </c>
      <c r="X637" s="1146">
        <f t="shared" si="188" ref="X637:X690">V637-W637</f>
        <v>2553.9893048128342</v>
      </c>
      <c r="Y637" s="1146">
        <f t="shared" si="189" ref="Y637:Y690">$P637*$F637/1000*($T637/14+$U637/$K$34)</f>
        <v>8026.7247386759582</v>
      </c>
      <c r="Z637" s="1146">
        <f t="shared" si="190" ref="Z637:Z690">$P637*$H637/1000*($T637/$I637+$U637/$K$32)</f>
        <v>7593.6470588235297</v>
      </c>
      <c r="AA637" s="1146">
        <f t="shared" si="191" ref="AA637:AA690">Y637-Z637</f>
        <v>433.07767985242845</v>
      </c>
      <c r="AB637" s="1146">
        <f t="shared" si="192" ref="AB637:AB690">$P637*$H637/1000*($T637/$G637+$U637/$K$33)</f>
        <v>10147.636363636364</v>
      </c>
      <c r="AC637" s="1146">
        <f t="shared" si="193" ref="AC637:AC690">$P637*$H637/1000*($T637/$I637+$U637/$K$32)</f>
        <v>7593.6470588235297</v>
      </c>
      <c r="AD637" s="1146">
        <f t="shared" si="194" ref="AD637:AD690">AB637-AC637</f>
        <v>2553.9893048128342</v>
      </c>
      <c r="AE637" s="1146">
        <f t="shared" si="195" ref="AE637:AE690">$P637*$H637/1000*($T637/14+$U637/$K$34)</f>
        <v>8026.7247386759582</v>
      </c>
      <c r="AF637" s="1146">
        <f t="shared" si="196" ref="AF637:AF690">$P637*$H637/1000*($T637/$I637+$U637/$K$32)</f>
        <v>7593.6470588235297</v>
      </c>
      <c r="AG637" s="1146">
        <f t="shared" si="197" ref="AG637:AG690">AE637-AF637</f>
        <v>433.07767985242845</v>
      </c>
    </row>
    <row r="638" spans="2:33" ht="14.4">
      <c r="B638" s="1134">
        <v>1912195</v>
      </c>
      <c r="C638" s="1135"/>
      <c r="D638" s="1134">
        <v>191219</v>
      </c>
      <c r="E638" s="1153">
        <v>42228</v>
      </c>
      <c r="F638" s="1154">
        <v>35000</v>
      </c>
      <c r="G638" s="1155">
        <v>10</v>
      </c>
      <c r="H638" s="1154">
        <v>46500</v>
      </c>
      <c r="I638" s="1155">
        <v>18</v>
      </c>
      <c r="J638" s="1156">
        <v>7626</v>
      </c>
      <c r="K638" s="1157"/>
      <c r="L638" s="1158">
        <v>42339</v>
      </c>
      <c r="M638" s="269">
        <f t="shared" si="180"/>
        <v>4</v>
      </c>
      <c r="N638" s="1074">
        <f t="shared" si="178"/>
        <v>350</v>
      </c>
      <c r="O638" s="1087">
        <f t="shared" si="181"/>
        <v>2519</v>
      </c>
      <c r="P638" s="269">
        <f t="shared" si="179"/>
        <v>1</v>
      </c>
      <c r="Q638" s="269" t="str">
        <f t="shared" si="182"/>
        <v/>
      </c>
      <c r="R638" s="1142"/>
      <c r="S638" s="1143" t="str">
        <f t="shared" si="183"/>
        <v>Upsize</v>
      </c>
      <c r="T638" s="1144">
        <f t="shared" si="184"/>
        <v>1676.989247311828</v>
      </c>
      <c r="U638" s="1144">
        <f t="shared" si="185"/>
        <v>669.13978494623655</v>
      </c>
      <c r="V638" s="1146">
        <f t="shared" si="186"/>
        <v>8911.0068426197449</v>
      </c>
      <c r="W638" s="1146">
        <f t="shared" si="187"/>
        <v>7992.8104575163397</v>
      </c>
      <c r="X638" s="1146">
        <f t="shared" si="188"/>
        <v>918.19638510340519</v>
      </c>
      <c r="Y638" s="1146">
        <f t="shared" si="189"/>
        <v>7048.557566220823</v>
      </c>
      <c r="Z638" s="1146">
        <f t="shared" si="190"/>
        <v>7992.8104575163397</v>
      </c>
      <c r="AA638" s="1146">
        <f t="shared" si="191"/>
        <v>-944.25289129551675</v>
      </c>
      <c r="AB638" s="1146">
        <f t="shared" si="192"/>
        <v>11838.90909090909</v>
      </c>
      <c r="AC638" s="1146">
        <f t="shared" si="193"/>
        <v>7992.8104575163397</v>
      </c>
      <c r="AD638" s="1146">
        <f t="shared" si="194"/>
        <v>3846.0986333927503</v>
      </c>
      <c r="AE638" s="1146">
        <f t="shared" si="195"/>
        <v>9364.5121951219498</v>
      </c>
      <c r="AF638" s="1146">
        <f t="shared" si="196"/>
        <v>7992.8104575163397</v>
      </c>
      <c r="AG638" s="1146">
        <f t="shared" si="197"/>
        <v>1371.7017376056101</v>
      </c>
    </row>
    <row r="639" spans="2:33" ht="14.4">
      <c r="B639" s="1134">
        <v>3704491</v>
      </c>
      <c r="C639" s="1135"/>
      <c r="D639" s="1134">
        <v>359344</v>
      </c>
      <c r="E639" s="1153">
        <v>42279</v>
      </c>
      <c r="F639" s="1154">
        <v>48000</v>
      </c>
      <c r="G639" s="1155">
        <v>12</v>
      </c>
      <c r="H639" s="1154">
        <v>50500</v>
      </c>
      <c r="I639" s="1155">
        <v>18</v>
      </c>
      <c r="J639" s="1156">
        <v>11004</v>
      </c>
      <c r="K639" s="1157"/>
      <c r="L639" s="1158">
        <v>42339</v>
      </c>
      <c r="M639" s="269">
        <f t="shared" si="180"/>
        <v>4</v>
      </c>
      <c r="N639" s="1074">
        <f t="shared" si="178"/>
        <v>350</v>
      </c>
      <c r="O639" s="1087">
        <f t="shared" si="181"/>
        <v>3282.3333333333335</v>
      </c>
      <c r="P639" s="269">
        <f t="shared" si="179"/>
        <v>1</v>
      </c>
      <c r="Q639" s="269" t="str">
        <f t="shared" si="182"/>
        <v/>
      </c>
      <c r="R639" s="1142"/>
      <c r="S639" s="1143" t="str">
        <f t="shared" si="183"/>
        <v>Upsize</v>
      </c>
      <c r="T639" s="1144">
        <f t="shared" si="184"/>
        <v>2117.7029702970294</v>
      </c>
      <c r="U639" s="1144">
        <f t="shared" si="185"/>
        <v>844.99009900990097</v>
      </c>
      <c r="V639" s="1146">
        <f t="shared" si="186"/>
        <v>13738.282628262827</v>
      </c>
      <c r="W639" s="1146">
        <f t="shared" si="187"/>
        <v>10961.568627450979</v>
      </c>
      <c r="X639" s="1146">
        <f t="shared" si="188"/>
        <v>2776.7140008118477</v>
      </c>
      <c r="Y639" s="1146">
        <f t="shared" si="189"/>
        <v>12206.979404560665</v>
      </c>
      <c r="Z639" s="1146">
        <f t="shared" si="190"/>
        <v>10961.568627450979</v>
      </c>
      <c r="AA639" s="1146">
        <f t="shared" si="191"/>
        <v>1245.410777109686</v>
      </c>
      <c r="AB639" s="1146">
        <f t="shared" si="192"/>
        <v>14453.818181818182</v>
      </c>
      <c r="AC639" s="1146">
        <f t="shared" si="193"/>
        <v>10961.568627450979</v>
      </c>
      <c r="AD639" s="1146">
        <f t="shared" si="194"/>
        <v>3492.249554367203</v>
      </c>
      <c r="AE639" s="1146">
        <f t="shared" si="195"/>
        <v>12842.759581881532</v>
      </c>
      <c r="AF639" s="1146">
        <f t="shared" si="196"/>
        <v>10961.568627450979</v>
      </c>
      <c r="AG639" s="1146">
        <f t="shared" si="197"/>
        <v>1881.1909544305527</v>
      </c>
    </row>
    <row r="640" spans="2:33" ht="14.4">
      <c r="B640" s="1134">
        <v>2999092</v>
      </c>
      <c r="C640" s="1135"/>
      <c r="D640" s="1134">
        <v>199774</v>
      </c>
      <c r="E640" s="1153">
        <v>42283</v>
      </c>
      <c r="F640" s="1154">
        <v>56500</v>
      </c>
      <c r="G640" s="1155">
        <v>10</v>
      </c>
      <c r="H640" s="1154">
        <v>56500</v>
      </c>
      <c r="I640" s="1155">
        <v>15</v>
      </c>
      <c r="J640" s="1156">
        <v>4900</v>
      </c>
      <c r="K640" s="1157"/>
      <c r="L640" s="1158">
        <v>42339</v>
      </c>
      <c r="M640" s="269">
        <f t="shared" si="180"/>
        <v>4</v>
      </c>
      <c r="N640" s="1074">
        <f t="shared" si="178"/>
        <v>325</v>
      </c>
      <c r="O640" s="1087">
        <f t="shared" si="181"/>
        <v>5175.4000000000005</v>
      </c>
      <c r="P640" s="269">
        <f t="shared" si="179"/>
        <v>1</v>
      </c>
      <c r="Q640" s="269" t="str">
        <f t="shared" si="182"/>
        <v/>
      </c>
      <c r="R640" s="1142"/>
      <c r="S640" s="1143" t="str">
        <f t="shared" si="183"/>
        <v>Same Size</v>
      </c>
      <c r="T640" s="1144">
        <f t="shared" si="184"/>
        <v>2228</v>
      </c>
      <c r="U640" s="1144">
        <f t="shared" si="185"/>
        <v>889</v>
      </c>
      <c r="V640" s="1146">
        <f t="shared" si="186"/>
        <v>19111.381818181817</v>
      </c>
      <c r="W640" s="1146">
        <f t="shared" si="187"/>
        <v>14301.36862745098</v>
      </c>
      <c r="X640" s="1146">
        <f t="shared" si="188"/>
        <v>4810.0131907308369</v>
      </c>
      <c r="Y640" s="1146">
        <f t="shared" si="189"/>
        <v>15116.998257839721</v>
      </c>
      <c r="Z640" s="1146">
        <f t="shared" si="190"/>
        <v>14301.36862745098</v>
      </c>
      <c r="AA640" s="1146">
        <f t="shared" si="191"/>
        <v>815.62963038874113</v>
      </c>
      <c r="AB640" s="1146">
        <f t="shared" si="192"/>
        <v>19111.381818181817</v>
      </c>
      <c r="AC640" s="1146">
        <f t="shared" si="193"/>
        <v>14301.36862745098</v>
      </c>
      <c r="AD640" s="1146">
        <f t="shared" si="194"/>
        <v>4810.0131907308369</v>
      </c>
      <c r="AE640" s="1146">
        <f t="shared" si="195"/>
        <v>15116.998257839721</v>
      </c>
      <c r="AF640" s="1146">
        <f t="shared" si="196"/>
        <v>14301.36862745098</v>
      </c>
      <c r="AG640" s="1146">
        <f t="shared" si="197"/>
        <v>815.62963038874113</v>
      </c>
    </row>
    <row r="641" spans="2:33" ht="14.4">
      <c r="B641" s="1134">
        <v>6895700</v>
      </c>
      <c r="C641" s="1135"/>
      <c r="D641" s="1134">
        <v>561413</v>
      </c>
      <c r="E641" s="1153">
        <v>42277</v>
      </c>
      <c r="F641" s="1154">
        <v>40000</v>
      </c>
      <c r="G641" s="1155">
        <v>10</v>
      </c>
      <c r="H641" s="1154">
        <v>47500</v>
      </c>
      <c r="I641" s="1155">
        <v>15</v>
      </c>
      <c r="J641" s="1156">
        <v>8251</v>
      </c>
      <c r="K641" s="1157"/>
      <c r="L641" s="1158">
        <v>42339</v>
      </c>
      <c r="M641" s="269">
        <f t="shared" si="180"/>
        <v>4</v>
      </c>
      <c r="N641" s="1074">
        <f t="shared" si="178"/>
        <v>250</v>
      </c>
      <c r="O641" s="1087">
        <f t="shared" si="181"/>
        <v>2290.0000000000005</v>
      </c>
      <c r="P641" s="269">
        <f t="shared" si="179"/>
        <v>1</v>
      </c>
      <c r="Q641" s="269" t="str">
        <f t="shared" si="182"/>
        <v/>
      </c>
      <c r="R641" s="1142"/>
      <c r="S641" s="1143" t="str">
        <f t="shared" si="183"/>
        <v>Upsize</v>
      </c>
      <c r="T641" s="1144">
        <f t="shared" si="184"/>
        <v>1876.2105263157894</v>
      </c>
      <c r="U641" s="1144">
        <f t="shared" si="185"/>
        <v>748.63157894736833</v>
      </c>
      <c r="V641" s="1146">
        <f t="shared" si="186"/>
        <v>11393.837320574163</v>
      </c>
      <c r="W641" s="1146">
        <f t="shared" si="187"/>
        <v>10124.862745098038</v>
      </c>
      <c r="X641" s="1146">
        <f t="shared" si="188"/>
        <v>1268.9745754761243</v>
      </c>
      <c r="Y641" s="1146">
        <f t="shared" si="189"/>
        <v>9012.4628644782679</v>
      </c>
      <c r="Z641" s="1146">
        <f t="shared" si="190"/>
        <v>10124.862745098038</v>
      </c>
      <c r="AA641" s="1146">
        <f t="shared" si="191"/>
        <v>-1112.3998806197706</v>
      </c>
      <c r="AB641" s="1146">
        <f t="shared" si="192"/>
        <v>13530.181818181818</v>
      </c>
      <c r="AC641" s="1146">
        <f t="shared" si="193"/>
        <v>10124.862745098038</v>
      </c>
      <c r="AD641" s="1146">
        <f t="shared" si="194"/>
        <v>3405.3190730837796</v>
      </c>
      <c r="AE641" s="1146">
        <f t="shared" si="195"/>
        <v>10702.299651567944</v>
      </c>
      <c r="AF641" s="1146">
        <f t="shared" si="196"/>
        <v>10124.862745098038</v>
      </c>
      <c r="AG641" s="1146">
        <f t="shared" si="197"/>
        <v>577.43690646990581</v>
      </c>
    </row>
    <row r="642" spans="2:33" ht="14.4">
      <c r="B642" s="1134">
        <v>2204139</v>
      </c>
      <c r="C642" s="1135"/>
      <c r="D642" s="1134">
        <v>220413</v>
      </c>
      <c r="E642" s="1153">
        <v>42292</v>
      </c>
      <c r="F642" s="1154">
        <v>42000</v>
      </c>
      <c r="G642" s="1155">
        <v>13</v>
      </c>
      <c r="H642" s="1154">
        <v>47500</v>
      </c>
      <c r="I642" s="1155">
        <v>16</v>
      </c>
      <c r="J642" s="1156">
        <v>7700</v>
      </c>
      <c r="K642" s="1157"/>
      <c r="L642" s="1158">
        <v>42339</v>
      </c>
      <c r="M642" s="269">
        <f t="shared" si="180"/>
        <v>4</v>
      </c>
      <c r="N642" s="1074">
        <f t="shared" si="178"/>
        <v>300</v>
      </c>
      <c r="O642" s="1087">
        <f t="shared" si="181"/>
        <v>720.02884615384664</v>
      </c>
      <c r="P642" s="269">
        <f t="shared" si="179"/>
        <v>1</v>
      </c>
      <c r="Q642" s="269" t="str">
        <f t="shared" si="182"/>
        <v/>
      </c>
      <c r="R642" s="1142"/>
      <c r="S642" s="1143" t="str">
        <f t="shared" si="183"/>
        <v>Upsize</v>
      </c>
      <c r="T642" s="1144">
        <f t="shared" si="184"/>
        <v>1970.0210526315789</v>
      </c>
      <c r="U642" s="1144">
        <f t="shared" si="185"/>
        <v>786.06315789473683</v>
      </c>
      <c r="V642" s="1146">
        <f t="shared" si="186"/>
        <v>10652.300625690099</v>
      </c>
      <c r="W642" s="1146">
        <f t="shared" si="187"/>
        <v>10241.205882352942</v>
      </c>
      <c r="X642" s="1146">
        <f t="shared" si="188"/>
        <v>411.09474333715661</v>
      </c>
      <c r="Y642" s="1146">
        <f t="shared" si="189"/>
        <v>9936.24030808729</v>
      </c>
      <c r="Z642" s="1146">
        <f t="shared" si="190"/>
        <v>10241.205882352942</v>
      </c>
      <c r="AA642" s="1146">
        <f t="shared" si="191"/>
        <v>-304.96557426565232</v>
      </c>
      <c r="AB642" s="1146">
        <f t="shared" si="192"/>
        <v>12047.244755244754</v>
      </c>
      <c r="AC642" s="1146">
        <f t="shared" si="193"/>
        <v>10241.205882352942</v>
      </c>
      <c r="AD642" s="1146">
        <f t="shared" si="194"/>
        <v>1806.0388728918115</v>
      </c>
      <c r="AE642" s="1146">
        <f t="shared" si="195"/>
        <v>11237.41463414634</v>
      </c>
      <c r="AF642" s="1146">
        <f t="shared" si="196"/>
        <v>10241.205882352942</v>
      </c>
      <c r="AG642" s="1146">
        <f t="shared" si="197"/>
        <v>996.20875179339782</v>
      </c>
    </row>
    <row r="643" spans="2:33" ht="14.4">
      <c r="B643" s="1134">
        <v>8850468</v>
      </c>
      <c r="C643" s="1135"/>
      <c r="D643" s="1134">
        <v>566172</v>
      </c>
      <c r="E643" s="1153">
        <v>42283</v>
      </c>
      <c r="F643" s="1154">
        <v>30000</v>
      </c>
      <c r="G643" s="1155">
        <v>12</v>
      </c>
      <c r="H643" s="1154">
        <v>42000</v>
      </c>
      <c r="I643" s="1155">
        <v>16</v>
      </c>
      <c r="J643" s="1156">
        <v>5000</v>
      </c>
      <c r="K643" s="1157"/>
      <c r="L643" s="1158">
        <v>42324</v>
      </c>
      <c r="M643" s="269">
        <f t="shared" si="180"/>
        <v>4</v>
      </c>
      <c r="N643" s="1074">
        <f t="shared" si="178"/>
        <v>250</v>
      </c>
      <c r="O643" s="1087">
        <f t="shared" si="181"/>
        <v>-343.50</v>
      </c>
      <c r="P643" s="269">
        <f t="shared" si="179"/>
        <v>1</v>
      </c>
      <c r="Q643" s="269" t="str">
        <f t="shared" si="182"/>
        <v/>
      </c>
      <c r="R643" s="1142"/>
      <c r="S643" s="1143" t="str">
        <f t="shared" si="183"/>
        <v>Upsize</v>
      </c>
      <c r="T643" s="1144">
        <f t="shared" si="184"/>
        <v>1591.4285714285716</v>
      </c>
      <c r="U643" s="1144">
        <f t="shared" si="185"/>
        <v>635</v>
      </c>
      <c r="V643" s="1146">
        <f t="shared" si="186"/>
        <v>6452.5974025974028</v>
      </c>
      <c r="W643" s="1146">
        <f t="shared" si="187"/>
        <v>7315.1470588235288</v>
      </c>
      <c r="X643" s="1146">
        <f t="shared" si="188"/>
        <v>-862.54965622612599</v>
      </c>
      <c r="Y643" s="1146">
        <f t="shared" si="189"/>
        <v>5733.3748133399704</v>
      </c>
      <c r="Z643" s="1146">
        <f t="shared" si="190"/>
        <v>7315.1470588235288</v>
      </c>
      <c r="AA643" s="1146">
        <f t="shared" si="191"/>
        <v>-1581.7722454835584</v>
      </c>
      <c r="AB643" s="1146">
        <f t="shared" si="192"/>
        <v>9033.636363636364</v>
      </c>
      <c r="AC643" s="1146">
        <f t="shared" si="193"/>
        <v>7315.1470588235288</v>
      </c>
      <c r="AD643" s="1146">
        <f t="shared" si="194"/>
        <v>1718.4893048128351</v>
      </c>
      <c r="AE643" s="1146">
        <f t="shared" si="195"/>
        <v>8026.7247386759591</v>
      </c>
      <c r="AF643" s="1146">
        <f t="shared" si="196"/>
        <v>7315.1470588235288</v>
      </c>
      <c r="AG643" s="1146">
        <f t="shared" si="197"/>
        <v>711.57767985243026</v>
      </c>
    </row>
    <row r="644" spans="2:33" ht="14.4">
      <c r="B644" s="1134">
        <v>8850468</v>
      </c>
      <c r="C644" s="1135"/>
      <c r="D644" s="1134">
        <v>566172</v>
      </c>
      <c r="E644" s="1153">
        <v>42283</v>
      </c>
      <c r="F644" s="1154">
        <v>50000</v>
      </c>
      <c r="G644" s="1155">
        <v>10</v>
      </c>
      <c r="H644" s="1154">
        <v>56000</v>
      </c>
      <c r="I644" s="1155">
        <v>14</v>
      </c>
      <c r="J644" s="1156">
        <v>6400</v>
      </c>
      <c r="K644" s="1157"/>
      <c r="L644" s="1158">
        <v>42324</v>
      </c>
      <c r="M644" s="269">
        <f t="shared" si="180"/>
        <v>4</v>
      </c>
      <c r="N644" s="1074" t="str">
        <f t="shared" si="178"/>
        <v>No Rebate</v>
      </c>
      <c r="O644" s="1087">
        <f t="shared" si="181"/>
        <v>2748</v>
      </c>
      <c r="P644" s="269">
        <v>0</v>
      </c>
      <c r="Q644" s="269">
        <v>1</v>
      </c>
      <c r="R644" s="1142"/>
      <c r="S644" s="1143" t="str">
        <f t="shared" si="183"/>
        <v>Upsize</v>
      </c>
      <c r="T644" s="1144">
        <f t="shared" si="184"/>
        <v>1989.2857142857145</v>
      </c>
      <c r="U644" s="1144">
        <f t="shared" si="185"/>
        <v>793.75</v>
      </c>
      <c r="V644" s="1146">
        <f t="shared" si="186"/>
        <v>0</v>
      </c>
      <c r="W644" s="1146">
        <f t="shared" si="187"/>
        <v>0</v>
      </c>
      <c r="X644" s="1146">
        <f t="shared" si="188"/>
        <v>0</v>
      </c>
      <c r="Y644" s="1146">
        <f t="shared" si="189"/>
        <v>0</v>
      </c>
      <c r="Z644" s="1146">
        <f t="shared" si="190"/>
        <v>0</v>
      </c>
      <c r="AA644" s="1146">
        <f t="shared" si="191"/>
        <v>0</v>
      </c>
      <c r="AB644" s="1146">
        <f t="shared" si="192"/>
        <v>0</v>
      </c>
      <c r="AC644" s="1146">
        <f t="shared" si="193"/>
        <v>0</v>
      </c>
      <c r="AD644" s="1146">
        <f t="shared" si="194"/>
        <v>0</v>
      </c>
      <c r="AE644" s="1146">
        <f t="shared" si="195"/>
        <v>0</v>
      </c>
      <c r="AF644" s="1146">
        <f t="shared" si="196"/>
        <v>0</v>
      </c>
      <c r="AG644" s="1146">
        <f t="shared" si="197"/>
        <v>0</v>
      </c>
    </row>
    <row r="645" spans="2:33" ht="14.4">
      <c r="B645" s="1134">
        <v>8568230</v>
      </c>
      <c r="C645" s="1135"/>
      <c r="D645" s="1134">
        <v>299133</v>
      </c>
      <c r="E645" s="1153">
        <v>42298</v>
      </c>
      <c r="F645" s="1154">
        <v>40000</v>
      </c>
      <c r="G645" s="1155">
        <v>14</v>
      </c>
      <c r="H645" s="1154">
        <v>46000</v>
      </c>
      <c r="I645" s="1155">
        <v>14</v>
      </c>
      <c r="J645" s="1156">
        <v>5100</v>
      </c>
      <c r="K645" s="1157"/>
      <c r="L645" s="1158">
        <v>42320</v>
      </c>
      <c r="M645" s="269">
        <f t="shared" si="180"/>
        <v>4</v>
      </c>
      <c r="N645" s="1074" t="str">
        <f t="shared" si="178"/>
        <v>No Rebate</v>
      </c>
      <c r="O645" s="1087">
        <f t="shared" si="181"/>
        <v>-1177.7142857142856</v>
      </c>
      <c r="P645" s="269">
        <v>0</v>
      </c>
      <c r="Q645" s="269">
        <v>1</v>
      </c>
      <c r="R645" s="1142"/>
      <c r="S645" s="1143" t="str">
        <f t="shared" si="183"/>
        <v>Upsize</v>
      </c>
      <c r="T645" s="1144">
        <f t="shared" si="184"/>
        <v>1937.391304347826</v>
      </c>
      <c r="U645" s="1144">
        <f t="shared" si="185"/>
        <v>773.04347826086951</v>
      </c>
      <c r="V645" s="1146">
        <f t="shared" si="186"/>
        <v>0</v>
      </c>
      <c r="W645" s="1146">
        <f t="shared" si="187"/>
        <v>0</v>
      </c>
      <c r="X645" s="1146">
        <f t="shared" si="188"/>
        <v>0</v>
      </c>
      <c r="Y645" s="1146">
        <f t="shared" si="189"/>
        <v>0</v>
      </c>
      <c r="Z645" s="1146">
        <f t="shared" si="190"/>
        <v>0</v>
      </c>
      <c r="AA645" s="1146">
        <f t="shared" si="191"/>
        <v>0</v>
      </c>
      <c r="AB645" s="1146">
        <f t="shared" si="192"/>
        <v>0</v>
      </c>
      <c r="AC645" s="1146">
        <f t="shared" si="193"/>
        <v>0</v>
      </c>
      <c r="AD645" s="1146">
        <f t="shared" si="194"/>
        <v>0</v>
      </c>
      <c r="AE645" s="1146">
        <f t="shared" si="195"/>
        <v>0</v>
      </c>
      <c r="AF645" s="1146">
        <f t="shared" si="196"/>
        <v>0</v>
      </c>
      <c r="AG645" s="1146">
        <f t="shared" si="197"/>
        <v>0</v>
      </c>
    </row>
    <row r="646" spans="2:33" ht="14.4">
      <c r="B646" s="1134">
        <v>8665143</v>
      </c>
      <c r="C646" s="1135"/>
      <c r="D646" s="1134">
        <v>8665143</v>
      </c>
      <c r="E646" s="1153">
        <v>42277</v>
      </c>
      <c r="F646" s="1154">
        <v>20000</v>
      </c>
      <c r="G646" s="1155">
        <v>14</v>
      </c>
      <c r="H646" s="1154">
        <v>40000</v>
      </c>
      <c r="I646" s="1155">
        <v>14</v>
      </c>
      <c r="J646" s="1156">
        <v>5000</v>
      </c>
      <c r="K646" s="1157"/>
      <c r="L646" s="1158">
        <v>42320</v>
      </c>
      <c r="M646" s="269">
        <f t="shared" si="180"/>
        <v>4</v>
      </c>
      <c r="N646" s="1074" t="str">
        <f t="shared" si="198" ref="N646:N677">IF(L646&gt;40000,IFERROR(INDEX($E$12:$I$19,IF(H646&lt;=15000,1,IF(H646&gt;60000,"No Rebate",IF(H646&gt;54000,8,MIN(ROUND((H646-0.001)/6000,0)-1,7)))),IF(I646&lt;15,0,IF(I646&gt;18.5,5,ROUND(I646-14.001,0)))),"No Rebate"),"")</f>
        <v>No Rebate</v>
      </c>
      <c r="O646" s="1087">
        <f t="shared" si="181"/>
        <v>-3925.7142857142862</v>
      </c>
      <c r="P646" s="269">
        <v>0</v>
      </c>
      <c r="Q646" s="269">
        <v>1</v>
      </c>
      <c r="R646" s="1142"/>
      <c r="S646" s="1143" t="str">
        <f t="shared" si="183"/>
        <v>Upsize</v>
      </c>
      <c r="T646" s="1144">
        <f t="shared" si="184"/>
        <v>1114</v>
      </c>
      <c r="U646" s="1144">
        <f t="shared" si="185"/>
        <v>444.50</v>
      </c>
      <c r="V646" s="1146">
        <f t="shared" si="186"/>
        <v>0</v>
      </c>
      <c r="W646" s="1146">
        <f t="shared" si="187"/>
        <v>0</v>
      </c>
      <c r="X646" s="1146">
        <f t="shared" si="188"/>
        <v>0</v>
      </c>
      <c r="Y646" s="1146">
        <f t="shared" si="189"/>
        <v>0</v>
      </c>
      <c r="Z646" s="1146">
        <f t="shared" si="190"/>
        <v>0</v>
      </c>
      <c r="AA646" s="1146">
        <f t="shared" si="191"/>
        <v>0</v>
      </c>
      <c r="AB646" s="1146">
        <f t="shared" si="192"/>
        <v>0</v>
      </c>
      <c r="AC646" s="1146">
        <f t="shared" si="193"/>
        <v>0</v>
      </c>
      <c r="AD646" s="1146">
        <f t="shared" si="194"/>
        <v>0</v>
      </c>
      <c r="AE646" s="1146">
        <f t="shared" si="195"/>
        <v>0</v>
      </c>
      <c r="AF646" s="1146">
        <f t="shared" si="196"/>
        <v>0</v>
      </c>
      <c r="AG646" s="1146">
        <f t="shared" si="197"/>
        <v>0</v>
      </c>
    </row>
    <row r="647" spans="2:33" ht="14.4">
      <c r="B647" s="1134">
        <v>8814051</v>
      </c>
      <c r="C647" s="1135"/>
      <c r="D647" s="1134">
        <v>8814051</v>
      </c>
      <c r="E647" s="1153">
        <v>42112</v>
      </c>
      <c r="F647" s="1154">
        <v>30000</v>
      </c>
      <c r="G647" s="1155">
        <v>10</v>
      </c>
      <c r="H647" s="1154">
        <v>42000</v>
      </c>
      <c r="I647" s="1155">
        <v>16</v>
      </c>
      <c r="J647" s="1156">
        <v>8312</v>
      </c>
      <c r="K647" s="1157"/>
      <c r="L647" s="1158">
        <v>42311</v>
      </c>
      <c r="M647" s="269">
        <f t="shared" si="180"/>
        <v>4</v>
      </c>
      <c r="N647" s="1074">
        <f t="shared" si="198"/>
        <v>250</v>
      </c>
      <c r="O647" s="1087">
        <f t="shared" si="181"/>
        <v>1030.50</v>
      </c>
      <c r="P647" s="269">
        <v>0</v>
      </c>
      <c r="Q647" s="269">
        <v>1</v>
      </c>
      <c r="R647" s="1142"/>
      <c r="S647" s="1143" t="str">
        <f t="shared" si="183"/>
        <v>Upsize</v>
      </c>
      <c r="T647" s="1144">
        <f t="shared" si="184"/>
        <v>1591.4285714285716</v>
      </c>
      <c r="U647" s="1144">
        <f t="shared" si="185"/>
        <v>635</v>
      </c>
      <c r="V647" s="1146">
        <f t="shared" si="186"/>
        <v>0</v>
      </c>
      <c r="W647" s="1146">
        <f t="shared" si="187"/>
        <v>0</v>
      </c>
      <c r="X647" s="1146">
        <f t="shared" si="188"/>
        <v>0</v>
      </c>
      <c r="Y647" s="1146">
        <f t="shared" si="189"/>
        <v>0</v>
      </c>
      <c r="Z647" s="1146">
        <f t="shared" si="190"/>
        <v>0</v>
      </c>
      <c r="AA647" s="1146">
        <f t="shared" si="191"/>
        <v>0</v>
      </c>
      <c r="AB647" s="1146">
        <f t="shared" si="192"/>
        <v>0</v>
      </c>
      <c r="AC647" s="1146">
        <f t="shared" si="193"/>
        <v>0</v>
      </c>
      <c r="AD647" s="1146">
        <f t="shared" si="194"/>
        <v>0</v>
      </c>
      <c r="AE647" s="1146">
        <f t="shared" si="195"/>
        <v>0</v>
      </c>
      <c r="AF647" s="1146">
        <f t="shared" si="196"/>
        <v>0</v>
      </c>
      <c r="AG647" s="1146">
        <f t="shared" si="197"/>
        <v>0</v>
      </c>
    </row>
    <row r="648" spans="2:33" ht="14.4">
      <c r="B648" s="1134">
        <v>6163356</v>
      </c>
      <c r="C648" s="1135"/>
      <c r="D648" s="1134">
        <v>6163356</v>
      </c>
      <c r="E648" s="1153">
        <v>42268</v>
      </c>
      <c r="F648" s="1154">
        <v>30000</v>
      </c>
      <c r="G648" s="1155">
        <v>10</v>
      </c>
      <c r="H648" s="1154">
        <v>41000</v>
      </c>
      <c r="I648" s="1155">
        <v>13</v>
      </c>
      <c r="J648" s="1156">
        <v>3400</v>
      </c>
      <c r="K648" s="1157"/>
      <c r="L648" s="1158">
        <v>42292</v>
      </c>
      <c r="M648" s="269">
        <f t="shared" si="180"/>
        <v>4</v>
      </c>
      <c r="N648" s="1074" t="str">
        <f t="shared" si="198"/>
        <v>No Rebate</v>
      </c>
      <c r="O648" s="1087">
        <f t="shared" si="181"/>
        <v>-422.76923076923072</v>
      </c>
      <c r="P648" s="269">
        <v>0</v>
      </c>
      <c r="Q648" s="269">
        <v>1</v>
      </c>
      <c r="R648" s="1142"/>
      <c r="S648" s="1143" t="str">
        <f t="shared" si="183"/>
        <v>Upsize</v>
      </c>
      <c r="T648" s="1144">
        <f t="shared" si="184"/>
        <v>1630.2439024390244</v>
      </c>
      <c r="U648" s="1144">
        <f t="shared" si="185"/>
        <v>650.48780487804879</v>
      </c>
      <c r="V648" s="1146">
        <f t="shared" si="186"/>
        <v>0</v>
      </c>
      <c r="W648" s="1146">
        <f t="shared" si="187"/>
        <v>0</v>
      </c>
      <c r="X648" s="1146">
        <f t="shared" si="188"/>
        <v>0</v>
      </c>
      <c r="Y648" s="1146">
        <f t="shared" si="189"/>
        <v>0</v>
      </c>
      <c r="Z648" s="1146">
        <f t="shared" si="190"/>
        <v>0</v>
      </c>
      <c r="AA648" s="1146">
        <f t="shared" si="191"/>
        <v>0</v>
      </c>
      <c r="AB648" s="1146">
        <f t="shared" si="192"/>
        <v>0</v>
      </c>
      <c r="AC648" s="1146">
        <f t="shared" si="193"/>
        <v>0</v>
      </c>
      <c r="AD648" s="1146">
        <f t="shared" si="194"/>
        <v>0</v>
      </c>
      <c r="AE648" s="1146">
        <f t="shared" si="195"/>
        <v>0</v>
      </c>
      <c r="AF648" s="1146">
        <f t="shared" si="196"/>
        <v>0</v>
      </c>
      <c r="AG648" s="1146">
        <f t="shared" si="197"/>
        <v>0</v>
      </c>
    </row>
    <row r="649" spans="2:33" ht="14.4">
      <c r="B649" s="1134">
        <v>972943</v>
      </c>
      <c r="C649" s="1135"/>
      <c r="D649" s="1134">
        <v>97294</v>
      </c>
      <c r="E649" s="1153">
        <v>42346</v>
      </c>
      <c r="F649" s="1154">
        <v>30000</v>
      </c>
      <c r="G649" s="1155">
        <v>10</v>
      </c>
      <c r="H649" s="1154">
        <v>42000</v>
      </c>
      <c r="I649" s="1155">
        <v>15</v>
      </c>
      <c r="J649" s="1156">
        <v>5620</v>
      </c>
      <c r="K649" s="1157"/>
      <c r="L649" s="1158">
        <v>42360</v>
      </c>
      <c r="M649" s="269">
        <f t="shared" si="180"/>
        <v>4</v>
      </c>
      <c r="N649" s="1074">
        <f t="shared" si="198"/>
        <v>225</v>
      </c>
      <c r="O649" s="1087">
        <f t="shared" si="181"/>
        <v>549.60</v>
      </c>
      <c r="P649" s="269">
        <f t="shared" si="199" ref="P649:P684">IF(L649&gt;0,1,"")</f>
        <v>1</v>
      </c>
      <c r="Q649" s="269" t="str">
        <f t="shared" si="200" ref="Q649:Q684">IF(K649&gt;0,1,"")</f>
        <v/>
      </c>
      <c r="R649" s="1142"/>
      <c r="S649" s="1143" t="str">
        <f t="shared" si="183"/>
        <v>Upsize</v>
      </c>
      <c r="T649" s="1144">
        <f t="shared" si="184"/>
        <v>1591.4285714285716</v>
      </c>
      <c r="U649" s="1144">
        <f t="shared" si="185"/>
        <v>635</v>
      </c>
      <c r="V649" s="1146">
        <f t="shared" si="186"/>
        <v>7248.3116883116891</v>
      </c>
      <c r="W649" s="1146">
        <f t="shared" si="187"/>
        <v>7593.6470588235297</v>
      </c>
      <c r="X649" s="1146">
        <f t="shared" si="188"/>
        <v>-345.33537051184067</v>
      </c>
      <c r="Y649" s="1146">
        <f t="shared" si="189"/>
        <v>5733.3748133399704</v>
      </c>
      <c r="Z649" s="1146">
        <f t="shared" si="190"/>
        <v>7593.6470588235297</v>
      </c>
      <c r="AA649" s="1146">
        <f t="shared" si="191"/>
        <v>-1860.2722454835594</v>
      </c>
      <c r="AB649" s="1146">
        <f t="shared" si="192"/>
        <v>10147.636363636364</v>
      </c>
      <c r="AC649" s="1146">
        <f t="shared" si="193"/>
        <v>7593.6470588235297</v>
      </c>
      <c r="AD649" s="1146">
        <f t="shared" si="194"/>
        <v>2553.9893048128342</v>
      </c>
      <c r="AE649" s="1146">
        <f t="shared" si="195"/>
        <v>8026.7247386759591</v>
      </c>
      <c r="AF649" s="1146">
        <f t="shared" si="196"/>
        <v>7593.6470588235297</v>
      </c>
      <c r="AG649" s="1146">
        <f t="shared" si="197"/>
        <v>433.07767985242936</v>
      </c>
    </row>
    <row r="650" spans="2:33" ht="14.4">
      <c r="B650" s="1134">
        <v>2788370</v>
      </c>
      <c r="C650" s="1135"/>
      <c r="D650" s="1134">
        <v>85609</v>
      </c>
      <c r="E650" s="1153">
        <v>42079</v>
      </c>
      <c r="F650" s="1154">
        <v>40000</v>
      </c>
      <c r="G650" s="1155">
        <v>10</v>
      </c>
      <c r="H650" s="1154">
        <v>47500</v>
      </c>
      <c r="I650" s="1155">
        <v>15</v>
      </c>
      <c r="J650" s="1156">
        <v>5800</v>
      </c>
      <c r="K650" s="1157"/>
      <c r="L650" s="1158">
        <v>42360</v>
      </c>
      <c r="M650" s="269">
        <f t="shared" si="180"/>
        <v>4</v>
      </c>
      <c r="N650" s="1074">
        <f t="shared" si="198"/>
        <v>250</v>
      </c>
      <c r="O650" s="1087">
        <f t="shared" si="181"/>
        <v>2290.0000000000005</v>
      </c>
      <c r="P650" s="269">
        <f t="shared" si="199"/>
        <v>1</v>
      </c>
      <c r="Q650" s="269" t="str">
        <f t="shared" si="200"/>
        <v/>
      </c>
      <c r="R650" s="1142"/>
      <c r="S650" s="1143" t="str">
        <f t="shared" si="183"/>
        <v>Upsize</v>
      </c>
      <c r="T650" s="1144">
        <f t="shared" si="184"/>
        <v>1876.2105263157894</v>
      </c>
      <c r="U650" s="1144">
        <f t="shared" si="185"/>
        <v>748.63157894736833</v>
      </c>
      <c r="V650" s="1146">
        <f t="shared" si="186"/>
        <v>11393.837320574163</v>
      </c>
      <c r="W650" s="1146">
        <f t="shared" si="187"/>
        <v>10124.862745098038</v>
      </c>
      <c r="X650" s="1146">
        <f t="shared" si="188"/>
        <v>1268.9745754761243</v>
      </c>
      <c r="Y650" s="1146">
        <f t="shared" si="189"/>
        <v>9012.4628644782679</v>
      </c>
      <c r="Z650" s="1146">
        <f t="shared" si="190"/>
        <v>10124.862745098038</v>
      </c>
      <c r="AA650" s="1146">
        <f t="shared" si="191"/>
        <v>-1112.3998806197706</v>
      </c>
      <c r="AB650" s="1146">
        <f t="shared" si="192"/>
        <v>13530.181818181818</v>
      </c>
      <c r="AC650" s="1146">
        <f t="shared" si="193"/>
        <v>10124.862745098038</v>
      </c>
      <c r="AD650" s="1146">
        <f t="shared" si="194"/>
        <v>3405.3190730837796</v>
      </c>
      <c r="AE650" s="1146">
        <f t="shared" si="195"/>
        <v>10702.299651567944</v>
      </c>
      <c r="AF650" s="1146">
        <f t="shared" si="196"/>
        <v>10124.862745098038</v>
      </c>
      <c r="AG650" s="1146">
        <f t="shared" si="197"/>
        <v>577.43690646990581</v>
      </c>
    </row>
    <row r="651" spans="2:33" ht="14.4">
      <c r="B651" s="1134">
        <v>4507893</v>
      </c>
      <c r="C651" s="1135"/>
      <c r="D651" s="1134">
        <v>187808</v>
      </c>
      <c r="E651" s="1153">
        <v>42151</v>
      </c>
      <c r="F651" s="1154">
        <v>40000</v>
      </c>
      <c r="G651" s="1155">
        <v>10</v>
      </c>
      <c r="H651" s="1154">
        <v>46500</v>
      </c>
      <c r="I651" s="1155">
        <v>15</v>
      </c>
      <c r="J651" s="1156">
        <v>5600</v>
      </c>
      <c r="K651" s="1157"/>
      <c r="L651" s="1158">
        <v>42360</v>
      </c>
      <c r="M651" s="269">
        <f t="shared" si="180"/>
        <v>4</v>
      </c>
      <c r="N651" s="1074">
        <f t="shared" si="198"/>
        <v>250</v>
      </c>
      <c r="O651" s="1087">
        <f t="shared" si="181"/>
        <v>2473.2000000000003</v>
      </c>
      <c r="P651" s="269">
        <f t="shared" si="199"/>
        <v>1</v>
      </c>
      <c r="Q651" s="269" t="str">
        <f t="shared" si="200"/>
        <v/>
      </c>
      <c r="R651" s="1142"/>
      <c r="S651" s="1143" t="str">
        <f t="shared" si="183"/>
        <v>Upsize</v>
      </c>
      <c r="T651" s="1144">
        <f t="shared" si="184"/>
        <v>1916.5591397849462</v>
      </c>
      <c r="U651" s="1144">
        <f t="shared" si="185"/>
        <v>764.73118279569894</v>
      </c>
      <c r="V651" s="1146">
        <f t="shared" si="186"/>
        <v>11638.866080156404</v>
      </c>
      <c r="W651" s="1146">
        <f t="shared" si="187"/>
        <v>10124.862745098038</v>
      </c>
      <c r="X651" s="1146">
        <f t="shared" si="188"/>
        <v>1514.0033350583653</v>
      </c>
      <c r="Y651" s="1146">
        <f t="shared" si="189"/>
        <v>9206.2792701659746</v>
      </c>
      <c r="Z651" s="1146">
        <f t="shared" si="190"/>
        <v>10124.862745098038</v>
      </c>
      <c r="AA651" s="1146">
        <f t="shared" si="191"/>
        <v>-918.58347493206384</v>
      </c>
      <c r="AB651" s="1146">
        <f t="shared" si="192"/>
        <v>13530.18181818182</v>
      </c>
      <c r="AC651" s="1146">
        <f t="shared" si="193"/>
        <v>10124.862745098038</v>
      </c>
      <c r="AD651" s="1146">
        <f t="shared" si="194"/>
        <v>3405.3190730837814</v>
      </c>
      <c r="AE651" s="1146">
        <f t="shared" si="195"/>
        <v>10702.299651567944</v>
      </c>
      <c r="AF651" s="1146">
        <f t="shared" si="196"/>
        <v>10124.862745098038</v>
      </c>
      <c r="AG651" s="1146">
        <f t="shared" si="197"/>
        <v>577.43690646990581</v>
      </c>
    </row>
    <row r="652" spans="2:33" ht="14.4">
      <c r="B652" s="1134">
        <v>8889671</v>
      </c>
      <c r="C652" s="1135"/>
      <c r="D652" s="1134">
        <v>147635</v>
      </c>
      <c r="E652" s="1153">
        <v>42309</v>
      </c>
      <c r="F652" s="1154">
        <v>40000</v>
      </c>
      <c r="G652" s="1155">
        <v>10</v>
      </c>
      <c r="H652" s="1154">
        <v>48000</v>
      </c>
      <c r="I652" s="1155">
        <v>17</v>
      </c>
      <c r="J652" s="1156">
        <v>10044</v>
      </c>
      <c r="K652" s="1157"/>
      <c r="L652" s="1158">
        <v>42360</v>
      </c>
      <c r="M652" s="269">
        <f t="shared" si="180"/>
        <v>4</v>
      </c>
      <c r="N652" s="1074">
        <f t="shared" si="198"/>
        <v>325</v>
      </c>
      <c r="O652" s="1087">
        <f t="shared" si="181"/>
        <v>3232.9411764705887</v>
      </c>
      <c r="P652" s="269">
        <f t="shared" si="199"/>
        <v>1</v>
      </c>
      <c r="Q652" s="269" t="str">
        <f t="shared" si="200"/>
        <v/>
      </c>
      <c r="R652" s="1142"/>
      <c r="S652" s="1143" t="str">
        <f t="shared" si="183"/>
        <v>Upsize</v>
      </c>
      <c r="T652" s="1144">
        <f t="shared" si="184"/>
        <v>1856.6666666666667</v>
      </c>
      <c r="U652" s="1144">
        <f t="shared" si="185"/>
        <v>740.83333333333337</v>
      </c>
      <c r="V652" s="1146">
        <f t="shared" si="186"/>
        <v>11275.151515151516</v>
      </c>
      <c r="W652" s="1146">
        <f t="shared" si="187"/>
        <v>9425.8823529411766</v>
      </c>
      <c r="X652" s="1146">
        <f t="shared" si="188"/>
        <v>1849.2691622103394</v>
      </c>
      <c r="Y652" s="1146">
        <f t="shared" si="189"/>
        <v>8918.5830429732869</v>
      </c>
      <c r="Z652" s="1146">
        <f t="shared" si="190"/>
        <v>9425.8823529411766</v>
      </c>
      <c r="AA652" s="1146">
        <f t="shared" si="191"/>
        <v>-507.29930996788971</v>
      </c>
      <c r="AB652" s="1146">
        <f t="shared" si="192"/>
        <v>13530.181818181818</v>
      </c>
      <c r="AC652" s="1146">
        <f t="shared" si="193"/>
        <v>9425.8823529411766</v>
      </c>
      <c r="AD652" s="1146">
        <f t="shared" si="194"/>
        <v>4104.2994652406414</v>
      </c>
      <c r="AE652" s="1146">
        <f t="shared" si="195"/>
        <v>10702.299651567944</v>
      </c>
      <c r="AF652" s="1146">
        <f t="shared" si="196"/>
        <v>9425.8823529411766</v>
      </c>
      <c r="AG652" s="1146">
        <f t="shared" si="197"/>
        <v>1276.4172986267677</v>
      </c>
    </row>
    <row r="653" spans="2:33" ht="14.4">
      <c r="B653" s="1134">
        <v>910943</v>
      </c>
      <c r="C653" s="1135"/>
      <c r="D653" s="1134">
        <v>91094</v>
      </c>
      <c r="E653" s="1153">
        <v>42300</v>
      </c>
      <c r="F653" s="1154">
        <v>20000</v>
      </c>
      <c r="G653" s="1155">
        <v>10</v>
      </c>
      <c r="H653" s="1154">
        <v>28800</v>
      </c>
      <c r="I653" s="1155">
        <v>15</v>
      </c>
      <c r="J653" s="1156">
        <v>4339</v>
      </c>
      <c r="K653" s="1157"/>
      <c r="L653" s="1158">
        <v>42360</v>
      </c>
      <c r="M653" s="269">
        <f t="shared" si="180"/>
        <v>4</v>
      </c>
      <c r="N653" s="1074">
        <f t="shared" si="198"/>
        <v>150</v>
      </c>
      <c r="O653" s="1087">
        <f t="shared" si="181"/>
        <v>219.84000000000003</v>
      </c>
      <c r="P653" s="269">
        <f t="shared" si="199"/>
        <v>1</v>
      </c>
      <c r="Q653" s="269" t="str">
        <f t="shared" si="200"/>
        <v/>
      </c>
      <c r="R653" s="1142"/>
      <c r="S653" s="1143" t="str">
        <f t="shared" si="183"/>
        <v>Upsize</v>
      </c>
      <c r="T653" s="1144">
        <f t="shared" si="184"/>
        <v>1547.2222222222222</v>
      </c>
      <c r="U653" s="1144">
        <f t="shared" si="185"/>
        <v>617.36111111111109</v>
      </c>
      <c r="V653" s="1146">
        <f t="shared" si="186"/>
        <v>4697.9797979797977</v>
      </c>
      <c r="W653" s="1146">
        <f t="shared" si="187"/>
        <v>5062.4313725490192</v>
      </c>
      <c r="X653" s="1146">
        <f t="shared" si="188"/>
        <v>-364.45157456922152</v>
      </c>
      <c r="Y653" s="1146">
        <f t="shared" si="189"/>
        <v>3716.076267905536</v>
      </c>
      <c r="Z653" s="1146">
        <f t="shared" si="190"/>
        <v>5062.4313725490192</v>
      </c>
      <c r="AA653" s="1146">
        <f t="shared" si="191"/>
        <v>-1346.3551046434832</v>
      </c>
      <c r="AB653" s="1146">
        <f t="shared" si="192"/>
        <v>6765.090909090909</v>
      </c>
      <c r="AC653" s="1146">
        <f t="shared" si="193"/>
        <v>5062.4313725490192</v>
      </c>
      <c r="AD653" s="1146">
        <f t="shared" si="194"/>
        <v>1702.6595365418898</v>
      </c>
      <c r="AE653" s="1146">
        <f t="shared" si="195"/>
        <v>5351.1498257839721</v>
      </c>
      <c r="AF653" s="1146">
        <f t="shared" si="196"/>
        <v>5062.4313725490192</v>
      </c>
      <c r="AG653" s="1146">
        <f t="shared" si="197"/>
        <v>288.7184532349529</v>
      </c>
    </row>
    <row r="654" spans="2:33" ht="14.4">
      <c r="B654" s="1134">
        <v>8860666</v>
      </c>
      <c r="C654" s="1135"/>
      <c r="D654" s="1134">
        <v>142470</v>
      </c>
      <c r="E654" s="1153">
        <v>42312</v>
      </c>
      <c r="F654" s="1154">
        <v>30000</v>
      </c>
      <c r="G654" s="1155">
        <v>10</v>
      </c>
      <c r="H654" s="1154">
        <v>39500</v>
      </c>
      <c r="I654" s="1155">
        <v>15</v>
      </c>
      <c r="J654" s="1156">
        <v>4200</v>
      </c>
      <c r="K654" s="1157"/>
      <c r="L654" s="1158">
        <v>42360</v>
      </c>
      <c r="M654" s="269">
        <f t="shared" si="180"/>
        <v>4</v>
      </c>
      <c r="N654" s="1074">
        <f t="shared" si="198"/>
        <v>225</v>
      </c>
      <c r="O654" s="1087">
        <f t="shared" si="181"/>
        <v>1007.5999999999997</v>
      </c>
      <c r="P654" s="269">
        <f t="shared" si="199"/>
        <v>1</v>
      </c>
      <c r="Q654" s="269" t="str">
        <f t="shared" si="200"/>
        <v/>
      </c>
      <c r="R654" s="1142"/>
      <c r="S654" s="1143" t="str">
        <f t="shared" si="183"/>
        <v>Upsize</v>
      </c>
      <c r="T654" s="1144">
        <f t="shared" si="184"/>
        <v>1692.1518987341774</v>
      </c>
      <c r="U654" s="1144">
        <f t="shared" si="185"/>
        <v>675.18987341772151</v>
      </c>
      <c r="V654" s="1146">
        <f t="shared" si="186"/>
        <v>7707.0655926352138</v>
      </c>
      <c r="W654" s="1146">
        <f t="shared" si="187"/>
        <v>7593.6470588235297</v>
      </c>
      <c r="X654" s="1146">
        <f t="shared" si="188"/>
        <v>113.41853381168403</v>
      </c>
      <c r="Y654" s="1146">
        <f t="shared" si="189"/>
        <v>6096.2466369690828</v>
      </c>
      <c r="Z654" s="1146">
        <f t="shared" si="190"/>
        <v>7593.6470588235297</v>
      </c>
      <c r="AA654" s="1146">
        <f t="shared" si="191"/>
        <v>-1497.4004218544469</v>
      </c>
      <c r="AB654" s="1146">
        <f t="shared" si="192"/>
        <v>10147.636363636364</v>
      </c>
      <c r="AC654" s="1146">
        <f t="shared" si="193"/>
        <v>7593.6470588235297</v>
      </c>
      <c r="AD654" s="1146">
        <f t="shared" si="194"/>
        <v>2553.9893048128342</v>
      </c>
      <c r="AE654" s="1146">
        <f t="shared" si="195"/>
        <v>8026.72473867596</v>
      </c>
      <c r="AF654" s="1146">
        <f t="shared" si="196"/>
        <v>7593.6470588235297</v>
      </c>
      <c r="AG654" s="1146">
        <f t="shared" si="197"/>
        <v>433.07767985243026</v>
      </c>
    </row>
    <row r="655" spans="2:33" ht="14.4">
      <c r="B655" s="1134">
        <v>8833268</v>
      </c>
      <c r="C655" s="1135"/>
      <c r="D655" s="1134">
        <v>265373</v>
      </c>
      <c r="E655" s="1153">
        <v>42326</v>
      </c>
      <c r="F655" s="1154">
        <v>30000</v>
      </c>
      <c r="G655" s="1155">
        <v>10</v>
      </c>
      <c r="H655" s="1154">
        <v>35200</v>
      </c>
      <c r="I655" s="1155">
        <v>16</v>
      </c>
      <c r="J655" s="1156">
        <v>7600</v>
      </c>
      <c r="K655" s="1157"/>
      <c r="L655" s="1158">
        <v>42360</v>
      </c>
      <c r="M655" s="269">
        <f t="shared" si="180"/>
        <v>4</v>
      </c>
      <c r="N655" s="1074">
        <f t="shared" si="198"/>
        <v>225</v>
      </c>
      <c r="O655" s="1087">
        <f t="shared" si="181"/>
        <v>2198.40</v>
      </c>
      <c r="P655" s="269">
        <f t="shared" si="199"/>
        <v>1</v>
      </c>
      <c r="Q655" s="269" t="str">
        <f t="shared" si="200"/>
        <v/>
      </c>
      <c r="R655" s="1142"/>
      <c r="S655" s="1143" t="str">
        <f t="shared" si="183"/>
        <v>Upsize</v>
      </c>
      <c r="T655" s="1144">
        <f t="shared" si="184"/>
        <v>1898.8636363636365</v>
      </c>
      <c r="U655" s="1144">
        <f t="shared" si="185"/>
        <v>757.67045454545462</v>
      </c>
      <c r="V655" s="1146">
        <f t="shared" si="186"/>
        <v>8648.553719008265</v>
      </c>
      <c r="W655" s="1146">
        <f t="shared" si="187"/>
        <v>7315.1470588235306</v>
      </c>
      <c r="X655" s="1146">
        <f t="shared" si="188"/>
        <v>1333.4066601847344</v>
      </c>
      <c r="Y655" s="1146">
        <f t="shared" si="189"/>
        <v>6840.9585840988293</v>
      </c>
      <c r="Z655" s="1146">
        <f t="shared" si="190"/>
        <v>7315.1470588235306</v>
      </c>
      <c r="AA655" s="1146">
        <f t="shared" si="191"/>
        <v>-474.18847472470134</v>
      </c>
      <c r="AB655" s="1146">
        <f t="shared" si="192"/>
        <v>10147.636363636366</v>
      </c>
      <c r="AC655" s="1146">
        <f t="shared" si="193"/>
        <v>7315.1470588235306</v>
      </c>
      <c r="AD655" s="1146">
        <f t="shared" si="194"/>
        <v>2832.4893048128351</v>
      </c>
      <c r="AE655" s="1146">
        <f t="shared" si="195"/>
        <v>8026.72473867596</v>
      </c>
      <c r="AF655" s="1146">
        <f t="shared" si="196"/>
        <v>7315.1470588235306</v>
      </c>
      <c r="AG655" s="1146">
        <f t="shared" si="197"/>
        <v>711.57767985242936</v>
      </c>
    </row>
    <row r="656" spans="2:33" ht="14.4">
      <c r="B656" s="1134">
        <v>3342441</v>
      </c>
      <c r="C656" s="1135"/>
      <c r="D656" s="1134">
        <v>334244</v>
      </c>
      <c r="E656" s="1153">
        <v>42321</v>
      </c>
      <c r="F656" s="1154">
        <v>40000</v>
      </c>
      <c r="G656" s="1155">
        <v>10</v>
      </c>
      <c r="H656" s="1154">
        <v>47000</v>
      </c>
      <c r="I656" s="1155">
        <v>15</v>
      </c>
      <c r="J656" s="1156">
        <v>7426</v>
      </c>
      <c r="K656" s="1157"/>
      <c r="L656" s="1158">
        <v>42360</v>
      </c>
      <c r="M656" s="269">
        <f t="shared" si="180"/>
        <v>4</v>
      </c>
      <c r="N656" s="1074">
        <f t="shared" si="198"/>
        <v>250</v>
      </c>
      <c r="O656" s="1087">
        <f t="shared" si="181"/>
        <v>2381.60</v>
      </c>
      <c r="P656" s="269">
        <f t="shared" si="199"/>
        <v>1</v>
      </c>
      <c r="Q656" s="269" t="str">
        <f t="shared" si="200"/>
        <v/>
      </c>
      <c r="R656" s="1142"/>
      <c r="S656" s="1143" t="str">
        <f t="shared" si="183"/>
        <v>Upsize</v>
      </c>
      <c r="T656" s="1144">
        <f t="shared" si="184"/>
        <v>1896.1702127659576</v>
      </c>
      <c r="U656" s="1144">
        <f t="shared" si="185"/>
        <v>756.59574468085111</v>
      </c>
      <c r="V656" s="1146">
        <f t="shared" si="186"/>
        <v>11515.04835589942</v>
      </c>
      <c r="W656" s="1146">
        <f t="shared" si="187"/>
        <v>10124.86274509804</v>
      </c>
      <c r="X656" s="1146">
        <f t="shared" si="188"/>
        <v>1390.1856108013799</v>
      </c>
      <c r="Y656" s="1146">
        <f t="shared" si="189"/>
        <v>9108.3401289939957</v>
      </c>
      <c r="Z656" s="1146">
        <f t="shared" si="190"/>
        <v>10124.86274509804</v>
      </c>
      <c r="AA656" s="1146">
        <f t="shared" si="191"/>
        <v>-1016.5226161040446</v>
      </c>
      <c r="AB656" s="1146">
        <f t="shared" si="192"/>
        <v>13530.18181818182</v>
      </c>
      <c r="AC656" s="1146">
        <f t="shared" si="193"/>
        <v>10124.86274509804</v>
      </c>
      <c r="AD656" s="1146">
        <f t="shared" si="194"/>
        <v>3405.3190730837796</v>
      </c>
      <c r="AE656" s="1146">
        <f t="shared" si="195"/>
        <v>10702.299651567944</v>
      </c>
      <c r="AF656" s="1146">
        <f t="shared" si="196"/>
        <v>10124.86274509804</v>
      </c>
      <c r="AG656" s="1146">
        <f t="shared" si="197"/>
        <v>577.43690646990399</v>
      </c>
    </row>
    <row r="657" spans="2:33" ht="14.4">
      <c r="B657" s="1134">
        <v>4096509</v>
      </c>
      <c r="C657" s="1135"/>
      <c r="D657" s="1134">
        <v>115559</v>
      </c>
      <c r="E657" s="1153">
        <v>42339</v>
      </c>
      <c r="F657" s="1154">
        <v>40000</v>
      </c>
      <c r="G657" s="1155">
        <v>10</v>
      </c>
      <c r="H657" s="1154">
        <v>47000</v>
      </c>
      <c r="I657" s="1155">
        <v>15</v>
      </c>
      <c r="J657" s="1156">
        <v>6300</v>
      </c>
      <c r="K657" s="1157"/>
      <c r="L657" s="1158">
        <v>42360</v>
      </c>
      <c r="M657" s="269">
        <f t="shared" si="180"/>
        <v>4</v>
      </c>
      <c r="N657" s="1074">
        <f t="shared" si="198"/>
        <v>250</v>
      </c>
      <c r="O657" s="1087">
        <f t="shared" si="181"/>
        <v>2381.60</v>
      </c>
      <c r="P657" s="269">
        <f t="shared" si="199"/>
        <v>1</v>
      </c>
      <c r="Q657" s="269" t="str">
        <f t="shared" si="200"/>
        <v/>
      </c>
      <c r="R657" s="1142"/>
      <c r="S657" s="1143" t="str">
        <f t="shared" si="183"/>
        <v>Upsize</v>
      </c>
      <c r="T657" s="1144">
        <f t="shared" si="184"/>
        <v>1896.1702127659576</v>
      </c>
      <c r="U657" s="1144">
        <f t="shared" si="185"/>
        <v>756.59574468085111</v>
      </c>
      <c r="V657" s="1146">
        <f t="shared" si="186"/>
        <v>11515.04835589942</v>
      </c>
      <c r="W657" s="1146">
        <f t="shared" si="187"/>
        <v>10124.86274509804</v>
      </c>
      <c r="X657" s="1146">
        <f t="shared" si="188"/>
        <v>1390.1856108013799</v>
      </c>
      <c r="Y657" s="1146">
        <f t="shared" si="189"/>
        <v>9108.3401289939957</v>
      </c>
      <c r="Z657" s="1146">
        <f t="shared" si="190"/>
        <v>10124.86274509804</v>
      </c>
      <c r="AA657" s="1146">
        <f t="shared" si="191"/>
        <v>-1016.5226161040446</v>
      </c>
      <c r="AB657" s="1146">
        <f t="shared" si="192"/>
        <v>13530.18181818182</v>
      </c>
      <c r="AC657" s="1146">
        <f t="shared" si="193"/>
        <v>10124.86274509804</v>
      </c>
      <c r="AD657" s="1146">
        <f t="shared" si="194"/>
        <v>3405.3190730837796</v>
      </c>
      <c r="AE657" s="1146">
        <f t="shared" si="195"/>
        <v>10702.299651567944</v>
      </c>
      <c r="AF657" s="1146">
        <f t="shared" si="196"/>
        <v>10124.86274509804</v>
      </c>
      <c r="AG657" s="1146">
        <f t="shared" si="197"/>
        <v>577.43690646990399</v>
      </c>
    </row>
    <row r="658" spans="2:33" ht="14.4">
      <c r="B658" s="1134">
        <v>8929982</v>
      </c>
      <c r="C658" s="1135"/>
      <c r="D658" s="1134">
        <v>95353</v>
      </c>
      <c r="E658" s="1153">
        <v>42317</v>
      </c>
      <c r="F658" s="1154">
        <v>20000</v>
      </c>
      <c r="G658" s="1155">
        <v>10</v>
      </c>
      <c r="H658" s="1154">
        <v>28000</v>
      </c>
      <c r="I658" s="1155">
        <v>15</v>
      </c>
      <c r="J658" s="1156">
        <v>5041.84</v>
      </c>
      <c r="K658" s="1157"/>
      <c r="L658" s="1158">
        <v>42356</v>
      </c>
      <c r="M658" s="269">
        <f t="shared" si="180"/>
        <v>4</v>
      </c>
      <c r="N658" s="1074">
        <f t="shared" si="198"/>
        <v>150</v>
      </c>
      <c r="O658" s="1087">
        <f t="shared" si="181"/>
        <v>366.39999999999981</v>
      </c>
      <c r="P658" s="269">
        <f t="shared" si="199"/>
        <v>1</v>
      </c>
      <c r="Q658" s="269" t="str">
        <f t="shared" si="200"/>
        <v/>
      </c>
      <c r="R658" s="1142"/>
      <c r="S658" s="1143" t="str">
        <f t="shared" si="183"/>
        <v>Upsize</v>
      </c>
      <c r="T658" s="1144">
        <f t="shared" si="184"/>
        <v>1591.4285714285716</v>
      </c>
      <c r="U658" s="1144">
        <f t="shared" si="185"/>
        <v>635</v>
      </c>
      <c r="V658" s="1146">
        <f t="shared" si="186"/>
        <v>4832.2077922077924</v>
      </c>
      <c r="W658" s="1146">
        <f t="shared" si="187"/>
        <v>5062.4313725490201</v>
      </c>
      <c r="X658" s="1146">
        <f t="shared" si="188"/>
        <v>-230.22358034122772</v>
      </c>
      <c r="Y658" s="1146">
        <f t="shared" si="189"/>
        <v>3822.2498755599804</v>
      </c>
      <c r="Z658" s="1146">
        <f t="shared" si="190"/>
        <v>5062.4313725490201</v>
      </c>
      <c r="AA658" s="1146">
        <f t="shared" si="191"/>
        <v>-1240.1814969890397</v>
      </c>
      <c r="AB658" s="1146">
        <f t="shared" si="192"/>
        <v>6765.0909090909099</v>
      </c>
      <c r="AC658" s="1146">
        <f t="shared" si="193"/>
        <v>5062.4313725490201</v>
      </c>
      <c r="AD658" s="1146">
        <f t="shared" si="194"/>
        <v>1702.6595365418898</v>
      </c>
      <c r="AE658" s="1146">
        <f t="shared" si="195"/>
        <v>5351.1498257839721</v>
      </c>
      <c r="AF658" s="1146">
        <f t="shared" si="196"/>
        <v>5062.4313725490201</v>
      </c>
      <c r="AG658" s="1146">
        <f t="shared" si="197"/>
        <v>288.71845323495199</v>
      </c>
    </row>
    <row r="659" spans="2:33" ht="14.4">
      <c r="B659" s="1134">
        <v>5180245</v>
      </c>
      <c r="C659" s="1135"/>
      <c r="D659" s="1134">
        <v>204464</v>
      </c>
      <c r="E659" s="1153">
        <v>42195</v>
      </c>
      <c r="F659" s="1154">
        <v>35000</v>
      </c>
      <c r="G659" s="1155">
        <v>10</v>
      </c>
      <c r="H659" s="1154">
        <v>34800</v>
      </c>
      <c r="I659" s="1155">
        <v>15</v>
      </c>
      <c r="J659" s="1156">
        <v>4461</v>
      </c>
      <c r="K659" s="1157"/>
      <c r="L659" s="1158">
        <v>42352</v>
      </c>
      <c r="M659" s="269">
        <f t="shared" si="180"/>
        <v>4</v>
      </c>
      <c r="N659" s="1074">
        <f t="shared" si="198"/>
        <v>175</v>
      </c>
      <c r="O659" s="1087">
        <f t="shared" si="181"/>
        <v>3242.6400000000003</v>
      </c>
      <c r="P659" s="269">
        <f t="shared" si="199"/>
        <v>1</v>
      </c>
      <c r="Q659" s="269" t="str">
        <f t="shared" si="200"/>
        <v/>
      </c>
      <c r="R659" s="1142"/>
      <c r="S659" s="1143" t="str">
        <f t="shared" si="183"/>
        <v>Downsize</v>
      </c>
      <c r="T659" s="1144">
        <f t="shared" si="184"/>
        <v>2240.8045977011498</v>
      </c>
      <c r="U659" s="1144">
        <f t="shared" si="185"/>
        <v>894.10919540229884</v>
      </c>
      <c r="V659" s="1146">
        <f t="shared" si="186"/>
        <v>11906.948798328111</v>
      </c>
      <c r="W659" s="1146">
        <f t="shared" si="187"/>
        <v>8859.2549019607832</v>
      </c>
      <c r="X659" s="1146">
        <f t="shared" si="188"/>
        <v>3047.6938963673274</v>
      </c>
      <c r="Y659" s="1146">
        <f t="shared" si="189"/>
        <v>9418.3312307261021</v>
      </c>
      <c r="Z659" s="1146">
        <f t="shared" si="190"/>
        <v>8859.2549019607832</v>
      </c>
      <c r="AA659" s="1146">
        <f t="shared" si="191"/>
        <v>559.07632876531898</v>
      </c>
      <c r="AB659" s="1146">
        <f t="shared" si="192"/>
        <v>11838.909090909092</v>
      </c>
      <c r="AC659" s="1146">
        <f t="shared" si="193"/>
        <v>8859.2549019607832</v>
      </c>
      <c r="AD659" s="1146">
        <f t="shared" si="194"/>
        <v>2979.6541889483087</v>
      </c>
      <c r="AE659" s="1146">
        <f t="shared" si="195"/>
        <v>9364.5121951219517</v>
      </c>
      <c r="AF659" s="1146">
        <f t="shared" si="196"/>
        <v>8859.2549019607832</v>
      </c>
      <c r="AG659" s="1146">
        <f t="shared" si="197"/>
        <v>505.25729316116849</v>
      </c>
    </row>
    <row r="660" spans="2:33" ht="14.4">
      <c r="B660" s="1134">
        <v>8812067</v>
      </c>
      <c r="C660" s="1135"/>
      <c r="D660" s="1134">
        <v>159062</v>
      </c>
      <c r="E660" s="1153">
        <v>42304</v>
      </c>
      <c r="F660" s="1154">
        <v>40000</v>
      </c>
      <c r="G660" s="1155">
        <v>14</v>
      </c>
      <c r="H660" s="1154">
        <v>48000</v>
      </c>
      <c r="I660" s="1155">
        <v>17</v>
      </c>
      <c r="J660" s="1156">
        <v>9173</v>
      </c>
      <c r="K660" s="1157"/>
      <c r="L660" s="1158">
        <v>42352</v>
      </c>
      <c r="M660" s="269">
        <f t="shared" si="180"/>
        <v>4</v>
      </c>
      <c r="N660" s="1074">
        <f t="shared" si="198"/>
        <v>325</v>
      </c>
      <c r="O660" s="1087">
        <f t="shared" si="181"/>
        <v>92.369747899160274</v>
      </c>
      <c r="P660" s="269">
        <f t="shared" si="199"/>
        <v>1</v>
      </c>
      <c r="Q660" s="269" t="str">
        <f t="shared" si="200"/>
        <v/>
      </c>
      <c r="R660" s="1142"/>
      <c r="S660" s="1143" t="str">
        <f t="shared" si="183"/>
        <v>Upsize</v>
      </c>
      <c r="T660" s="1144">
        <f t="shared" si="184"/>
        <v>1856.6666666666667</v>
      </c>
      <c r="U660" s="1144">
        <f t="shared" si="185"/>
        <v>740.83333333333337</v>
      </c>
      <c r="V660" s="1146">
        <f t="shared" si="186"/>
        <v>9153.2467532467526</v>
      </c>
      <c r="W660" s="1146">
        <f t="shared" si="187"/>
        <v>9425.8823529411766</v>
      </c>
      <c r="X660" s="1146">
        <f t="shared" si="188"/>
        <v>-272.63559969442395</v>
      </c>
      <c r="Y660" s="1146">
        <f t="shared" si="189"/>
        <v>8918.5830429732869</v>
      </c>
      <c r="Z660" s="1146">
        <f t="shared" si="190"/>
        <v>9425.8823529411766</v>
      </c>
      <c r="AA660" s="1146">
        <f t="shared" si="191"/>
        <v>-507.29930996788971</v>
      </c>
      <c r="AB660" s="1146">
        <f t="shared" si="192"/>
        <v>10983.896103896104</v>
      </c>
      <c r="AC660" s="1146">
        <f t="shared" si="193"/>
        <v>9425.8823529411766</v>
      </c>
      <c r="AD660" s="1146">
        <f t="shared" si="194"/>
        <v>1558.0137509549277</v>
      </c>
      <c r="AE660" s="1146">
        <f t="shared" si="195"/>
        <v>10702.299651567944</v>
      </c>
      <c r="AF660" s="1146">
        <f t="shared" si="196"/>
        <v>9425.8823529411766</v>
      </c>
      <c r="AG660" s="1146">
        <f t="shared" si="197"/>
        <v>1276.4172986267677</v>
      </c>
    </row>
    <row r="661" spans="2:33" ht="14.4">
      <c r="B661" s="1134">
        <v>8889244</v>
      </c>
      <c r="C661" s="1135"/>
      <c r="D661" s="1134">
        <v>374699</v>
      </c>
      <c r="E661" s="1153">
        <v>42299</v>
      </c>
      <c r="F661" s="1154">
        <v>20000</v>
      </c>
      <c r="G661" s="1155">
        <v>10</v>
      </c>
      <c r="H661" s="1154">
        <v>28400</v>
      </c>
      <c r="I661" s="1155">
        <v>15</v>
      </c>
      <c r="J661" s="1156">
        <v>3300</v>
      </c>
      <c r="K661" s="1157"/>
      <c r="L661" s="1158">
        <v>42352</v>
      </c>
      <c r="M661" s="269">
        <f t="shared" si="180"/>
        <v>4</v>
      </c>
      <c r="N661" s="1074">
        <f t="shared" si="198"/>
        <v>150</v>
      </c>
      <c r="O661" s="1087">
        <f t="shared" si="181"/>
        <v>293.12000000000023</v>
      </c>
      <c r="P661" s="269">
        <f t="shared" si="199"/>
        <v>1</v>
      </c>
      <c r="Q661" s="269" t="str">
        <f t="shared" si="200"/>
        <v/>
      </c>
      <c r="R661" s="1142"/>
      <c r="S661" s="1143" t="str">
        <f t="shared" si="183"/>
        <v>Upsize</v>
      </c>
      <c r="T661" s="1144">
        <f t="shared" si="184"/>
        <v>1569.0140845070421</v>
      </c>
      <c r="U661" s="1144">
        <f t="shared" si="185"/>
        <v>626.05633802816897</v>
      </c>
      <c r="V661" s="1146">
        <f t="shared" si="186"/>
        <v>4764.1485275288087</v>
      </c>
      <c r="W661" s="1146">
        <f t="shared" si="187"/>
        <v>5062.4313725490192</v>
      </c>
      <c r="X661" s="1146">
        <f t="shared" si="188"/>
        <v>-298.28284502021052</v>
      </c>
      <c r="Y661" s="1146">
        <f t="shared" si="189"/>
        <v>3768.4153702704025</v>
      </c>
      <c r="Z661" s="1146">
        <f t="shared" si="190"/>
        <v>5062.4313725490192</v>
      </c>
      <c r="AA661" s="1146">
        <f t="shared" si="191"/>
        <v>-1294.0160022786167</v>
      </c>
      <c r="AB661" s="1146">
        <f t="shared" si="192"/>
        <v>6765.0909090909081</v>
      </c>
      <c r="AC661" s="1146">
        <f t="shared" si="193"/>
        <v>5062.4313725490192</v>
      </c>
      <c r="AD661" s="1146">
        <f t="shared" si="194"/>
        <v>1702.6595365418889</v>
      </c>
      <c r="AE661" s="1146">
        <f t="shared" si="195"/>
        <v>5351.1498257839712</v>
      </c>
      <c r="AF661" s="1146">
        <f t="shared" si="196"/>
        <v>5062.4313725490192</v>
      </c>
      <c r="AG661" s="1146">
        <f t="shared" si="197"/>
        <v>288.71845323495199</v>
      </c>
    </row>
    <row r="662" spans="2:33" ht="14.4">
      <c r="B662" s="1134">
        <v>7943988</v>
      </c>
      <c r="C662" s="1135"/>
      <c r="D662" s="1134">
        <v>161981</v>
      </c>
      <c r="E662" s="1153">
        <v>42314</v>
      </c>
      <c r="F662" s="1154">
        <v>40000</v>
      </c>
      <c r="G662" s="1155">
        <v>10</v>
      </c>
      <c r="H662" s="1154">
        <v>45500</v>
      </c>
      <c r="I662" s="1155">
        <v>16</v>
      </c>
      <c r="J662" s="1156">
        <v>6805</v>
      </c>
      <c r="K662" s="1157"/>
      <c r="L662" s="1158">
        <v>42352</v>
      </c>
      <c r="M662" s="269">
        <f t="shared" si="180"/>
        <v>4</v>
      </c>
      <c r="N662" s="1074">
        <f t="shared" si="198"/>
        <v>300</v>
      </c>
      <c r="O662" s="1087">
        <f t="shared" si="181"/>
        <v>3177.3750000000005</v>
      </c>
      <c r="P662" s="269">
        <f t="shared" si="199"/>
        <v>1</v>
      </c>
      <c r="Q662" s="269" t="str">
        <f t="shared" si="200"/>
        <v/>
      </c>
      <c r="R662" s="1142"/>
      <c r="S662" s="1143" t="str">
        <f t="shared" si="183"/>
        <v>Upsize</v>
      </c>
      <c r="T662" s="1144">
        <f t="shared" si="184"/>
        <v>1958.6813186813185</v>
      </c>
      <c r="U662" s="1144">
        <f t="shared" si="185"/>
        <v>781.53846153846155</v>
      </c>
      <c r="V662" s="1146">
        <f t="shared" si="186"/>
        <v>11894.665334665333</v>
      </c>
      <c r="W662" s="1146">
        <f t="shared" si="187"/>
        <v>9753.5294117647063</v>
      </c>
      <c r="X662" s="1146">
        <f t="shared" si="188"/>
        <v>2141.1359229006266</v>
      </c>
      <c r="Y662" s="1146">
        <f t="shared" si="189"/>
        <v>9408.6150783014891</v>
      </c>
      <c r="Z662" s="1146">
        <f t="shared" si="190"/>
        <v>9753.5294117647063</v>
      </c>
      <c r="AA662" s="1146">
        <f t="shared" si="191"/>
        <v>-344.91433346321719</v>
      </c>
      <c r="AB662" s="1146">
        <f t="shared" si="192"/>
        <v>13530.181818181816</v>
      </c>
      <c r="AC662" s="1146">
        <f t="shared" si="193"/>
        <v>9753.5294117647063</v>
      </c>
      <c r="AD662" s="1146">
        <f t="shared" si="194"/>
        <v>3776.6524064171099</v>
      </c>
      <c r="AE662" s="1146">
        <f t="shared" si="195"/>
        <v>10702.299651567944</v>
      </c>
      <c r="AF662" s="1146">
        <f t="shared" si="196"/>
        <v>9753.5294117647063</v>
      </c>
      <c r="AG662" s="1146">
        <f t="shared" si="197"/>
        <v>948.77023980323793</v>
      </c>
    </row>
    <row r="663" spans="2:33" ht="14.4">
      <c r="B663" s="1134">
        <v>1847920</v>
      </c>
      <c r="C663" s="1135"/>
      <c r="D663" s="1134">
        <v>184792</v>
      </c>
      <c r="E663" s="1153">
        <v>42326</v>
      </c>
      <c r="F663" s="1154">
        <v>30000</v>
      </c>
      <c r="G663" s="1155">
        <v>10</v>
      </c>
      <c r="H663" s="1154">
        <v>36400</v>
      </c>
      <c r="I663" s="1155">
        <v>16</v>
      </c>
      <c r="J663" s="1156">
        <v>6200</v>
      </c>
      <c r="K663" s="1157"/>
      <c r="L663" s="1158">
        <v>42352</v>
      </c>
      <c r="M663" s="269">
        <f t="shared" si="180"/>
        <v>4</v>
      </c>
      <c r="N663" s="1074">
        <f t="shared" si="198"/>
        <v>225</v>
      </c>
      <c r="O663" s="1087">
        <f t="shared" si="181"/>
        <v>1992.3000000000002</v>
      </c>
      <c r="P663" s="269">
        <f t="shared" si="199"/>
        <v>1</v>
      </c>
      <c r="Q663" s="269" t="str">
        <f t="shared" si="200"/>
        <v/>
      </c>
      <c r="R663" s="1142"/>
      <c r="S663" s="1143" t="str">
        <f t="shared" si="183"/>
        <v>Upsize</v>
      </c>
      <c r="T663" s="1144">
        <f t="shared" si="184"/>
        <v>1836.2637362637361</v>
      </c>
      <c r="U663" s="1144">
        <f t="shared" si="185"/>
        <v>732.69230769230762</v>
      </c>
      <c r="V663" s="1146">
        <f t="shared" si="186"/>
        <v>8363.4365634365622</v>
      </c>
      <c r="W663" s="1146">
        <f t="shared" si="187"/>
        <v>7315.1470588235279</v>
      </c>
      <c r="X663" s="1146">
        <f t="shared" si="188"/>
        <v>1048.2895046130343</v>
      </c>
      <c r="Y663" s="1146">
        <f t="shared" si="189"/>
        <v>6615.432476930735</v>
      </c>
      <c r="Z663" s="1146">
        <f t="shared" si="190"/>
        <v>7315.1470588235279</v>
      </c>
      <c r="AA663" s="1146">
        <f t="shared" si="191"/>
        <v>-699.71458189279292</v>
      </c>
      <c r="AB663" s="1146">
        <f t="shared" si="192"/>
        <v>10147.636363636362</v>
      </c>
      <c r="AC663" s="1146">
        <f t="shared" si="193"/>
        <v>7315.1470588235279</v>
      </c>
      <c r="AD663" s="1146">
        <f t="shared" si="194"/>
        <v>2832.4893048128342</v>
      </c>
      <c r="AE663" s="1146">
        <f t="shared" si="195"/>
        <v>8026.7247386759573</v>
      </c>
      <c r="AF663" s="1146">
        <f t="shared" si="196"/>
        <v>7315.1470588235279</v>
      </c>
      <c r="AG663" s="1146">
        <f t="shared" si="197"/>
        <v>711.57767985242936</v>
      </c>
    </row>
    <row r="664" spans="2:33" ht="14.4">
      <c r="B664" s="1134">
        <v>3215951</v>
      </c>
      <c r="C664" s="1135"/>
      <c r="D664" s="1134">
        <v>321595</v>
      </c>
      <c r="E664" s="1153">
        <v>42157</v>
      </c>
      <c r="F664" s="1154">
        <v>30000</v>
      </c>
      <c r="G664" s="1155">
        <v>13</v>
      </c>
      <c r="H664" s="1154">
        <v>46500</v>
      </c>
      <c r="I664" s="1155">
        <v>15</v>
      </c>
      <c r="J664" s="1156">
        <v>7000</v>
      </c>
      <c r="K664" s="1157"/>
      <c r="L664" s="1158">
        <v>42352</v>
      </c>
      <c r="M664" s="269">
        <f t="shared" si="201" ref="M664:M690">IF(MAX(K664,L664)&lt;40000,"",ROUNDUP(MONTH(MAX(K664,L664))/3,0))</f>
        <v>4</v>
      </c>
      <c r="N664" s="1074">
        <f t="shared" si="198"/>
        <v>250</v>
      </c>
      <c r="O664" s="1087">
        <f t="shared" si="181"/>
        <v>-2177.2615384615387</v>
      </c>
      <c r="P664" s="269">
        <f t="shared" si="199"/>
        <v>1</v>
      </c>
      <c r="Q664" s="269" t="str">
        <f t="shared" si="200"/>
        <v/>
      </c>
      <c r="R664" s="1142"/>
      <c r="S664" s="1143" t="str">
        <f t="shared" si="183"/>
        <v>Upsize</v>
      </c>
      <c r="T664" s="1144">
        <f t="shared" si="184"/>
        <v>1437.4193548387098</v>
      </c>
      <c r="U664" s="1144">
        <f t="shared" si="185"/>
        <v>573.54838709677415</v>
      </c>
      <c r="V664" s="1146">
        <f t="shared" si="186"/>
        <v>5551.7256936611775</v>
      </c>
      <c r="W664" s="1146">
        <f t="shared" si="187"/>
        <v>7593.6470588235297</v>
      </c>
      <c r="X664" s="1146">
        <f t="shared" si="188"/>
        <v>-2041.9213651623522</v>
      </c>
      <c r="Y664" s="1146">
        <f t="shared" si="189"/>
        <v>5178.5320894683609</v>
      </c>
      <c r="Z664" s="1146">
        <f t="shared" si="190"/>
        <v>7593.6470588235297</v>
      </c>
      <c r="AA664" s="1146">
        <f t="shared" si="191"/>
        <v>-2415.1149693551688</v>
      </c>
      <c r="AB664" s="1146">
        <f t="shared" si="192"/>
        <v>8605.1748251748249</v>
      </c>
      <c r="AC664" s="1146">
        <f t="shared" si="193"/>
        <v>7593.6470588235297</v>
      </c>
      <c r="AD664" s="1146">
        <f t="shared" si="194"/>
        <v>1011.5277663512952</v>
      </c>
      <c r="AE664" s="1146">
        <f t="shared" si="195"/>
        <v>8026.72473867596</v>
      </c>
      <c r="AF664" s="1146">
        <f t="shared" si="196"/>
        <v>7593.6470588235297</v>
      </c>
      <c r="AG664" s="1146">
        <f t="shared" si="197"/>
        <v>433.07767985243026</v>
      </c>
    </row>
    <row r="665" spans="2:33" ht="14.4">
      <c r="B665" s="1134">
        <v>6086029</v>
      </c>
      <c r="C665" s="1135"/>
      <c r="D665" s="1134">
        <v>608602</v>
      </c>
      <c r="E665" s="1153">
        <v>42327</v>
      </c>
      <c r="F665" s="1154">
        <v>32000</v>
      </c>
      <c r="G665" s="1155">
        <v>14</v>
      </c>
      <c r="H665" s="1154">
        <v>36000</v>
      </c>
      <c r="I665" s="1155">
        <v>16</v>
      </c>
      <c r="J665" s="1156">
        <v>8392</v>
      </c>
      <c r="K665" s="1157"/>
      <c r="L665" s="1158">
        <v>42352</v>
      </c>
      <c r="M665" s="269">
        <f t="shared" si="201"/>
        <v>4</v>
      </c>
      <c r="N665" s="1074">
        <f t="shared" si="198"/>
        <v>225</v>
      </c>
      <c r="O665" s="1087">
        <f t="shared" si="181"/>
        <v>98.142857142857324</v>
      </c>
      <c r="P665" s="269">
        <f t="shared" si="199"/>
        <v>1</v>
      </c>
      <c r="Q665" s="269" t="str">
        <f t="shared" si="200"/>
        <v/>
      </c>
      <c r="R665" s="1142"/>
      <c r="S665" s="1143" t="str">
        <f t="shared" si="183"/>
        <v>Upsize</v>
      </c>
      <c r="T665" s="1144">
        <f t="shared" si="184"/>
        <v>1980.4444444444443</v>
      </c>
      <c r="U665" s="1144">
        <f t="shared" si="185"/>
        <v>790.22222222222217</v>
      </c>
      <c r="V665" s="1146">
        <f t="shared" si="186"/>
        <v>7810.7705627705618</v>
      </c>
      <c r="W665" s="1146">
        <f t="shared" si="187"/>
        <v>7802.8235294117649</v>
      </c>
      <c r="X665" s="1146">
        <f t="shared" si="188"/>
        <v>7.9470333587969435</v>
      </c>
      <c r="Y665" s="1146">
        <f t="shared" si="189"/>
        <v>7610.524196670538</v>
      </c>
      <c r="Z665" s="1146">
        <f t="shared" si="190"/>
        <v>7802.8235294117649</v>
      </c>
      <c r="AA665" s="1146">
        <f t="shared" si="191"/>
        <v>-192.29933274122686</v>
      </c>
      <c r="AB665" s="1146">
        <f t="shared" si="192"/>
        <v>8787.1168831168816</v>
      </c>
      <c r="AC665" s="1146">
        <f t="shared" si="193"/>
        <v>7802.8235294117649</v>
      </c>
      <c r="AD665" s="1146">
        <f t="shared" si="194"/>
        <v>984.29335370511672</v>
      </c>
      <c r="AE665" s="1146">
        <f t="shared" si="195"/>
        <v>8561.839721254355</v>
      </c>
      <c r="AF665" s="1146">
        <f t="shared" si="196"/>
        <v>7802.8235294117649</v>
      </c>
      <c r="AG665" s="1146">
        <f t="shared" si="197"/>
        <v>759.01619184259016</v>
      </c>
    </row>
    <row r="666" spans="2:33" ht="14.4">
      <c r="B666" s="1134">
        <v>1561174</v>
      </c>
      <c r="C666" s="1135"/>
      <c r="D666" s="1134">
        <v>156117</v>
      </c>
      <c r="E666" s="1153">
        <v>42318</v>
      </c>
      <c r="F666" s="1154">
        <v>24000</v>
      </c>
      <c r="G666" s="1155">
        <v>10</v>
      </c>
      <c r="H666" s="1154">
        <v>25200</v>
      </c>
      <c r="I666" s="1155">
        <v>16</v>
      </c>
      <c r="J666" s="1156">
        <v>4990</v>
      </c>
      <c r="K666" s="1157"/>
      <c r="L666" s="1158">
        <v>42352</v>
      </c>
      <c r="M666" s="269">
        <f t="shared" si="201"/>
        <v>4</v>
      </c>
      <c r="N666" s="1074">
        <f t="shared" si="198"/>
        <v>150</v>
      </c>
      <c r="O666" s="1087">
        <f t="shared" si="181"/>
        <v>2267.1000000000004</v>
      </c>
      <c r="P666" s="269">
        <f t="shared" si="199"/>
        <v>1</v>
      </c>
      <c r="Q666" s="269" t="str">
        <f t="shared" si="200"/>
        <v/>
      </c>
      <c r="R666" s="1142"/>
      <c r="S666" s="1143" t="str">
        <f t="shared" si="183"/>
        <v>Upsize</v>
      </c>
      <c r="T666" s="1144">
        <f t="shared" si="184"/>
        <v>2121.9047619047619</v>
      </c>
      <c r="U666" s="1144">
        <f t="shared" si="185"/>
        <v>846.66666666666663</v>
      </c>
      <c r="V666" s="1146">
        <f t="shared" si="186"/>
        <v>7731.5324675324682</v>
      </c>
      <c r="W666" s="1146">
        <f t="shared" si="187"/>
        <v>5852.1176470588234</v>
      </c>
      <c r="X666" s="1146">
        <f t="shared" si="188"/>
        <v>1879.4148204736448</v>
      </c>
      <c r="Y666" s="1146">
        <f t="shared" si="189"/>
        <v>6115.5998008959687</v>
      </c>
      <c r="Z666" s="1146">
        <f t="shared" si="190"/>
        <v>5852.1176470588234</v>
      </c>
      <c r="AA666" s="1146">
        <f t="shared" si="191"/>
        <v>263.48215383714523</v>
      </c>
      <c r="AB666" s="1146">
        <f t="shared" si="192"/>
        <v>8118.1090909090917</v>
      </c>
      <c r="AC666" s="1146">
        <f t="shared" si="193"/>
        <v>5852.1176470588234</v>
      </c>
      <c r="AD666" s="1146">
        <f t="shared" si="194"/>
        <v>2265.9914438502683</v>
      </c>
      <c r="AE666" s="1146">
        <f t="shared" si="195"/>
        <v>6421.3797909407667</v>
      </c>
      <c r="AF666" s="1146">
        <f t="shared" si="196"/>
        <v>5852.1176470588234</v>
      </c>
      <c r="AG666" s="1146">
        <f t="shared" si="197"/>
        <v>569.2621438819433</v>
      </c>
    </row>
    <row r="667" spans="2:33" ht="14.4">
      <c r="B667" s="1134">
        <v>7890833</v>
      </c>
      <c r="C667" s="1135"/>
      <c r="D667" s="1134">
        <v>476367</v>
      </c>
      <c r="E667" s="1153">
        <v>42257</v>
      </c>
      <c r="F667" s="1154">
        <v>30000</v>
      </c>
      <c r="G667" s="1155">
        <v>10</v>
      </c>
      <c r="H667" s="1154">
        <v>34800</v>
      </c>
      <c r="I667" s="1155">
        <v>15</v>
      </c>
      <c r="J667" s="1156">
        <v>4381.3999999999996</v>
      </c>
      <c r="K667" s="1157"/>
      <c r="L667" s="1158">
        <v>42352</v>
      </c>
      <c r="M667" s="269">
        <f t="shared" si="201"/>
        <v>4</v>
      </c>
      <c r="N667" s="1074">
        <f t="shared" si="198"/>
        <v>175</v>
      </c>
      <c r="O667" s="1087">
        <f t="shared" si="181"/>
        <v>1868.64</v>
      </c>
      <c r="P667" s="269">
        <f t="shared" si="199"/>
        <v>1</v>
      </c>
      <c r="Q667" s="269" t="str">
        <f t="shared" si="200"/>
        <v/>
      </c>
      <c r="R667" s="1142"/>
      <c r="S667" s="1143" t="str">
        <f t="shared" si="183"/>
        <v>Upsize</v>
      </c>
      <c r="T667" s="1144">
        <f t="shared" si="184"/>
        <v>1920.6896551724137</v>
      </c>
      <c r="U667" s="1144">
        <f t="shared" si="185"/>
        <v>766.37931034482756</v>
      </c>
      <c r="V667" s="1146">
        <f t="shared" si="186"/>
        <v>8747.962382445141</v>
      </c>
      <c r="W667" s="1146">
        <f t="shared" si="187"/>
        <v>7593.6470588235288</v>
      </c>
      <c r="X667" s="1146">
        <f t="shared" si="188"/>
        <v>1154.3153236216122</v>
      </c>
      <c r="Y667" s="1146">
        <f t="shared" si="189"/>
        <v>6919.5902919620321</v>
      </c>
      <c r="Z667" s="1146">
        <f t="shared" si="190"/>
        <v>7593.6470588235288</v>
      </c>
      <c r="AA667" s="1146">
        <f t="shared" si="191"/>
        <v>-674.05676686149673</v>
      </c>
      <c r="AB667" s="1146">
        <f t="shared" si="192"/>
        <v>10147.636363636364</v>
      </c>
      <c r="AC667" s="1146">
        <f t="shared" si="193"/>
        <v>7593.6470588235288</v>
      </c>
      <c r="AD667" s="1146">
        <f t="shared" si="194"/>
        <v>2553.9893048128351</v>
      </c>
      <c r="AE667" s="1146">
        <f t="shared" si="195"/>
        <v>8026.7247386759573</v>
      </c>
      <c r="AF667" s="1146">
        <f t="shared" si="196"/>
        <v>7593.6470588235288</v>
      </c>
      <c r="AG667" s="1146">
        <f t="shared" si="197"/>
        <v>433.07767985242845</v>
      </c>
    </row>
    <row r="668" spans="2:33" ht="14.4">
      <c r="B668" s="1134">
        <v>8910265</v>
      </c>
      <c r="C668" s="1135"/>
      <c r="D668" s="1134">
        <v>746318</v>
      </c>
      <c r="E668" s="1153">
        <v>42165</v>
      </c>
      <c r="F668" s="1154">
        <v>50000</v>
      </c>
      <c r="G668" s="1155">
        <v>10</v>
      </c>
      <c r="H668" s="1154">
        <v>58000</v>
      </c>
      <c r="I668" s="1155">
        <v>19.50</v>
      </c>
      <c r="J668" s="1156">
        <v>14365</v>
      </c>
      <c r="K668" s="1157"/>
      <c r="L668" s="1158">
        <v>42352</v>
      </c>
      <c r="M668" s="269">
        <f t="shared" si="201"/>
        <v>4</v>
      </c>
      <c r="N668" s="1074">
        <f t="shared" si="198"/>
        <v>500</v>
      </c>
      <c r="O668" s="1087">
        <f t="shared" si="181"/>
        <v>5566.4615384615399</v>
      </c>
      <c r="P668" s="269">
        <f t="shared" si="199"/>
        <v>1</v>
      </c>
      <c r="Q668" s="269" t="str">
        <f t="shared" si="200"/>
        <v/>
      </c>
      <c r="R668" s="1142"/>
      <c r="S668" s="1143" t="str">
        <f t="shared" si="183"/>
        <v>Upsize</v>
      </c>
      <c r="T668" s="1144">
        <f t="shared" si="184"/>
        <v>1920.6896551724137</v>
      </c>
      <c r="U668" s="1144">
        <f t="shared" si="185"/>
        <v>766.37931034482756</v>
      </c>
      <c r="V668" s="1146">
        <f t="shared" si="186"/>
        <v>14579.937304075236</v>
      </c>
      <c r="W668" s="1146">
        <f t="shared" si="187"/>
        <v>10942.232277526397</v>
      </c>
      <c r="X668" s="1146">
        <f t="shared" si="188"/>
        <v>3637.7050265488397</v>
      </c>
      <c r="Y668" s="1146">
        <f t="shared" si="189"/>
        <v>11532.650486603387</v>
      </c>
      <c r="Z668" s="1146">
        <f t="shared" si="190"/>
        <v>10942.232277526397</v>
      </c>
      <c r="AA668" s="1146">
        <f t="shared" si="191"/>
        <v>590.41820907699002</v>
      </c>
      <c r="AB668" s="1146">
        <f t="shared" si="192"/>
        <v>16912.727272727272</v>
      </c>
      <c r="AC668" s="1146">
        <f t="shared" si="193"/>
        <v>10942.232277526397</v>
      </c>
      <c r="AD668" s="1146">
        <f t="shared" si="194"/>
        <v>5970.4949952008756</v>
      </c>
      <c r="AE668" s="1146">
        <f t="shared" si="195"/>
        <v>13377.874564459929</v>
      </c>
      <c r="AF668" s="1146">
        <f t="shared" si="196"/>
        <v>10942.232277526397</v>
      </c>
      <c r="AG668" s="1146">
        <f t="shared" si="197"/>
        <v>2435.6422869335329</v>
      </c>
    </row>
    <row r="669" spans="2:33" ht="14.4">
      <c r="B669" s="1134">
        <v>3646593</v>
      </c>
      <c r="C669" s="1135"/>
      <c r="D669" s="1134">
        <v>364659</v>
      </c>
      <c r="E669" s="1153">
        <v>42214</v>
      </c>
      <c r="F669" s="1154">
        <v>20000</v>
      </c>
      <c r="G669" s="1155">
        <v>10</v>
      </c>
      <c r="H669" s="1154">
        <v>28000</v>
      </c>
      <c r="I669" s="1155">
        <v>15</v>
      </c>
      <c r="J669" s="1156">
        <v>6400</v>
      </c>
      <c r="K669" s="1157"/>
      <c r="L669" s="1158">
        <v>42352</v>
      </c>
      <c r="M669" s="269">
        <f t="shared" si="201"/>
        <v>4</v>
      </c>
      <c r="N669" s="1074">
        <f t="shared" si="198"/>
        <v>150</v>
      </c>
      <c r="O669" s="1087">
        <f t="shared" si="181"/>
        <v>366.39999999999981</v>
      </c>
      <c r="P669" s="269">
        <f t="shared" si="199"/>
        <v>1</v>
      </c>
      <c r="Q669" s="269" t="str">
        <f t="shared" si="200"/>
        <v/>
      </c>
      <c r="R669" s="1142"/>
      <c r="S669" s="1143" t="str">
        <f t="shared" si="183"/>
        <v>Upsize</v>
      </c>
      <c r="T669" s="1144">
        <f t="shared" si="184"/>
        <v>1591.4285714285716</v>
      </c>
      <c r="U669" s="1144">
        <f t="shared" si="185"/>
        <v>635</v>
      </c>
      <c r="V669" s="1146">
        <f t="shared" si="186"/>
        <v>4832.2077922077924</v>
      </c>
      <c r="W669" s="1146">
        <f t="shared" si="187"/>
        <v>5062.4313725490201</v>
      </c>
      <c r="X669" s="1146">
        <f t="shared" si="188"/>
        <v>-230.22358034122772</v>
      </c>
      <c r="Y669" s="1146">
        <f t="shared" si="189"/>
        <v>3822.2498755599804</v>
      </c>
      <c r="Z669" s="1146">
        <f t="shared" si="190"/>
        <v>5062.4313725490201</v>
      </c>
      <c r="AA669" s="1146">
        <f t="shared" si="191"/>
        <v>-1240.1814969890397</v>
      </c>
      <c r="AB669" s="1146">
        <f t="shared" si="192"/>
        <v>6765.0909090909099</v>
      </c>
      <c r="AC669" s="1146">
        <f t="shared" si="193"/>
        <v>5062.4313725490201</v>
      </c>
      <c r="AD669" s="1146">
        <f t="shared" si="194"/>
        <v>1702.6595365418898</v>
      </c>
      <c r="AE669" s="1146">
        <f t="shared" si="195"/>
        <v>5351.1498257839721</v>
      </c>
      <c r="AF669" s="1146">
        <f t="shared" si="196"/>
        <v>5062.4313725490201</v>
      </c>
      <c r="AG669" s="1146">
        <f t="shared" si="197"/>
        <v>288.71845323495199</v>
      </c>
    </row>
    <row r="670" spans="2:33" ht="14.4">
      <c r="B670" s="1134">
        <v>5221072</v>
      </c>
      <c r="C670" s="1135"/>
      <c r="D670" s="1134">
        <v>189320</v>
      </c>
      <c r="E670" s="1153">
        <v>42255</v>
      </c>
      <c r="F670" s="1154">
        <v>48000</v>
      </c>
      <c r="G670" s="1155">
        <v>10</v>
      </c>
      <c r="H670" s="1154">
        <v>47000</v>
      </c>
      <c r="I670" s="1155">
        <v>15</v>
      </c>
      <c r="J670" s="1156">
        <v>5641</v>
      </c>
      <c r="K670" s="1157"/>
      <c r="L670" s="1158">
        <v>42352</v>
      </c>
      <c r="M670" s="269">
        <f t="shared" si="201"/>
        <v>4</v>
      </c>
      <c r="N670" s="1074">
        <f t="shared" si="198"/>
        <v>250</v>
      </c>
      <c r="O670" s="1087">
        <f t="shared" si="181"/>
        <v>4580</v>
      </c>
      <c r="P670" s="269">
        <f t="shared" si="199"/>
        <v>1</v>
      </c>
      <c r="Q670" s="269" t="str">
        <f t="shared" si="200"/>
        <v/>
      </c>
      <c r="R670" s="1142"/>
      <c r="S670" s="1143" t="str">
        <f t="shared" si="183"/>
        <v>Downsize</v>
      </c>
      <c r="T670" s="1144">
        <f t="shared" si="184"/>
        <v>2275.4042553191489</v>
      </c>
      <c r="U670" s="1144">
        <f t="shared" si="185"/>
        <v>907.91489361702122</v>
      </c>
      <c r="V670" s="1146">
        <f t="shared" si="186"/>
        <v>16581.669632495163</v>
      </c>
      <c r="W670" s="1146">
        <f t="shared" si="187"/>
        <v>12149.835294117647</v>
      </c>
      <c r="X670" s="1146">
        <f t="shared" si="188"/>
        <v>4431.8343383775155</v>
      </c>
      <c r="Y670" s="1146">
        <f t="shared" si="189"/>
        <v>13116.009785751354</v>
      </c>
      <c r="Z670" s="1146">
        <f t="shared" si="190"/>
        <v>12149.835294117647</v>
      </c>
      <c r="AA670" s="1146">
        <f t="shared" si="191"/>
        <v>966.17449163370657</v>
      </c>
      <c r="AB670" s="1146">
        <f t="shared" si="192"/>
        <v>16236.218181818182</v>
      </c>
      <c r="AC670" s="1146">
        <f t="shared" si="193"/>
        <v>12149.835294117647</v>
      </c>
      <c r="AD670" s="1146">
        <f t="shared" si="194"/>
        <v>4086.3828877005344</v>
      </c>
      <c r="AE670" s="1146">
        <f t="shared" si="195"/>
        <v>12842.759581881533</v>
      </c>
      <c r="AF670" s="1146">
        <f t="shared" si="196"/>
        <v>12149.835294117647</v>
      </c>
      <c r="AG670" s="1146">
        <f t="shared" si="197"/>
        <v>692.92428776388624</v>
      </c>
    </row>
    <row r="671" spans="2:33" ht="14.4">
      <c r="B671" s="1134">
        <v>1434281</v>
      </c>
      <c r="C671" s="1135"/>
      <c r="D671" s="1134">
        <v>143428</v>
      </c>
      <c r="E671" s="1153">
        <v>42324</v>
      </c>
      <c r="F671" s="1154">
        <v>48000</v>
      </c>
      <c r="G671" s="1155">
        <v>10</v>
      </c>
      <c r="H671" s="1154">
        <v>56500</v>
      </c>
      <c r="I671" s="1155">
        <v>16</v>
      </c>
      <c r="J671" s="1156">
        <v>6150</v>
      </c>
      <c r="K671" s="1157"/>
      <c r="L671" s="1158">
        <v>42352</v>
      </c>
      <c r="M671" s="269">
        <f t="shared" si="201"/>
        <v>4</v>
      </c>
      <c r="N671" s="1074">
        <f t="shared" si="198"/>
        <v>375</v>
      </c>
      <c r="O671" s="1087">
        <f t="shared" si="181"/>
        <v>3486.5250000000001</v>
      </c>
      <c r="P671" s="269">
        <f t="shared" si="199"/>
        <v>1</v>
      </c>
      <c r="Q671" s="269" t="str">
        <f t="shared" si="200"/>
        <v/>
      </c>
      <c r="R671" s="1142"/>
      <c r="S671" s="1143" t="str">
        <f t="shared" si="183"/>
        <v>Upsize</v>
      </c>
      <c r="T671" s="1144">
        <f t="shared" si="184"/>
        <v>1892.8141592920354</v>
      </c>
      <c r="U671" s="1144">
        <f t="shared" si="185"/>
        <v>755.25663716814154</v>
      </c>
      <c r="V671" s="1146">
        <f t="shared" si="186"/>
        <v>13793.601287208368</v>
      </c>
      <c r="W671" s="1146">
        <f t="shared" si="187"/>
        <v>11704.235294117647</v>
      </c>
      <c r="X671" s="1146">
        <f t="shared" si="188"/>
        <v>2089.3659930907215</v>
      </c>
      <c r="Y671" s="1146">
        <f t="shared" si="189"/>
        <v>10910.663007616171</v>
      </c>
      <c r="Z671" s="1146">
        <f t="shared" si="190"/>
        <v>11704.235294117647</v>
      </c>
      <c r="AA671" s="1146">
        <f t="shared" si="191"/>
        <v>-793.5722865014759</v>
      </c>
      <c r="AB671" s="1146">
        <f t="shared" si="192"/>
        <v>16236.218181818183</v>
      </c>
      <c r="AC671" s="1146">
        <f t="shared" si="193"/>
        <v>11704.235294117647</v>
      </c>
      <c r="AD671" s="1146">
        <f t="shared" si="194"/>
        <v>4531.9828877005366</v>
      </c>
      <c r="AE671" s="1146">
        <f t="shared" si="195"/>
        <v>12842.759581881533</v>
      </c>
      <c r="AF671" s="1146">
        <f t="shared" si="196"/>
        <v>11704.235294117647</v>
      </c>
      <c r="AG671" s="1146">
        <f t="shared" si="197"/>
        <v>1138.5242877638866</v>
      </c>
    </row>
    <row r="672" spans="2:33" ht="14.4">
      <c r="B672" s="1134">
        <v>4999140</v>
      </c>
      <c r="C672" s="1135"/>
      <c r="D672" s="1134">
        <v>324432</v>
      </c>
      <c r="E672" s="1153">
        <v>42318</v>
      </c>
      <c r="F672" s="1154">
        <v>56000</v>
      </c>
      <c r="G672" s="1155">
        <v>10</v>
      </c>
      <c r="H672" s="1154">
        <v>56000</v>
      </c>
      <c r="I672" s="1155">
        <v>18</v>
      </c>
      <c r="J672" s="1156">
        <v>16875.61</v>
      </c>
      <c r="K672" s="1157"/>
      <c r="L672" s="1158">
        <v>42352</v>
      </c>
      <c r="M672" s="269">
        <f t="shared" si="201"/>
        <v>4</v>
      </c>
      <c r="N672" s="1074">
        <f t="shared" si="198"/>
        <v>450</v>
      </c>
      <c r="O672" s="1087">
        <f t="shared" si="181"/>
        <v>6839.4666666666662</v>
      </c>
      <c r="P672" s="269">
        <f t="shared" si="199"/>
        <v>1</v>
      </c>
      <c r="Q672" s="269" t="str">
        <f t="shared" si="200"/>
        <v/>
      </c>
      <c r="R672" s="1142"/>
      <c r="S672" s="1143" t="str">
        <f t="shared" si="183"/>
        <v>Same Size</v>
      </c>
      <c r="T672" s="1144">
        <f t="shared" si="184"/>
        <v>2228</v>
      </c>
      <c r="U672" s="1144">
        <f t="shared" si="185"/>
        <v>889</v>
      </c>
      <c r="V672" s="1146">
        <f t="shared" si="186"/>
        <v>18942.254545454547</v>
      </c>
      <c r="W672" s="1146">
        <f t="shared" si="187"/>
        <v>12788.496732026144</v>
      </c>
      <c r="X672" s="1146">
        <f t="shared" si="188"/>
        <v>6153.7578134284031</v>
      </c>
      <c r="Y672" s="1146">
        <f t="shared" si="189"/>
        <v>14983.219512195121</v>
      </c>
      <c r="Z672" s="1146">
        <f t="shared" si="190"/>
        <v>12788.496732026144</v>
      </c>
      <c r="AA672" s="1146">
        <f t="shared" si="191"/>
        <v>2194.7227801689769</v>
      </c>
      <c r="AB672" s="1146">
        <f t="shared" si="192"/>
        <v>18942.254545454547</v>
      </c>
      <c r="AC672" s="1146">
        <f t="shared" si="193"/>
        <v>12788.496732026144</v>
      </c>
      <c r="AD672" s="1146">
        <f t="shared" si="194"/>
        <v>6153.7578134284031</v>
      </c>
      <c r="AE672" s="1146">
        <f t="shared" si="195"/>
        <v>14983.219512195121</v>
      </c>
      <c r="AF672" s="1146">
        <f t="shared" si="196"/>
        <v>12788.496732026144</v>
      </c>
      <c r="AG672" s="1146">
        <f t="shared" si="197"/>
        <v>2194.7227801689769</v>
      </c>
    </row>
    <row r="673" spans="2:33" ht="14.4">
      <c r="B673" s="1134">
        <v>3904067</v>
      </c>
      <c r="C673" s="1135"/>
      <c r="D673" s="1134">
        <v>384470</v>
      </c>
      <c r="E673" s="1153">
        <v>42331</v>
      </c>
      <c r="F673" s="1154">
        <v>30000</v>
      </c>
      <c r="G673" s="1155">
        <v>10</v>
      </c>
      <c r="H673" s="1154">
        <v>41000</v>
      </c>
      <c r="I673" s="1155">
        <v>15</v>
      </c>
      <c r="J673" s="1156">
        <v>5100</v>
      </c>
      <c r="K673" s="1157"/>
      <c r="L673" s="1158">
        <v>42352</v>
      </c>
      <c r="M673" s="269">
        <f t="shared" si="201"/>
        <v>4</v>
      </c>
      <c r="N673" s="1074">
        <f t="shared" si="198"/>
        <v>225</v>
      </c>
      <c r="O673" s="1087">
        <f t="shared" si="181"/>
        <v>732.79999999999961</v>
      </c>
      <c r="P673" s="269">
        <f t="shared" si="199"/>
        <v>1</v>
      </c>
      <c r="Q673" s="269" t="str">
        <f t="shared" si="200"/>
        <v/>
      </c>
      <c r="R673" s="1142"/>
      <c r="S673" s="1143" t="str">
        <f t="shared" si="183"/>
        <v>Upsize</v>
      </c>
      <c r="T673" s="1144">
        <f t="shared" si="184"/>
        <v>1630.2439024390244</v>
      </c>
      <c r="U673" s="1144">
        <f t="shared" si="185"/>
        <v>650.48780487804879</v>
      </c>
      <c r="V673" s="1146">
        <f t="shared" si="186"/>
        <v>7425.0997782705099</v>
      </c>
      <c r="W673" s="1146">
        <f t="shared" si="187"/>
        <v>7593.6470588235297</v>
      </c>
      <c r="X673" s="1146">
        <f t="shared" si="188"/>
        <v>-168.54728055301985</v>
      </c>
      <c r="Y673" s="1146">
        <f t="shared" si="189"/>
        <v>5873.2132234214332</v>
      </c>
      <c r="Z673" s="1146">
        <f t="shared" si="190"/>
        <v>7593.6470588235297</v>
      </c>
      <c r="AA673" s="1146">
        <f t="shared" si="191"/>
        <v>-1720.4338354020965</v>
      </c>
      <c r="AB673" s="1146">
        <f t="shared" si="192"/>
        <v>10147.636363636364</v>
      </c>
      <c r="AC673" s="1146">
        <f t="shared" si="193"/>
        <v>7593.6470588235297</v>
      </c>
      <c r="AD673" s="1146">
        <f t="shared" si="194"/>
        <v>2553.9893048128342</v>
      </c>
      <c r="AE673" s="1146">
        <f t="shared" si="195"/>
        <v>8026.7247386759582</v>
      </c>
      <c r="AF673" s="1146">
        <f t="shared" si="196"/>
        <v>7593.6470588235297</v>
      </c>
      <c r="AG673" s="1146">
        <f t="shared" si="197"/>
        <v>433.07767985242845</v>
      </c>
    </row>
    <row r="674" spans="2:33" ht="14.4">
      <c r="B674" s="1134">
        <v>8884910</v>
      </c>
      <c r="C674" s="1135"/>
      <c r="D674" s="1134">
        <v>337029</v>
      </c>
      <c r="E674" s="1153">
        <v>42278</v>
      </c>
      <c r="F674" s="1154">
        <v>40000</v>
      </c>
      <c r="G674" s="1155">
        <v>10</v>
      </c>
      <c r="H674" s="1154">
        <v>47500</v>
      </c>
      <c r="I674" s="1155">
        <v>15</v>
      </c>
      <c r="J674" s="1156">
        <v>5335</v>
      </c>
      <c r="K674" s="1157"/>
      <c r="L674" s="1158">
        <v>42352</v>
      </c>
      <c r="M674" s="269">
        <f t="shared" si="201"/>
        <v>4</v>
      </c>
      <c r="N674" s="1074">
        <f t="shared" si="198"/>
        <v>250</v>
      </c>
      <c r="O674" s="1087">
        <f t="shared" si="181"/>
        <v>2290.0000000000005</v>
      </c>
      <c r="P674" s="269">
        <f t="shared" si="199"/>
        <v>1</v>
      </c>
      <c r="Q674" s="269" t="str">
        <f t="shared" si="200"/>
        <v/>
      </c>
      <c r="R674" s="1142"/>
      <c r="S674" s="1143" t="str">
        <f t="shared" si="183"/>
        <v>Upsize</v>
      </c>
      <c r="T674" s="1144">
        <f t="shared" si="184"/>
        <v>1876.2105263157894</v>
      </c>
      <c r="U674" s="1144">
        <f t="shared" si="185"/>
        <v>748.63157894736833</v>
      </c>
      <c r="V674" s="1146">
        <f t="shared" si="186"/>
        <v>11393.837320574163</v>
      </c>
      <c r="W674" s="1146">
        <f t="shared" si="187"/>
        <v>10124.862745098038</v>
      </c>
      <c r="X674" s="1146">
        <f t="shared" si="188"/>
        <v>1268.9745754761243</v>
      </c>
      <c r="Y674" s="1146">
        <f t="shared" si="189"/>
        <v>9012.4628644782679</v>
      </c>
      <c r="Z674" s="1146">
        <f t="shared" si="190"/>
        <v>10124.862745098038</v>
      </c>
      <c r="AA674" s="1146">
        <f t="shared" si="191"/>
        <v>-1112.3998806197706</v>
      </c>
      <c r="AB674" s="1146">
        <f t="shared" si="192"/>
        <v>13530.181818181818</v>
      </c>
      <c r="AC674" s="1146">
        <f t="shared" si="193"/>
        <v>10124.862745098038</v>
      </c>
      <c r="AD674" s="1146">
        <f t="shared" si="194"/>
        <v>3405.3190730837796</v>
      </c>
      <c r="AE674" s="1146">
        <f t="shared" si="195"/>
        <v>10702.299651567944</v>
      </c>
      <c r="AF674" s="1146">
        <f t="shared" si="196"/>
        <v>10124.862745098038</v>
      </c>
      <c r="AG674" s="1146">
        <f t="shared" si="197"/>
        <v>577.43690646990581</v>
      </c>
    </row>
    <row r="675" spans="2:33" ht="14.4">
      <c r="B675" s="1134">
        <v>5564109</v>
      </c>
      <c r="C675" s="1135"/>
      <c r="D675" s="1134">
        <v>86315</v>
      </c>
      <c r="E675" s="1153">
        <v>42312</v>
      </c>
      <c r="F675" s="1154">
        <v>40000</v>
      </c>
      <c r="G675" s="1155">
        <v>10</v>
      </c>
      <c r="H675" s="1154">
        <v>46000</v>
      </c>
      <c r="I675" s="1155">
        <v>15</v>
      </c>
      <c r="J675" s="1156">
        <v>6400</v>
      </c>
      <c r="K675" s="1157"/>
      <c r="L675" s="1158">
        <v>42352</v>
      </c>
      <c r="M675" s="269">
        <f t="shared" si="201"/>
        <v>4</v>
      </c>
      <c r="N675" s="1074">
        <f t="shared" si="198"/>
        <v>250</v>
      </c>
      <c r="O675" s="1087">
        <f t="shared" si="181"/>
        <v>2564.8000000000006</v>
      </c>
      <c r="P675" s="269">
        <f t="shared" si="199"/>
        <v>1</v>
      </c>
      <c r="Q675" s="269" t="str">
        <f t="shared" si="200"/>
        <v/>
      </c>
      <c r="R675" s="1142"/>
      <c r="S675" s="1143" t="str">
        <f t="shared" si="183"/>
        <v>Upsize</v>
      </c>
      <c r="T675" s="1144">
        <f t="shared" si="184"/>
        <v>1937.391304347826</v>
      </c>
      <c r="U675" s="1144">
        <f t="shared" si="185"/>
        <v>773.04347826086951</v>
      </c>
      <c r="V675" s="1146">
        <f t="shared" si="186"/>
        <v>11765.375494071144</v>
      </c>
      <c r="W675" s="1146">
        <f t="shared" si="187"/>
        <v>10124.862745098038</v>
      </c>
      <c r="X675" s="1146">
        <f t="shared" si="188"/>
        <v>1640.5127489731058</v>
      </c>
      <c r="Y675" s="1146">
        <f t="shared" si="189"/>
        <v>9306.3475231025604</v>
      </c>
      <c r="Z675" s="1146">
        <f t="shared" si="190"/>
        <v>10124.862745098038</v>
      </c>
      <c r="AA675" s="1146">
        <f t="shared" si="191"/>
        <v>-818.51522199547799</v>
      </c>
      <c r="AB675" s="1146">
        <f t="shared" si="192"/>
        <v>13530.181818181816</v>
      </c>
      <c r="AC675" s="1146">
        <f t="shared" si="193"/>
        <v>10124.862745098038</v>
      </c>
      <c r="AD675" s="1146">
        <f t="shared" si="194"/>
        <v>3405.3190730837778</v>
      </c>
      <c r="AE675" s="1146">
        <f t="shared" si="195"/>
        <v>10702.299651567944</v>
      </c>
      <c r="AF675" s="1146">
        <f t="shared" si="196"/>
        <v>10124.862745098038</v>
      </c>
      <c r="AG675" s="1146">
        <f t="shared" si="197"/>
        <v>577.43690646990581</v>
      </c>
    </row>
    <row r="676" spans="2:33" ht="14.4">
      <c r="B676" s="1134">
        <v>1501154</v>
      </c>
      <c r="C676" s="1135"/>
      <c r="D676" s="1134">
        <v>150115</v>
      </c>
      <c r="E676" s="1153">
        <v>42310</v>
      </c>
      <c r="F676" s="1154">
        <v>50000</v>
      </c>
      <c r="G676" s="1155">
        <v>10</v>
      </c>
      <c r="H676" s="1154">
        <v>58500</v>
      </c>
      <c r="I676" s="1155">
        <v>17</v>
      </c>
      <c r="J676" s="1156">
        <v>7570</v>
      </c>
      <c r="K676" s="1157"/>
      <c r="L676" s="1158">
        <v>42352</v>
      </c>
      <c r="M676" s="269">
        <f t="shared" si="201"/>
        <v>4</v>
      </c>
      <c r="N676" s="1074">
        <f t="shared" si="198"/>
        <v>425</v>
      </c>
      <c r="O676" s="1087">
        <f t="shared" si="181"/>
        <v>4283.6470588235306</v>
      </c>
      <c r="P676" s="269">
        <f t="shared" si="199"/>
        <v>1</v>
      </c>
      <c r="Q676" s="269" t="str">
        <f t="shared" si="200"/>
        <v/>
      </c>
      <c r="R676" s="1142"/>
      <c r="S676" s="1143" t="str">
        <f t="shared" si="183"/>
        <v>Upsize</v>
      </c>
      <c r="T676" s="1144">
        <f t="shared" si="184"/>
        <v>1904.2735042735042</v>
      </c>
      <c r="U676" s="1144">
        <f t="shared" si="185"/>
        <v>759.82905982905982</v>
      </c>
      <c r="V676" s="1146">
        <f t="shared" si="186"/>
        <v>14455.322455322454</v>
      </c>
      <c r="W676" s="1146">
        <f t="shared" si="187"/>
        <v>11782.35294117647</v>
      </c>
      <c r="X676" s="1146">
        <f t="shared" si="188"/>
        <v>2672.9695141459833</v>
      </c>
      <c r="Y676" s="1146">
        <f t="shared" si="189"/>
        <v>11434.080824324727</v>
      </c>
      <c r="Z676" s="1146">
        <f t="shared" si="190"/>
        <v>11782.35294117647</v>
      </c>
      <c r="AA676" s="1146">
        <f t="shared" si="191"/>
        <v>-348.2721168517437</v>
      </c>
      <c r="AB676" s="1146">
        <f t="shared" si="192"/>
        <v>16912.727272727272</v>
      </c>
      <c r="AC676" s="1146">
        <f t="shared" si="193"/>
        <v>11782.35294117647</v>
      </c>
      <c r="AD676" s="1146">
        <f t="shared" si="194"/>
        <v>5130.3743315508018</v>
      </c>
      <c r="AE676" s="1146">
        <f t="shared" si="195"/>
        <v>13377.874564459929</v>
      </c>
      <c r="AF676" s="1146">
        <f t="shared" si="196"/>
        <v>11782.35294117647</v>
      </c>
      <c r="AG676" s="1146">
        <f t="shared" si="197"/>
        <v>1595.5216232834591</v>
      </c>
    </row>
    <row r="677" spans="2:33" ht="14.4">
      <c r="B677" s="1134">
        <v>4560561</v>
      </c>
      <c r="C677" s="1135"/>
      <c r="D677" s="1134">
        <v>456056</v>
      </c>
      <c r="E677" s="1153">
        <v>42263</v>
      </c>
      <c r="F677" s="1154">
        <v>10000</v>
      </c>
      <c r="G677" s="1155">
        <v>10</v>
      </c>
      <c r="H677" s="1154">
        <v>24000</v>
      </c>
      <c r="I677" s="1155">
        <v>15</v>
      </c>
      <c r="J677" s="1156">
        <v>4800</v>
      </c>
      <c r="K677" s="1157"/>
      <c r="L677" s="1158">
        <v>42352</v>
      </c>
      <c r="M677" s="269">
        <f t="shared" si="201"/>
        <v>4</v>
      </c>
      <c r="N677" s="1074">
        <f t="shared" si="198"/>
        <v>125</v>
      </c>
      <c r="O677" s="1087">
        <f t="shared" si="181"/>
        <v>-1648.8000000000002</v>
      </c>
      <c r="P677" s="269">
        <f t="shared" si="199"/>
        <v>1</v>
      </c>
      <c r="Q677" s="269" t="str">
        <f t="shared" si="200"/>
        <v/>
      </c>
      <c r="R677" s="1142"/>
      <c r="S677" s="1143" t="str">
        <f t="shared" si="183"/>
        <v>Upsize</v>
      </c>
      <c r="T677" s="1144">
        <f t="shared" si="184"/>
        <v>928.33333333333337</v>
      </c>
      <c r="U677" s="1144">
        <f t="shared" si="185"/>
        <v>370.41666666666669</v>
      </c>
      <c r="V677" s="1146">
        <f t="shared" si="186"/>
        <v>1409.3939393939395</v>
      </c>
      <c r="W677" s="1146">
        <f t="shared" si="187"/>
        <v>2531.2156862745101</v>
      </c>
      <c r="X677" s="1146">
        <f t="shared" si="188"/>
        <v>-1121.8217468805706</v>
      </c>
      <c r="Y677" s="1146">
        <f t="shared" si="189"/>
        <v>1114.8228803716609</v>
      </c>
      <c r="Z677" s="1146">
        <f t="shared" si="190"/>
        <v>2531.2156862745101</v>
      </c>
      <c r="AA677" s="1146">
        <f t="shared" si="191"/>
        <v>-1416.3928059028492</v>
      </c>
      <c r="AB677" s="1146">
        <f t="shared" si="192"/>
        <v>3382.5454545454545</v>
      </c>
      <c r="AC677" s="1146">
        <f t="shared" si="193"/>
        <v>2531.2156862745101</v>
      </c>
      <c r="AD677" s="1146">
        <f t="shared" si="194"/>
        <v>851.32976827094444</v>
      </c>
      <c r="AE677" s="1146">
        <f t="shared" si="195"/>
        <v>2675.5749128919861</v>
      </c>
      <c r="AF677" s="1146">
        <f t="shared" si="196"/>
        <v>2531.2156862745101</v>
      </c>
      <c r="AG677" s="1146">
        <f t="shared" si="197"/>
        <v>144.359226617476</v>
      </c>
    </row>
    <row r="678" spans="2:33" ht="14.4">
      <c r="B678" s="1134">
        <v>5187638</v>
      </c>
      <c r="C678" s="1135"/>
      <c r="D678" s="1134">
        <v>158263</v>
      </c>
      <c r="E678" s="1153">
        <v>42283</v>
      </c>
      <c r="F678" s="1154">
        <v>36000</v>
      </c>
      <c r="G678" s="1155">
        <v>10</v>
      </c>
      <c r="H678" s="1154">
        <v>33400</v>
      </c>
      <c r="I678" s="1155">
        <v>15</v>
      </c>
      <c r="J678" s="1156">
        <v>9975</v>
      </c>
      <c r="K678" s="1157"/>
      <c r="L678" s="1158">
        <v>42352</v>
      </c>
      <c r="M678" s="269">
        <f t="shared" si="201"/>
        <v>4</v>
      </c>
      <c r="N678" s="1074">
        <f t="shared" si="202" ref="N678:N690">IF(L678&gt;40000,IFERROR(INDEX($E$12:$I$19,IF(H678&lt;=15000,1,IF(H678&gt;60000,"No Rebate",IF(H678&gt;54000,8,MIN(ROUND((H678-0.001)/6000,0)-1,7)))),IF(I678&lt;15,0,IF(I678&gt;18.5,5,ROUND(I678-14.001,0)))),"No Rebate"),"")</f>
        <v>175</v>
      </c>
      <c r="O678" s="1087">
        <f t="shared" si="181"/>
        <v>3773.9200000000005</v>
      </c>
      <c r="P678" s="269">
        <f t="shared" si="199"/>
        <v>1</v>
      </c>
      <c r="Q678" s="269" t="str">
        <f t="shared" si="200"/>
        <v/>
      </c>
      <c r="R678" s="1142"/>
      <c r="S678" s="1143" t="str">
        <f t="shared" si="183"/>
        <v>Downsize</v>
      </c>
      <c r="T678" s="1144">
        <f t="shared" si="184"/>
        <v>2401.4371257485031</v>
      </c>
      <c r="U678" s="1144">
        <f t="shared" si="185"/>
        <v>958.20359281437129</v>
      </c>
      <c r="V678" s="1146">
        <f t="shared" si="186"/>
        <v>13125.0865541644</v>
      </c>
      <c r="W678" s="1146">
        <f t="shared" si="187"/>
        <v>9112.376470588235</v>
      </c>
      <c r="X678" s="1146">
        <f t="shared" si="188"/>
        <v>4012.7100835761648</v>
      </c>
      <c r="Y678" s="1146">
        <f t="shared" si="189"/>
        <v>10381.871518287468</v>
      </c>
      <c r="Z678" s="1146">
        <f t="shared" si="190"/>
        <v>9112.376470588235</v>
      </c>
      <c r="AA678" s="1146">
        <f t="shared" si="191"/>
        <v>1269.4950476992326</v>
      </c>
      <c r="AB678" s="1146">
        <f t="shared" si="192"/>
        <v>12177.163636363637</v>
      </c>
      <c r="AC678" s="1146">
        <f t="shared" si="193"/>
        <v>9112.376470588235</v>
      </c>
      <c r="AD678" s="1146">
        <f t="shared" si="194"/>
        <v>3064.7871657754022</v>
      </c>
      <c r="AE678" s="1146">
        <f t="shared" si="195"/>
        <v>9632.0696864111505</v>
      </c>
      <c r="AF678" s="1146">
        <f t="shared" si="196"/>
        <v>9112.376470588235</v>
      </c>
      <c r="AG678" s="1146">
        <f t="shared" si="197"/>
        <v>519.69321582291559</v>
      </c>
    </row>
    <row r="679" spans="2:33" ht="14.4">
      <c r="B679" s="1134">
        <v>1450956</v>
      </c>
      <c r="C679" s="1135"/>
      <c r="D679" s="1134">
        <v>145095</v>
      </c>
      <c r="E679" s="1153">
        <v>42289</v>
      </c>
      <c r="F679" s="1154">
        <v>30000</v>
      </c>
      <c r="G679" s="1155">
        <v>9</v>
      </c>
      <c r="H679" s="1154">
        <v>41500</v>
      </c>
      <c r="I679" s="1155">
        <v>15</v>
      </c>
      <c r="J679" s="1156">
        <v>8977</v>
      </c>
      <c r="K679" s="1157"/>
      <c r="L679" s="1158">
        <v>42352</v>
      </c>
      <c r="M679" s="269">
        <f t="shared" si="201"/>
        <v>4</v>
      </c>
      <c r="N679" s="1074">
        <f t="shared" si="202"/>
        <v>225</v>
      </c>
      <c r="O679" s="1087">
        <f t="shared" si="181"/>
        <v>1557.200000000001</v>
      </c>
      <c r="P679" s="269">
        <f t="shared" si="199"/>
        <v>1</v>
      </c>
      <c r="Q679" s="269" t="str">
        <f t="shared" si="200"/>
        <v/>
      </c>
      <c r="R679" s="1142"/>
      <c r="S679" s="1143" t="str">
        <f t="shared" si="183"/>
        <v>Upsize</v>
      </c>
      <c r="T679" s="1144">
        <f t="shared" si="184"/>
        <v>1610.6024096385543</v>
      </c>
      <c r="U679" s="1144">
        <f t="shared" si="185"/>
        <v>642.65060240963851</v>
      </c>
      <c r="V679" s="1146">
        <f t="shared" si="186"/>
        <v>7872.50821467689</v>
      </c>
      <c r="W679" s="1146">
        <f t="shared" si="187"/>
        <v>7593.6470588235288</v>
      </c>
      <c r="X679" s="1146">
        <f t="shared" si="188"/>
        <v>278.8611558533612</v>
      </c>
      <c r="Y679" s="1146">
        <f t="shared" si="189"/>
        <v>5802.4516183199703</v>
      </c>
      <c r="Z679" s="1146">
        <f t="shared" si="190"/>
        <v>7593.6470588235288</v>
      </c>
      <c r="AA679" s="1146">
        <f t="shared" si="191"/>
        <v>-1791.1954405035585</v>
      </c>
      <c r="AB679" s="1146">
        <f t="shared" si="192"/>
        <v>10890.30303030303</v>
      </c>
      <c r="AC679" s="1146">
        <f t="shared" si="193"/>
        <v>7593.6470588235288</v>
      </c>
      <c r="AD679" s="1146">
        <f t="shared" si="194"/>
        <v>3296.6559714795012</v>
      </c>
      <c r="AE679" s="1146">
        <f t="shared" si="195"/>
        <v>8026.7247386759582</v>
      </c>
      <c r="AF679" s="1146">
        <f t="shared" si="196"/>
        <v>7593.6470588235288</v>
      </c>
      <c r="AG679" s="1146">
        <f t="shared" si="197"/>
        <v>433.07767985242936</v>
      </c>
    </row>
    <row r="680" spans="2:33" ht="14.4">
      <c r="B680" s="1134">
        <v>8870836</v>
      </c>
      <c r="C680" s="1135"/>
      <c r="D680" s="1134">
        <v>486300</v>
      </c>
      <c r="E680" s="1153">
        <v>42167</v>
      </c>
      <c r="F680" s="1154">
        <v>30000</v>
      </c>
      <c r="G680" s="1155">
        <v>10</v>
      </c>
      <c r="H680" s="1154">
        <v>46500</v>
      </c>
      <c r="I680" s="1155">
        <v>15</v>
      </c>
      <c r="J680" s="1156">
        <v>8520</v>
      </c>
      <c r="K680" s="1157"/>
      <c r="L680" s="1158">
        <v>42352</v>
      </c>
      <c r="M680" s="269">
        <f t="shared" si="201"/>
        <v>4</v>
      </c>
      <c r="N680" s="1074">
        <f t="shared" si="202"/>
        <v>250</v>
      </c>
      <c r="O680" s="1087">
        <f t="shared" si="181"/>
        <v>-274.80</v>
      </c>
      <c r="P680" s="269">
        <f t="shared" si="199"/>
        <v>1</v>
      </c>
      <c r="Q680" s="269" t="str">
        <f t="shared" si="200"/>
        <v/>
      </c>
      <c r="R680" s="1142"/>
      <c r="S680" s="1143" t="str">
        <f t="shared" si="183"/>
        <v>Upsize</v>
      </c>
      <c r="T680" s="1144">
        <f t="shared" si="184"/>
        <v>1437.4193548387098</v>
      </c>
      <c r="U680" s="1144">
        <f t="shared" si="185"/>
        <v>573.54838709677415</v>
      </c>
      <c r="V680" s="1146">
        <f t="shared" si="186"/>
        <v>6546.8621700879776</v>
      </c>
      <c r="W680" s="1146">
        <f t="shared" si="187"/>
        <v>7593.6470588235297</v>
      </c>
      <c r="X680" s="1146">
        <f t="shared" si="188"/>
        <v>-1046.7848887355522</v>
      </c>
      <c r="Y680" s="1146">
        <f t="shared" si="189"/>
        <v>5178.5320894683609</v>
      </c>
      <c r="Z680" s="1146">
        <f t="shared" si="190"/>
        <v>7593.6470588235297</v>
      </c>
      <c r="AA680" s="1146">
        <f t="shared" si="191"/>
        <v>-2415.1149693551688</v>
      </c>
      <c r="AB680" s="1146">
        <f t="shared" si="192"/>
        <v>10147.636363636364</v>
      </c>
      <c r="AC680" s="1146">
        <f t="shared" si="193"/>
        <v>7593.6470588235297</v>
      </c>
      <c r="AD680" s="1146">
        <f t="shared" si="194"/>
        <v>2553.9893048128342</v>
      </c>
      <c r="AE680" s="1146">
        <f t="shared" si="195"/>
        <v>8026.72473867596</v>
      </c>
      <c r="AF680" s="1146">
        <f t="shared" si="196"/>
        <v>7593.6470588235297</v>
      </c>
      <c r="AG680" s="1146">
        <f t="shared" si="197"/>
        <v>433.07767985243026</v>
      </c>
    </row>
    <row r="681" spans="2:33" ht="14.4">
      <c r="B681" s="1134">
        <v>6017693</v>
      </c>
      <c r="C681" s="1135"/>
      <c r="D681" s="1134">
        <v>245065</v>
      </c>
      <c r="E681" s="1153">
        <v>42163</v>
      </c>
      <c r="F681" s="1154">
        <v>30000</v>
      </c>
      <c r="G681" s="1155">
        <v>12</v>
      </c>
      <c r="H681" s="1154">
        <v>57000</v>
      </c>
      <c r="I681" s="1155">
        <v>15</v>
      </c>
      <c r="J681" s="1156">
        <v>6465</v>
      </c>
      <c r="K681" s="1157"/>
      <c r="L681" s="1158">
        <v>42352</v>
      </c>
      <c r="M681" s="269">
        <f t="shared" si="201"/>
        <v>4</v>
      </c>
      <c r="N681" s="1074">
        <f t="shared" si="202"/>
        <v>325</v>
      </c>
      <c r="O681" s="1087">
        <f t="shared" si="181"/>
        <v>-3572.40</v>
      </c>
      <c r="P681" s="269">
        <f t="shared" si="199"/>
        <v>1</v>
      </c>
      <c r="Q681" s="269" t="str">
        <f t="shared" si="200"/>
        <v/>
      </c>
      <c r="R681" s="1142"/>
      <c r="S681" s="1143" t="str">
        <f t="shared" si="183"/>
        <v>Upsize</v>
      </c>
      <c r="T681" s="1144">
        <f t="shared" si="184"/>
        <v>1172.6315789473683</v>
      </c>
      <c r="U681" s="1144">
        <f t="shared" si="185"/>
        <v>467.89473684210526</v>
      </c>
      <c r="V681" s="1146">
        <f t="shared" si="186"/>
        <v>4754.545454545454</v>
      </c>
      <c r="W681" s="1146">
        <f t="shared" si="187"/>
        <v>7593.6470588235297</v>
      </c>
      <c r="X681" s="1146">
        <f t="shared" si="188"/>
        <v>-2839.1016042780757</v>
      </c>
      <c r="Y681" s="1146">
        <f t="shared" si="189"/>
        <v>4224.5919677241882</v>
      </c>
      <c r="Z681" s="1146">
        <f t="shared" si="190"/>
        <v>7593.6470588235297</v>
      </c>
      <c r="AA681" s="1146">
        <f t="shared" si="191"/>
        <v>-3369.0550910993416</v>
      </c>
      <c r="AB681" s="1146">
        <f t="shared" si="192"/>
        <v>9033.6363636363621</v>
      </c>
      <c r="AC681" s="1146">
        <f t="shared" si="193"/>
        <v>7593.6470588235297</v>
      </c>
      <c r="AD681" s="1146">
        <f t="shared" si="194"/>
        <v>1439.9893048128324</v>
      </c>
      <c r="AE681" s="1146">
        <f t="shared" si="195"/>
        <v>8026.7247386759573</v>
      </c>
      <c r="AF681" s="1146">
        <f t="shared" si="196"/>
        <v>7593.6470588235297</v>
      </c>
      <c r="AG681" s="1146">
        <f t="shared" si="197"/>
        <v>433.07767985242754</v>
      </c>
    </row>
    <row r="682" spans="2:33" ht="14.4">
      <c r="B682" s="1134">
        <v>1342369</v>
      </c>
      <c r="C682" s="1135"/>
      <c r="D682" s="1134">
        <v>134236</v>
      </c>
      <c r="E682" s="1153">
        <v>42321</v>
      </c>
      <c r="F682" s="1154">
        <v>40000</v>
      </c>
      <c r="G682" s="1155">
        <v>10</v>
      </c>
      <c r="H682" s="1154">
        <v>48000</v>
      </c>
      <c r="I682" s="1155">
        <v>16</v>
      </c>
      <c r="J682" s="1156">
        <v>12539</v>
      </c>
      <c r="K682" s="1157"/>
      <c r="L682" s="1158">
        <v>42352</v>
      </c>
      <c r="M682" s="269">
        <f t="shared" si="201"/>
        <v>4</v>
      </c>
      <c r="N682" s="1074">
        <f t="shared" si="202"/>
        <v>300</v>
      </c>
      <c r="O682" s="1087">
        <f t="shared" si="181"/>
        <v>2748</v>
      </c>
      <c r="P682" s="269">
        <f t="shared" si="199"/>
        <v>1</v>
      </c>
      <c r="Q682" s="269" t="str">
        <f t="shared" si="200"/>
        <v/>
      </c>
      <c r="R682" s="1142"/>
      <c r="S682" s="1143" t="str">
        <f t="shared" si="183"/>
        <v>Upsize</v>
      </c>
      <c r="T682" s="1144">
        <f t="shared" si="184"/>
        <v>1856.6666666666667</v>
      </c>
      <c r="U682" s="1144">
        <f t="shared" si="185"/>
        <v>740.83333333333337</v>
      </c>
      <c r="V682" s="1146">
        <f t="shared" si="186"/>
        <v>11275.151515151516</v>
      </c>
      <c r="W682" s="1146">
        <f t="shared" si="187"/>
        <v>9753.5294117647063</v>
      </c>
      <c r="X682" s="1146">
        <f t="shared" si="188"/>
        <v>1521.6221033868096</v>
      </c>
      <c r="Y682" s="1146">
        <f t="shared" si="189"/>
        <v>8918.5830429732869</v>
      </c>
      <c r="Z682" s="1146">
        <f t="shared" si="190"/>
        <v>9753.5294117647063</v>
      </c>
      <c r="AA682" s="1146">
        <f t="shared" si="191"/>
        <v>-834.94636879141945</v>
      </c>
      <c r="AB682" s="1146">
        <f t="shared" si="192"/>
        <v>13530.181818181818</v>
      </c>
      <c r="AC682" s="1146">
        <f t="shared" si="193"/>
        <v>9753.5294117647063</v>
      </c>
      <c r="AD682" s="1146">
        <f t="shared" si="194"/>
        <v>3776.6524064171117</v>
      </c>
      <c r="AE682" s="1146">
        <f t="shared" si="195"/>
        <v>10702.299651567944</v>
      </c>
      <c r="AF682" s="1146">
        <f t="shared" si="196"/>
        <v>9753.5294117647063</v>
      </c>
      <c r="AG682" s="1146">
        <f t="shared" si="197"/>
        <v>948.77023980323793</v>
      </c>
    </row>
    <row r="683" spans="2:33" ht="14.4">
      <c r="B683" s="1134">
        <v>1896042</v>
      </c>
      <c r="C683" s="1135"/>
      <c r="D683" s="1134">
        <v>189604</v>
      </c>
      <c r="E683" s="1153">
        <v>42193</v>
      </c>
      <c r="F683" s="1154">
        <v>30000</v>
      </c>
      <c r="G683" s="1155">
        <v>12</v>
      </c>
      <c r="H683" s="1154">
        <v>36600</v>
      </c>
      <c r="I683" s="1155">
        <v>16</v>
      </c>
      <c r="J683" s="1156">
        <v>7700</v>
      </c>
      <c r="K683" s="1157"/>
      <c r="L683" s="1158">
        <v>42352</v>
      </c>
      <c r="M683" s="269">
        <f t="shared" si="201"/>
        <v>4</v>
      </c>
      <c r="N683" s="1074">
        <f t="shared" si="202"/>
        <v>225</v>
      </c>
      <c r="O683" s="1087">
        <f t="shared" si="181"/>
        <v>583.95000000000005</v>
      </c>
      <c r="P683" s="269">
        <f t="shared" si="199"/>
        <v>1</v>
      </c>
      <c r="Q683" s="269" t="str">
        <f t="shared" si="200"/>
        <v/>
      </c>
      <c r="R683" s="1142"/>
      <c r="S683" s="1143" t="str">
        <f t="shared" si="183"/>
        <v>Upsize</v>
      </c>
      <c r="T683" s="1144">
        <f t="shared" si="184"/>
        <v>1826.2295081967213</v>
      </c>
      <c r="U683" s="1144">
        <f t="shared" si="185"/>
        <v>728.68852459016398</v>
      </c>
      <c r="V683" s="1146">
        <f t="shared" si="186"/>
        <v>7404.6199701937403</v>
      </c>
      <c r="W683" s="1146">
        <f t="shared" si="187"/>
        <v>7315.1470588235306</v>
      </c>
      <c r="X683" s="1146">
        <f t="shared" si="188"/>
        <v>89.472911370209658</v>
      </c>
      <c r="Y683" s="1146">
        <f t="shared" si="189"/>
        <v>6579.2825726852116</v>
      </c>
      <c r="Z683" s="1146">
        <f t="shared" si="190"/>
        <v>7315.1470588235306</v>
      </c>
      <c r="AA683" s="1146">
        <f t="shared" si="191"/>
        <v>-735.86448613831908</v>
      </c>
      <c r="AB683" s="1146">
        <f t="shared" si="192"/>
        <v>9033.636363636364</v>
      </c>
      <c r="AC683" s="1146">
        <f t="shared" si="193"/>
        <v>7315.1470588235306</v>
      </c>
      <c r="AD683" s="1146">
        <f t="shared" si="194"/>
        <v>1718.4893048128333</v>
      </c>
      <c r="AE683" s="1146">
        <f t="shared" si="195"/>
        <v>8026.7247386759591</v>
      </c>
      <c r="AF683" s="1146">
        <f t="shared" si="196"/>
        <v>7315.1470588235306</v>
      </c>
      <c r="AG683" s="1146">
        <f t="shared" si="197"/>
        <v>711.57767985242845</v>
      </c>
    </row>
    <row r="684" spans="2:33" ht="14.4">
      <c r="B684" s="1134">
        <v>1840263</v>
      </c>
      <c r="C684" s="1135"/>
      <c r="D684" s="1134">
        <v>184026</v>
      </c>
      <c r="E684" s="1153">
        <v>42195</v>
      </c>
      <c r="F684" s="1154">
        <v>30000</v>
      </c>
      <c r="G684" s="1155">
        <v>13</v>
      </c>
      <c r="H684" s="1154">
        <v>35600</v>
      </c>
      <c r="I684" s="1155">
        <v>15</v>
      </c>
      <c r="J684" s="1156">
        <v>5112</v>
      </c>
      <c r="K684" s="1157"/>
      <c r="L684" s="1158">
        <v>42352</v>
      </c>
      <c r="M684" s="269">
        <f t="shared" si="201"/>
        <v>4</v>
      </c>
      <c r="N684" s="1074">
        <f t="shared" si="202"/>
        <v>175</v>
      </c>
      <c r="O684" s="1087">
        <f t="shared" si="181"/>
        <v>-180.38153846153909</v>
      </c>
      <c r="P684" s="269">
        <f t="shared" si="199"/>
        <v>1</v>
      </c>
      <c r="Q684" s="269" t="str">
        <f t="shared" si="200"/>
        <v/>
      </c>
      <c r="R684" s="1142"/>
      <c r="S684" s="1143" t="str">
        <f t="shared" si="183"/>
        <v>Upsize</v>
      </c>
      <c r="T684" s="1144">
        <f t="shared" si="184"/>
        <v>1877.5280898876404</v>
      </c>
      <c r="U684" s="1144">
        <f t="shared" si="185"/>
        <v>749.15730337078651</v>
      </c>
      <c r="V684" s="1146">
        <f t="shared" si="186"/>
        <v>7251.5518189675486</v>
      </c>
      <c r="W684" s="1146">
        <f t="shared" si="187"/>
        <v>7593.6470588235288</v>
      </c>
      <c r="X684" s="1146">
        <f t="shared" si="188"/>
        <v>-342.09523985598025</v>
      </c>
      <c r="Y684" s="1146">
        <f t="shared" si="189"/>
        <v>6764.0938809067065</v>
      </c>
      <c r="Z684" s="1146">
        <f t="shared" si="190"/>
        <v>7593.6470588235288</v>
      </c>
      <c r="AA684" s="1146">
        <f t="shared" si="191"/>
        <v>-829.55317791682228</v>
      </c>
      <c r="AB684" s="1146">
        <f t="shared" si="192"/>
        <v>8605.1748251748249</v>
      </c>
      <c r="AC684" s="1146">
        <f t="shared" si="193"/>
        <v>7593.6470588235288</v>
      </c>
      <c r="AD684" s="1146">
        <f t="shared" si="194"/>
        <v>1011.5277663512961</v>
      </c>
      <c r="AE684" s="1146">
        <f t="shared" si="195"/>
        <v>8026.7247386759591</v>
      </c>
      <c r="AF684" s="1146">
        <f t="shared" si="196"/>
        <v>7593.6470588235288</v>
      </c>
      <c r="AG684" s="1146">
        <f t="shared" si="197"/>
        <v>433.07767985243026</v>
      </c>
    </row>
    <row r="685" spans="2:33" ht="14.4">
      <c r="B685" s="1134">
        <v>8395592</v>
      </c>
      <c r="C685" s="1135"/>
      <c r="D685" s="1134">
        <v>828076</v>
      </c>
      <c r="E685" s="1153">
        <v>42192</v>
      </c>
      <c r="F685" s="1154">
        <v>30000</v>
      </c>
      <c r="G685" s="1155">
        <v>10</v>
      </c>
      <c r="H685" s="1154">
        <v>40000</v>
      </c>
      <c r="I685" s="1155">
        <v>14</v>
      </c>
      <c r="J685" s="1156">
        <v>5005</v>
      </c>
      <c r="K685" s="1157"/>
      <c r="L685" s="1158">
        <v>42352</v>
      </c>
      <c r="M685" s="269">
        <f t="shared" si="201"/>
        <v>4</v>
      </c>
      <c r="N685" s="1074" t="str">
        <f t="shared" si="202"/>
        <v>No Rebate</v>
      </c>
      <c r="O685" s="1087">
        <f t="shared" si="181"/>
        <v>392.57142857142804</v>
      </c>
      <c r="P685" s="269">
        <v>0</v>
      </c>
      <c r="Q685" s="269">
        <v>1</v>
      </c>
      <c r="R685" s="1142"/>
      <c r="S685" s="1143" t="str">
        <f t="shared" si="183"/>
        <v>Upsize</v>
      </c>
      <c r="T685" s="1144">
        <f t="shared" si="184"/>
        <v>1671</v>
      </c>
      <c r="U685" s="1144">
        <f t="shared" si="185"/>
        <v>666.75</v>
      </c>
      <c r="V685" s="1146">
        <f t="shared" si="186"/>
        <v>0</v>
      </c>
      <c r="W685" s="1146">
        <f t="shared" si="187"/>
        <v>0</v>
      </c>
      <c r="X685" s="1146">
        <f t="shared" si="188"/>
        <v>0</v>
      </c>
      <c r="Y685" s="1146">
        <f t="shared" si="189"/>
        <v>0</v>
      </c>
      <c r="Z685" s="1146">
        <f t="shared" si="190"/>
        <v>0</v>
      </c>
      <c r="AA685" s="1146">
        <f t="shared" si="191"/>
        <v>0</v>
      </c>
      <c r="AB685" s="1146">
        <f t="shared" si="192"/>
        <v>0</v>
      </c>
      <c r="AC685" s="1146">
        <f t="shared" si="193"/>
        <v>0</v>
      </c>
      <c r="AD685" s="1146">
        <f t="shared" si="194"/>
        <v>0</v>
      </c>
      <c r="AE685" s="1146">
        <f t="shared" si="195"/>
        <v>0</v>
      </c>
      <c r="AF685" s="1146">
        <f t="shared" si="196"/>
        <v>0</v>
      </c>
      <c r="AG685" s="1146">
        <f t="shared" si="197"/>
        <v>0</v>
      </c>
    </row>
    <row r="686" spans="2:33" ht="14.4">
      <c r="B686" s="1134">
        <v>6856165</v>
      </c>
      <c r="C686" s="1135"/>
      <c r="D686" s="1134">
        <v>676177</v>
      </c>
      <c r="E686" s="1153">
        <v>42305</v>
      </c>
      <c r="F686" s="1154">
        <v>24000</v>
      </c>
      <c r="G686" s="1155">
        <v>10</v>
      </c>
      <c r="H686" s="1154">
        <v>22000</v>
      </c>
      <c r="I686" s="1155">
        <v>14</v>
      </c>
      <c r="J686" s="1156">
        <v>3680</v>
      </c>
      <c r="K686" s="1157"/>
      <c r="L686" s="1158">
        <v>42352</v>
      </c>
      <c r="M686" s="269">
        <f t="shared" si="201"/>
        <v>4</v>
      </c>
      <c r="N686" s="1074" t="str">
        <f t="shared" si="202"/>
        <v>No Rebate</v>
      </c>
      <c r="O686" s="1087">
        <f t="shared" si="181"/>
        <v>2276.9142857142861</v>
      </c>
      <c r="P686" s="269">
        <v>0</v>
      </c>
      <c r="Q686" s="269">
        <v>1</v>
      </c>
      <c r="R686" s="1142"/>
      <c r="S686" s="1143" t="str">
        <f t="shared" si="183"/>
        <v>Downsize</v>
      </c>
      <c r="T686" s="1144">
        <f t="shared" si="184"/>
        <v>2430.5454545454545</v>
      </c>
      <c r="U686" s="1144">
        <f t="shared" si="185"/>
        <v>969.81818181818176</v>
      </c>
      <c r="V686" s="1146">
        <f t="shared" si="186"/>
        <v>0</v>
      </c>
      <c r="W686" s="1146">
        <f t="shared" si="187"/>
        <v>0</v>
      </c>
      <c r="X686" s="1146">
        <f t="shared" si="188"/>
        <v>0</v>
      </c>
      <c r="Y686" s="1146">
        <f t="shared" si="189"/>
        <v>0</v>
      </c>
      <c r="Z686" s="1146">
        <f t="shared" si="190"/>
        <v>0</v>
      </c>
      <c r="AA686" s="1146">
        <f t="shared" si="191"/>
        <v>0</v>
      </c>
      <c r="AB686" s="1146">
        <f t="shared" si="192"/>
        <v>0</v>
      </c>
      <c r="AC686" s="1146">
        <f t="shared" si="193"/>
        <v>0</v>
      </c>
      <c r="AD686" s="1146">
        <f t="shared" si="194"/>
        <v>0</v>
      </c>
      <c r="AE686" s="1146">
        <f t="shared" si="195"/>
        <v>0</v>
      </c>
      <c r="AF686" s="1146">
        <f t="shared" si="196"/>
        <v>0</v>
      </c>
      <c r="AG686" s="1146">
        <f t="shared" si="197"/>
        <v>0</v>
      </c>
    </row>
    <row r="687" spans="2:33" ht="14.4">
      <c r="B687" s="1134">
        <v>7842156</v>
      </c>
      <c r="C687" s="1135"/>
      <c r="D687" s="1134">
        <v>108178</v>
      </c>
      <c r="E687" s="1153">
        <v>42228</v>
      </c>
      <c r="F687" s="1154">
        <v>20000</v>
      </c>
      <c r="G687" s="1155">
        <v>10</v>
      </c>
      <c r="H687" s="1154">
        <v>28200</v>
      </c>
      <c r="I687" s="1155">
        <v>14</v>
      </c>
      <c r="J687" s="1156">
        <v>4186</v>
      </c>
      <c r="K687" s="1157"/>
      <c r="L687" s="1158">
        <v>42352</v>
      </c>
      <c r="M687" s="269">
        <f t="shared" si="201"/>
        <v>4</v>
      </c>
      <c r="N687" s="1074" t="str">
        <f t="shared" si="202"/>
        <v>No Rebate</v>
      </c>
      <c r="O687" s="1087">
        <f t="shared" si="181"/>
        <v>-39.257142857142682</v>
      </c>
      <c r="P687" s="269">
        <v>0</v>
      </c>
      <c r="Q687" s="269">
        <v>1</v>
      </c>
      <c r="R687" s="1142"/>
      <c r="S687" s="1143" t="str">
        <f t="shared" si="183"/>
        <v>Upsize</v>
      </c>
      <c r="T687" s="1144">
        <f t="shared" si="184"/>
        <v>1580.1418439716313</v>
      </c>
      <c r="U687" s="1144">
        <f t="shared" si="185"/>
        <v>630.4964539007093</v>
      </c>
      <c r="V687" s="1146">
        <f t="shared" si="186"/>
        <v>0</v>
      </c>
      <c r="W687" s="1146">
        <f t="shared" si="187"/>
        <v>0</v>
      </c>
      <c r="X687" s="1146">
        <f t="shared" si="188"/>
        <v>0</v>
      </c>
      <c r="Y687" s="1146">
        <f t="shared" si="189"/>
        <v>0</v>
      </c>
      <c r="Z687" s="1146">
        <f t="shared" si="190"/>
        <v>0</v>
      </c>
      <c r="AA687" s="1146">
        <f t="shared" si="191"/>
        <v>0</v>
      </c>
      <c r="AB687" s="1146">
        <f t="shared" si="192"/>
        <v>0</v>
      </c>
      <c r="AC687" s="1146">
        <f t="shared" si="193"/>
        <v>0</v>
      </c>
      <c r="AD687" s="1146">
        <f t="shared" si="194"/>
        <v>0</v>
      </c>
      <c r="AE687" s="1146">
        <f t="shared" si="195"/>
        <v>0</v>
      </c>
      <c r="AF687" s="1146">
        <f t="shared" si="196"/>
        <v>0</v>
      </c>
      <c r="AG687" s="1146">
        <f t="shared" si="197"/>
        <v>0</v>
      </c>
    </row>
    <row r="688" spans="2:33" ht="14.4">
      <c r="B688" s="1134">
        <v>6123483</v>
      </c>
      <c r="C688" s="1135"/>
      <c r="D688" s="1134">
        <v>412486</v>
      </c>
      <c r="E688" s="1153">
        <v>42278</v>
      </c>
      <c r="F688" s="1154">
        <v>43000</v>
      </c>
      <c r="G688" s="1155">
        <v>10</v>
      </c>
      <c r="H688" s="1154">
        <v>39000</v>
      </c>
      <c r="I688" s="1155">
        <v>14</v>
      </c>
      <c r="J688" s="1156">
        <v>1945</v>
      </c>
      <c r="K688" s="1157"/>
      <c r="L688" s="1158">
        <v>42352</v>
      </c>
      <c r="M688" s="269">
        <f t="shared" si="201"/>
        <v>4</v>
      </c>
      <c r="N688" s="1074" t="str">
        <f t="shared" si="202"/>
        <v>No Rebate</v>
      </c>
      <c r="O688" s="1087">
        <f t="shared" si="181"/>
        <v>4161.2571428571428</v>
      </c>
      <c r="P688" s="269">
        <v>0</v>
      </c>
      <c r="Q688" s="269">
        <v>1</v>
      </c>
      <c r="R688" s="1142"/>
      <c r="S688" s="1143" t="str">
        <f t="shared" si="183"/>
        <v>Downsize</v>
      </c>
      <c r="T688" s="1144">
        <f t="shared" si="184"/>
        <v>2456.5128205128208</v>
      </c>
      <c r="U688" s="1144">
        <f t="shared" si="185"/>
        <v>980.1794871794873</v>
      </c>
      <c r="V688" s="1146">
        <f t="shared" si="186"/>
        <v>0</v>
      </c>
      <c r="W688" s="1146">
        <f t="shared" si="187"/>
        <v>0</v>
      </c>
      <c r="X688" s="1146">
        <f t="shared" si="188"/>
        <v>0</v>
      </c>
      <c r="Y688" s="1146">
        <f t="shared" si="189"/>
        <v>0</v>
      </c>
      <c r="Z688" s="1146">
        <f t="shared" si="190"/>
        <v>0</v>
      </c>
      <c r="AA688" s="1146">
        <f t="shared" si="191"/>
        <v>0</v>
      </c>
      <c r="AB688" s="1146">
        <f t="shared" si="192"/>
        <v>0</v>
      </c>
      <c r="AC688" s="1146">
        <f t="shared" si="193"/>
        <v>0</v>
      </c>
      <c r="AD688" s="1146">
        <f t="shared" si="194"/>
        <v>0</v>
      </c>
      <c r="AE688" s="1146">
        <f t="shared" si="195"/>
        <v>0</v>
      </c>
      <c r="AF688" s="1146">
        <f t="shared" si="196"/>
        <v>0</v>
      </c>
      <c r="AG688" s="1146">
        <f t="shared" si="197"/>
        <v>0</v>
      </c>
    </row>
    <row r="689" spans="2:33" ht="14.4">
      <c r="B689" s="1134">
        <v>5035589</v>
      </c>
      <c r="C689" s="1135"/>
      <c r="D689" s="1134">
        <v>190327</v>
      </c>
      <c r="E689" s="1153">
        <v>42319</v>
      </c>
      <c r="F689" s="1154">
        <v>30000</v>
      </c>
      <c r="G689" s="1155">
        <v>13</v>
      </c>
      <c r="H689" s="1154">
        <v>40000</v>
      </c>
      <c r="I689" s="1155">
        <v>14</v>
      </c>
      <c r="J689" s="1156">
        <v>6106.61</v>
      </c>
      <c r="K689" s="1157"/>
      <c r="L689" s="1158">
        <v>42352</v>
      </c>
      <c r="M689" s="269">
        <f t="shared" si="201"/>
        <v>4</v>
      </c>
      <c r="N689" s="1074" t="str">
        <f t="shared" si="202"/>
        <v>No Rebate</v>
      </c>
      <c r="O689" s="1087">
        <f t="shared" si="181"/>
        <v>-1509.8901098901108</v>
      </c>
      <c r="P689" s="269">
        <v>0</v>
      </c>
      <c r="Q689" s="269">
        <v>1</v>
      </c>
      <c r="R689" s="1142"/>
      <c r="S689" s="1143" t="str">
        <f t="shared" si="183"/>
        <v>Upsize</v>
      </c>
      <c r="T689" s="1144">
        <f t="shared" si="184"/>
        <v>1671</v>
      </c>
      <c r="U689" s="1144">
        <f t="shared" si="185"/>
        <v>666.75</v>
      </c>
      <c r="V689" s="1146">
        <f t="shared" si="186"/>
        <v>0</v>
      </c>
      <c r="W689" s="1146">
        <f t="shared" si="187"/>
        <v>0</v>
      </c>
      <c r="X689" s="1146">
        <f t="shared" si="188"/>
        <v>0</v>
      </c>
      <c r="Y689" s="1146">
        <f t="shared" si="189"/>
        <v>0</v>
      </c>
      <c r="Z689" s="1146">
        <f t="shared" si="190"/>
        <v>0</v>
      </c>
      <c r="AA689" s="1146">
        <f t="shared" si="191"/>
        <v>0</v>
      </c>
      <c r="AB689" s="1146">
        <f t="shared" si="192"/>
        <v>0</v>
      </c>
      <c r="AC689" s="1146">
        <f t="shared" si="193"/>
        <v>0</v>
      </c>
      <c r="AD689" s="1146">
        <f t="shared" si="194"/>
        <v>0</v>
      </c>
      <c r="AE689" s="1146">
        <f t="shared" si="195"/>
        <v>0</v>
      </c>
      <c r="AF689" s="1146">
        <f t="shared" si="196"/>
        <v>0</v>
      </c>
      <c r="AG689" s="1146">
        <f t="shared" si="197"/>
        <v>0</v>
      </c>
    </row>
    <row r="690" spans="2:33" ht="14.4">
      <c r="B690" s="1134">
        <v>5182795</v>
      </c>
      <c r="C690" s="1135"/>
      <c r="D690" s="1134">
        <v>418688</v>
      </c>
      <c r="E690" s="1153">
        <v>42241</v>
      </c>
      <c r="F690" s="1154">
        <v>40000</v>
      </c>
      <c r="G690" s="1155">
        <v>10</v>
      </c>
      <c r="H690" s="1154">
        <v>56500</v>
      </c>
      <c r="I690" s="1155">
        <v>14</v>
      </c>
      <c r="J690" s="1156">
        <v>6280</v>
      </c>
      <c r="K690" s="1157"/>
      <c r="L690" s="1158">
        <v>42352</v>
      </c>
      <c r="M690" s="269">
        <f t="shared" si="201"/>
        <v>4</v>
      </c>
      <c r="N690" s="1074" t="str">
        <f t="shared" si="202"/>
        <v>No Rebate</v>
      </c>
      <c r="O690" s="1087">
        <f t="shared" si="181"/>
        <v>-98.142857142857324</v>
      </c>
      <c r="P690" s="269">
        <v>0</v>
      </c>
      <c r="Q690" s="269">
        <v>1</v>
      </c>
      <c r="R690" s="1142"/>
      <c r="S690" s="1143" t="str">
        <f t="shared" si="183"/>
        <v>Upsize</v>
      </c>
      <c r="T690" s="1144">
        <f t="shared" si="184"/>
        <v>1577.3451327433629</v>
      </c>
      <c r="U690" s="1144">
        <f t="shared" si="185"/>
        <v>629.3805309734513</v>
      </c>
      <c r="V690" s="1146">
        <f t="shared" si="186"/>
        <v>0</v>
      </c>
      <c r="W690" s="1146">
        <f t="shared" si="187"/>
        <v>0</v>
      </c>
      <c r="X690" s="1146">
        <f t="shared" si="188"/>
        <v>0</v>
      </c>
      <c r="Y690" s="1146">
        <f t="shared" si="189"/>
        <v>0</v>
      </c>
      <c r="Z690" s="1146">
        <f t="shared" si="190"/>
        <v>0</v>
      </c>
      <c r="AA690" s="1146">
        <f t="shared" si="191"/>
        <v>0</v>
      </c>
      <c r="AB690" s="1146">
        <f t="shared" si="192"/>
        <v>0</v>
      </c>
      <c r="AC690" s="1146">
        <f t="shared" si="193"/>
        <v>0</v>
      </c>
      <c r="AD690" s="1146">
        <f t="shared" si="194"/>
        <v>0</v>
      </c>
      <c r="AE690" s="1146">
        <f t="shared" si="195"/>
        <v>0</v>
      </c>
      <c r="AF690" s="1146">
        <f t="shared" si="196"/>
        <v>0</v>
      </c>
      <c r="AG690" s="1146">
        <f t="shared" si="197"/>
        <v>0</v>
      </c>
    </row>
  </sheetData>
  <autoFilter ref="B59:AE690"/>
  <mergeCells count="23">
    <mergeCell ref="AE58:AG58"/>
    <mergeCell ref="B2:Q2"/>
    <mergeCell ref="B5:I5"/>
    <mergeCell ref="B6:I6"/>
    <mergeCell ref="E9:I9"/>
    <mergeCell ref="B12:B19"/>
    <mergeCell ref="S3:V3"/>
    <mergeCell ref="S2:V2"/>
    <mergeCell ref="S11:V11"/>
    <mergeCell ref="S21:V21"/>
    <mergeCell ref="B58:R58"/>
    <mergeCell ref="Y58:AA58"/>
    <mergeCell ref="AB58:AD58"/>
    <mergeCell ref="B31:H31"/>
    <mergeCell ref="B32:H32"/>
    <mergeCell ref="B22:H22"/>
    <mergeCell ref="V58:X58"/>
    <mergeCell ref="S25:V30"/>
    <mergeCell ref="B23:H23"/>
    <mergeCell ref="B40:H40"/>
    <mergeCell ref="B41:H41"/>
    <mergeCell ref="B49:H49"/>
    <mergeCell ref="B50:H50"/>
  </mergeCells>
  <pageMargins left="0.7" right="0.7" top="0.75" bottom="0.75" header="0.3" footer="0.3"/>
  <pageSetup orientation="portrait" r:id="rId3"/>
  <ignoredErrors>
    <ignoredError sqref="E25:E28 E34:E37 E43:E46 E52:E55" formula="1"/>
  </ignoredErrors>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theme="5" tint="0.39998"/>
  </sheetPr>
  <dimension ref="B1:E222"/>
  <sheetViews>
    <sheetView zoomScale="70" zoomScaleNormal="70" workbookViewId="0" topLeftCell="A1">
      <selection pane="topLeft" activeCell="A1" sqref="A1"/>
    </sheetView>
  </sheetViews>
  <sheetFormatPr defaultColWidth="9.21875" defaultRowHeight="14.4" outlineLevelRow="1"/>
  <cols>
    <col min="1" max="1" width="9.22222222222222" style="865"/>
    <col min="2" max="2" width="51.2222222222222" style="865" bestFit="1" customWidth="1"/>
    <col min="3" max="3" width="10.2222222222222" style="865" bestFit="1" customWidth="1"/>
    <col min="4" max="4" width="10.5555555555556" style="865" bestFit="1" customWidth="1"/>
    <col min="5" max="5" width="12.7777777777778" style="865" bestFit="1" customWidth="1"/>
    <col min="6" max="16384" width="9.22222222222222" style="865"/>
  </cols>
  <sheetData>
    <row r="1" ht="14.4">
      <c r="B1" s="1032" t="s">
        <v>1632</v>
      </c>
    </row>
    <row r="2" spans="2:5" ht="14.4">
      <c r="B2" s="1160" t="s">
        <v>642</v>
      </c>
      <c r="C2" s="290" t="s">
        <v>359</v>
      </c>
      <c r="D2" s="290" t="s">
        <v>358</v>
      </c>
      <c r="E2" s="289" t="s">
        <v>143</v>
      </c>
    </row>
    <row r="3" spans="2:5" ht="14.4" outlineLevel="1">
      <c r="B3" s="1161" t="s">
        <v>641</v>
      </c>
      <c r="C3" s="288">
        <v>2228</v>
      </c>
      <c r="D3" s="288">
        <v>889</v>
      </c>
      <c r="E3" s="287" t="s">
        <v>427</v>
      </c>
    </row>
    <row r="4" spans="2:5" ht="14.4" outlineLevel="1">
      <c r="B4" s="1162" t="s">
        <v>640</v>
      </c>
      <c r="C4" s="1159">
        <v>0</v>
      </c>
      <c r="D4" s="1159">
        <v>3128</v>
      </c>
      <c r="E4" s="287" t="s">
        <v>427</v>
      </c>
    </row>
    <row r="5" spans="2:5" ht="14.4" outlineLevel="1">
      <c r="B5" s="1162" t="s">
        <v>639</v>
      </c>
      <c r="C5" s="1159">
        <v>0</v>
      </c>
      <c r="D5" s="1159">
        <v>4612</v>
      </c>
      <c r="E5" s="287" t="s">
        <v>427</v>
      </c>
    </row>
    <row r="6" spans="2:5" ht="14.4" outlineLevel="1">
      <c r="B6" s="1162" t="s">
        <v>638</v>
      </c>
      <c r="C6" s="1159">
        <v>129</v>
      </c>
      <c r="D6" s="1159">
        <v>3059</v>
      </c>
      <c r="E6" s="287" t="s">
        <v>427</v>
      </c>
    </row>
    <row r="7" spans="2:5" ht="14.4" outlineLevel="1">
      <c r="B7" s="1162" t="s">
        <v>637</v>
      </c>
      <c r="C7" s="1159">
        <v>0</v>
      </c>
      <c r="D7" s="1159">
        <v>3414</v>
      </c>
      <c r="E7" s="287" t="s">
        <v>427</v>
      </c>
    </row>
    <row r="8" spans="2:5" ht="14.4" outlineLevel="1">
      <c r="B8" s="1162" t="s">
        <v>636</v>
      </c>
      <c r="C8" s="1159">
        <v>0</v>
      </c>
      <c r="D8" s="1159">
        <v>3749</v>
      </c>
      <c r="E8" s="287" t="s">
        <v>427</v>
      </c>
    </row>
    <row r="9" spans="2:5" ht="14.4" outlineLevel="1">
      <c r="B9" s="1162" t="s">
        <v>635</v>
      </c>
      <c r="C9" s="1159">
        <v>1557</v>
      </c>
      <c r="D9" s="1159">
        <v>1562</v>
      </c>
      <c r="E9" s="287" t="s">
        <v>427</v>
      </c>
    </row>
    <row r="10" spans="2:5" ht="14.4" outlineLevel="1">
      <c r="B10" s="1162" t="s">
        <v>634</v>
      </c>
      <c r="C10" s="1159">
        <v>1464</v>
      </c>
      <c r="D10" s="1159">
        <v>1606</v>
      </c>
      <c r="E10" s="287" t="s">
        <v>427</v>
      </c>
    </row>
    <row r="11" spans="2:5" ht="14.4" outlineLevel="1">
      <c r="B11" s="1162" t="s">
        <v>633</v>
      </c>
      <c r="C11" s="1159">
        <v>2265</v>
      </c>
      <c r="D11" s="1159">
        <v>1130</v>
      </c>
      <c r="E11" s="287" t="s">
        <v>427</v>
      </c>
    </row>
    <row r="12" spans="2:5" ht="14.4" outlineLevel="1">
      <c r="B12" s="1162" t="s">
        <v>632</v>
      </c>
      <c r="C12" s="1159">
        <v>1819</v>
      </c>
      <c r="D12" s="1159">
        <v>1366</v>
      </c>
      <c r="E12" s="287" t="s">
        <v>427</v>
      </c>
    </row>
    <row r="13" spans="2:5" ht="14.4" outlineLevel="1">
      <c r="B13" s="1162" t="s">
        <v>631</v>
      </c>
      <c r="C13" s="1159">
        <v>1432</v>
      </c>
      <c r="D13" s="1159">
        <v>1738</v>
      </c>
      <c r="E13" s="287" t="s">
        <v>427</v>
      </c>
    </row>
    <row r="14" spans="2:5" ht="14.4" outlineLevel="1">
      <c r="B14" s="1162" t="s">
        <v>630</v>
      </c>
      <c r="C14" s="1159">
        <v>1583</v>
      </c>
      <c r="D14" s="1159">
        <v>1681</v>
      </c>
      <c r="E14" s="287" t="s">
        <v>427</v>
      </c>
    </row>
    <row r="15" spans="2:5" ht="14.4" outlineLevel="1">
      <c r="B15" s="1162" t="s">
        <v>629</v>
      </c>
      <c r="C15" s="1159">
        <v>179</v>
      </c>
      <c r="D15" s="1159">
        <v>2854</v>
      </c>
      <c r="E15" s="287" t="s">
        <v>427</v>
      </c>
    </row>
    <row r="16" spans="2:5" ht="14.4" outlineLevel="1">
      <c r="B16" s="1162" t="s">
        <v>628</v>
      </c>
      <c r="C16" s="1159">
        <v>2141</v>
      </c>
      <c r="D16" s="1159">
        <v>1116</v>
      </c>
      <c r="E16" s="287" t="s">
        <v>427</v>
      </c>
    </row>
    <row r="17" spans="2:5" ht="14.4" outlineLevel="1">
      <c r="B17" s="1162" t="s">
        <v>627</v>
      </c>
      <c r="C17" s="1159">
        <v>1842</v>
      </c>
      <c r="D17" s="1159">
        <v>1261</v>
      </c>
      <c r="E17" s="287" t="s">
        <v>427</v>
      </c>
    </row>
    <row r="18" spans="2:5" ht="14.4" outlineLevel="1">
      <c r="B18" s="1162" t="s">
        <v>626</v>
      </c>
      <c r="C18" s="1159">
        <v>950</v>
      </c>
      <c r="D18" s="1159">
        <v>2112</v>
      </c>
      <c r="E18" s="287" t="s">
        <v>427</v>
      </c>
    </row>
    <row r="19" spans="2:5" ht="14.4" outlineLevel="1">
      <c r="B19" s="1162" t="s">
        <v>625</v>
      </c>
      <c r="C19" s="1159">
        <v>2315</v>
      </c>
      <c r="D19" s="1159">
        <v>907</v>
      </c>
      <c r="E19" s="287" t="s">
        <v>427</v>
      </c>
    </row>
    <row r="20" spans="2:5" ht="14.4" outlineLevel="1">
      <c r="B20" s="1162" t="s">
        <v>624</v>
      </c>
      <c r="C20" s="1159">
        <v>1166</v>
      </c>
      <c r="D20" s="1159">
        <v>1277</v>
      </c>
      <c r="E20" s="287" t="s">
        <v>427</v>
      </c>
    </row>
    <row r="21" spans="2:5" ht="14.4" outlineLevel="1">
      <c r="B21" s="1162" t="s">
        <v>623</v>
      </c>
      <c r="C21" s="1159">
        <v>1530</v>
      </c>
      <c r="D21" s="1159">
        <v>1070</v>
      </c>
      <c r="E21" s="287" t="s">
        <v>427</v>
      </c>
    </row>
    <row r="22" spans="2:5" ht="14.4" outlineLevel="1">
      <c r="B22" s="1162" t="s">
        <v>622</v>
      </c>
      <c r="C22" s="1159">
        <v>2092</v>
      </c>
      <c r="D22" s="1159">
        <v>630</v>
      </c>
      <c r="E22" s="287" t="s">
        <v>427</v>
      </c>
    </row>
    <row r="23" spans="2:5" ht="14.4" outlineLevel="1">
      <c r="B23" s="1162" t="s">
        <v>621</v>
      </c>
      <c r="C23" s="1159">
        <v>871</v>
      </c>
      <c r="D23" s="1159">
        <v>2016</v>
      </c>
      <c r="E23" s="287" t="s">
        <v>427</v>
      </c>
    </row>
    <row r="24" spans="2:5" ht="14.4" outlineLevel="1">
      <c r="B24" s="1162" t="s">
        <v>620</v>
      </c>
      <c r="C24" s="1159">
        <v>1347</v>
      </c>
      <c r="D24" s="1159">
        <v>1467</v>
      </c>
      <c r="E24" s="287" t="s">
        <v>427</v>
      </c>
    </row>
    <row r="25" spans="2:5" ht="14.4" outlineLevel="1">
      <c r="B25" s="1162" t="s">
        <v>619</v>
      </c>
      <c r="C25" s="1159">
        <v>224</v>
      </c>
      <c r="D25" s="1159">
        <v>2948</v>
      </c>
      <c r="E25" s="287" t="s">
        <v>427</v>
      </c>
    </row>
    <row r="26" spans="2:5" ht="14.4" outlineLevel="1">
      <c r="B26" s="1162" t="s">
        <v>618</v>
      </c>
      <c r="C26" s="1159">
        <v>1158</v>
      </c>
      <c r="D26" s="1159">
        <v>1834</v>
      </c>
      <c r="E26" s="287" t="s">
        <v>427</v>
      </c>
    </row>
    <row r="27" spans="2:5" ht="14.4" outlineLevel="1">
      <c r="B27" s="1162" t="s">
        <v>617</v>
      </c>
      <c r="C27" s="1159">
        <v>97</v>
      </c>
      <c r="D27" s="1159">
        <v>2947</v>
      </c>
      <c r="E27" s="287" t="s">
        <v>427</v>
      </c>
    </row>
    <row r="28" spans="2:5" ht="14.4" outlineLevel="1">
      <c r="B28" s="1162" t="s">
        <v>616</v>
      </c>
      <c r="C28" s="1159">
        <v>523</v>
      </c>
      <c r="D28" s="1159">
        <v>2418</v>
      </c>
      <c r="E28" s="287" t="s">
        <v>427</v>
      </c>
    </row>
    <row r="29" spans="2:5" ht="14.4" outlineLevel="1">
      <c r="B29" s="1162" t="s">
        <v>615</v>
      </c>
      <c r="C29" s="1159">
        <v>628</v>
      </c>
      <c r="D29" s="1159">
        <v>2255</v>
      </c>
      <c r="E29" s="287" t="s">
        <v>427</v>
      </c>
    </row>
    <row r="30" spans="2:5" ht="14.4" outlineLevel="1">
      <c r="B30" s="1162" t="s">
        <v>614</v>
      </c>
      <c r="C30" s="1159">
        <v>997</v>
      </c>
      <c r="D30" s="1159">
        <v>2352</v>
      </c>
      <c r="E30" s="287" t="s">
        <v>427</v>
      </c>
    </row>
    <row r="31" spans="2:5" ht="14.4" outlineLevel="1">
      <c r="B31" s="1162" t="s">
        <v>613</v>
      </c>
      <c r="C31" s="1159">
        <v>834</v>
      </c>
      <c r="D31" s="1159">
        <v>2018</v>
      </c>
      <c r="E31" s="287" t="s">
        <v>427</v>
      </c>
    </row>
    <row r="32" spans="2:5" ht="14.4" outlineLevel="1">
      <c r="B32" s="1162" t="s">
        <v>612</v>
      </c>
      <c r="C32" s="1159">
        <v>942</v>
      </c>
      <c r="D32" s="1159">
        <v>2358</v>
      </c>
      <c r="E32" s="287" t="s">
        <v>427</v>
      </c>
    </row>
    <row r="33" spans="2:5" ht="14.4" outlineLevel="1">
      <c r="B33" s="1162" t="s">
        <v>611</v>
      </c>
      <c r="C33" s="1159">
        <v>695</v>
      </c>
      <c r="D33" s="1159">
        <v>2555</v>
      </c>
      <c r="E33" s="287" t="s">
        <v>427</v>
      </c>
    </row>
    <row r="34" spans="2:5" ht="14.4" outlineLevel="1">
      <c r="B34" s="1162" t="s">
        <v>610</v>
      </c>
      <c r="C34" s="1159">
        <v>1320</v>
      </c>
      <c r="D34" s="1159">
        <v>2061</v>
      </c>
      <c r="E34" s="287" t="s">
        <v>427</v>
      </c>
    </row>
    <row r="35" spans="2:5" ht="14.4" outlineLevel="1">
      <c r="B35" s="1162" t="s">
        <v>609</v>
      </c>
      <c r="C35" s="1159">
        <v>1015</v>
      </c>
      <c r="D35" s="1159">
        <v>2346</v>
      </c>
      <c r="E35" s="287" t="s">
        <v>427</v>
      </c>
    </row>
    <row r="36" spans="2:5" ht="14.4" collapsed="1">
      <c r="B36" s="1162" t="s">
        <v>608</v>
      </c>
      <c r="C36" s="1159">
        <v>2763</v>
      </c>
      <c r="D36" s="1159">
        <v>720</v>
      </c>
      <c r="E36" s="287" t="s">
        <v>427</v>
      </c>
    </row>
    <row r="37" spans="2:5" ht="14.4">
      <c r="B37" s="1162" t="s">
        <v>350</v>
      </c>
      <c r="C37" s="1159">
        <v>3288</v>
      </c>
      <c r="D37" s="1159">
        <v>504</v>
      </c>
      <c r="E37" s="287" t="s">
        <v>427</v>
      </c>
    </row>
    <row r="38" spans="2:5" ht="14.4">
      <c r="B38" s="1163" t="s">
        <v>342</v>
      </c>
      <c r="C38" s="1164">
        <v>2228</v>
      </c>
      <c r="D38" s="1164">
        <v>889</v>
      </c>
      <c r="E38" s="289" t="s">
        <v>427</v>
      </c>
    </row>
    <row r="39" spans="2:5" ht="14.4">
      <c r="B39" s="1162" t="s">
        <v>607</v>
      </c>
      <c r="C39" s="1159">
        <v>2086</v>
      </c>
      <c r="D39" s="1159">
        <v>1020</v>
      </c>
      <c r="E39" s="287" t="s">
        <v>427</v>
      </c>
    </row>
    <row r="40" spans="2:5" ht="14.4">
      <c r="B40" s="1162" t="s">
        <v>606</v>
      </c>
      <c r="C40" s="1159">
        <v>4566</v>
      </c>
      <c r="D40" s="1159">
        <v>342</v>
      </c>
      <c r="E40" s="287" t="s">
        <v>427</v>
      </c>
    </row>
    <row r="41" spans="2:5" ht="14.4">
      <c r="B41" s="1162" t="s">
        <v>605</v>
      </c>
      <c r="C41" s="1159">
        <v>3931</v>
      </c>
      <c r="D41" s="1159">
        <v>265</v>
      </c>
      <c r="E41" s="287" t="s">
        <v>427</v>
      </c>
    </row>
    <row r="42" spans="2:5" ht="14.4">
      <c r="B42" s="1162" t="s">
        <v>345</v>
      </c>
      <c r="C42" s="1159">
        <v>2915</v>
      </c>
      <c r="D42" s="1159">
        <v>583</v>
      </c>
      <c r="E42" s="287" t="s">
        <v>427</v>
      </c>
    </row>
    <row r="43" spans="2:5" ht="14.4">
      <c r="B43" s="1162" t="s">
        <v>604</v>
      </c>
      <c r="C43" s="1159">
        <v>2297</v>
      </c>
      <c r="D43" s="1159">
        <v>1047</v>
      </c>
      <c r="E43" s="287" t="s">
        <v>427</v>
      </c>
    </row>
    <row r="44" spans="2:5" ht="14.4">
      <c r="B44" s="1162" t="s">
        <v>337</v>
      </c>
      <c r="C44" s="1159">
        <v>2215</v>
      </c>
      <c r="D44" s="1159">
        <v>1133</v>
      </c>
      <c r="E44" s="287" t="s">
        <v>427</v>
      </c>
    </row>
    <row r="45" spans="2:5" ht="14.4">
      <c r="B45" s="1162" t="s">
        <v>334</v>
      </c>
      <c r="C45" s="1159">
        <v>3068</v>
      </c>
      <c r="D45" s="1159">
        <v>709</v>
      </c>
      <c r="E45" s="287" t="s">
        <v>427</v>
      </c>
    </row>
    <row r="46" spans="2:5" ht="14.4">
      <c r="B46" s="1162" t="s">
        <v>603</v>
      </c>
      <c r="C46" s="1159">
        <v>3479</v>
      </c>
      <c r="D46" s="1159">
        <v>314</v>
      </c>
      <c r="E46" s="287" t="s">
        <v>427</v>
      </c>
    </row>
    <row r="47" spans="2:5" ht="14.4" outlineLevel="1">
      <c r="B47" s="1162" t="s">
        <v>602</v>
      </c>
      <c r="C47" s="1159">
        <v>1493</v>
      </c>
      <c r="D47" s="1159">
        <v>1655</v>
      </c>
      <c r="E47" s="287" t="s">
        <v>427</v>
      </c>
    </row>
    <row r="48" spans="2:5" ht="14.4" outlineLevel="1">
      <c r="B48" s="1162" t="s">
        <v>601</v>
      </c>
      <c r="C48" s="1159">
        <v>1484</v>
      </c>
      <c r="D48" s="1159">
        <v>1686</v>
      </c>
      <c r="E48" s="287" t="s">
        <v>427</v>
      </c>
    </row>
    <row r="49" spans="2:5" ht="14.4" outlineLevel="1">
      <c r="B49" s="1162" t="s">
        <v>600</v>
      </c>
      <c r="C49" s="1159">
        <v>1548</v>
      </c>
      <c r="D49" s="1159">
        <v>1467</v>
      </c>
      <c r="E49" s="287" t="s">
        <v>427</v>
      </c>
    </row>
    <row r="50" spans="2:5" ht="14.4" outlineLevel="1">
      <c r="B50" s="1162" t="s">
        <v>599</v>
      </c>
      <c r="C50" s="1159">
        <v>1845</v>
      </c>
      <c r="D50" s="1159">
        <v>1379</v>
      </c>
      <c r="E50" s="287" t="s">
        <v>427</v>
      </c>
    </row>
    <row r="51" spans="2:5" ht="14.4" outlineLevel="1">
      <c r="B51" s="1162" t="s">
        <v>598</v>
      </c>
      <c r="C51" s="1159">
        <v>1900</v>
      </c>
      <c r="D51" s="1159">
        <v>1367</v>
      </c>
      <c r="E51" s="287" t="s">
        <v>427</v>
      </c>
    </row>
    <row r="52" spans="2:5" ht="14.4" outlineLevel="1">
      <c r="B52" s="1162" t="s">
        <v>597</v>
      </c>
      <c r="C52" s="1159">
        <v>1963</v>
      </c>
      <c r="D52" s="1159">
        <v>1213</v>
      </c>
      <c r="E52" s="287" t="s">
        <v>427</v>
      </c>
    </row>
    <row r="53" spans="2:5" ht="14.4" outlineLevel="1">
      <c r="B53" s="1162" t="s">
        <v>596</v>
      </c>
      <c r="C53" s="1159">
        <v>4179</v>
      </c>
      <c r="D53" s="1159">
        <v>0</v>
      </c>
      <c r="E53" s="287" t="s">
        <v>427</v>
      </c>
    </row>
    <row r="54" spans="2:5" ht="14.4" outlineLevel="1">
      <c r="B54" s="1162" t="s">
        <v>595</v>
      </c>
      <c r="C54" s="1159">
        <v>5016</v>
      </c>
      <c r="D54" s="1159">
        <v>0</v>
      </c>
      <c r="E54" s="287" t="s">
        <v>427</v>
      </c>
    </row>
    <row r="55" spans="2:5" ht="14.4" outlineLevel="1">
      <c r="B55" s="1162" t="s">
        <v>594</v>
      </c>
      <c r="C55" s="1159">
        <v>941</v>
      </c>
      <c r="D55" s="1159">
        <v>2247</v>
      </c>
      <c r="E55" s="287" t="s">
        <v>427</v>
      </c>
    </row>
    <row r="56" spans="2:5" ht="14.4" outlineLevel="1">
      <c r="B56" s="1162" t="s">
        <v>593</v>
      </c>
      <c r="C56" s="1159">
        <v>605</v>
      </c>
      <c r="D56" s="1159">
        <v>2458</v>
      </c>
      <c r="E56" s="287" t="s">
        <v>427</v>
      </c>
    </row>
    <row r="57" spans="2:5" ht="14.4" outlineLevel="1">
      <c r="B57" s="1162" t="s">
        <v>592</v>
      </c>
      <c r="C57" s="1159">
        <v>836</v>
      </c>
      <c r="D57" s="1159">
        <v>2316</v>
      </c>
      <c r="E57" s="287" t="s">
        <v>427</v>
      </c>
    </row>
    <row r="58" spans="2:5" ht="14.4" outlineLevel="1">
      <c r="B58" s="1162" t="s">
        <v>591</v>
      </c>
      <c r="C58" s="1159">
        <v>667</v>
      </c>
      <c r="D58" s="1159">
        <v>2412</v>
      </c>
      <c r="E58" s="287" t="s">
        <v>427</v>
      </c>
    </row>
    <row r="59" spans="2:5" ht="14.4" outlineLevel="1">
      <c r="B59" s="1162" t="s">
        <v>590</v>
      </c>
      <c r="C59" s="1159">
        <v>614</v>
      </c>
      <c r="D59" s="1159">
        <v>2532</v>
      </c>
      <c r="E59" s="287" t="s">
        <v>427</v>
      </c>
    </row>
    <row r="60" spans="2:5" ht="14.4" outlineLevel="1">
      <c r="B60" s="1162" t="s">
        <v>589</v>
      </c>
      <c r="C60" s="1159">
        <v>636</v>
      </c>
      <c r="D60" s="1159">
        <v>2208</v>
      </c>
      <c r="E60" s="287" t="s">
        <v>427</v>
      </c>
    </row>
    <row r="61" spans="2:5" ht="14.4" outlineLevel="1">
      <c r="B61" s="1162" t="s">
        <v>588</v>
      </c>
      <c r="C61" s="1159">
        <v>411</v>
      </c>
      <c r="D61" s="1159">
        <v>2590</v>
      </c>
      <c r="E61" s="287" t="s">
        <v>427</v>
      </c>
    </row>
    <row r="62" spans="2:5" ht="14.4" outlineLevel="1">
      <c r="B62" s="1162" t="s">
        <v>587</v>
      </c>
      <c r="C62" s="1159">
        <v>683</v>
      </c>
      <c r="D62" s="1159">
        <v>2459</v>
      </c>
      <c r="E62" s="287" t="s">
        <v>427</v>
      </c>
    </row>
    <row r="63" spans="2:5" ht="14.4" outlineLevel="1">
      <c r="B63" s="1162" t="s">
        <v>586</v>
      </c>
      <c r="C63" s="1159">
        <v>830</v>
      </c>
      <c r="D63" s="1159">
        <v>2260</v>
      </c>
      <c r="E63" s="287" t="s">
        <v>427</v>
      </c>
    </row>
    <row r="64" spans="2:5" ht="14.4" outlineLevel="1">
      <c r="B64" s="1162" t="s">
        <v>585</v>
      </c>
      <c r="C64" s="1159">
        <v>948</v>
      </c>
      <c r="D64" s="1159">
        <v>2166</v>
      </c>
      <c r="E64" s="287" t="s">
        <v>427</v>
      </c>
    </row>
    <row r="65" spans="2:5" ht="14.4" outlineLevel="1">
      <c r="B65" s="1162" t="s">
        <v>584</v>
      </c>
      <c r="C65" s="1159">
        <v>714</v>
      </c>
      <c r="D65" s="1159">
        <v>2418</v>
      </c>
      <c r="E65" s="287" t="s">
        <v>427</v>
      </c>
    </row>
    <row r="66" spans="2:5" ht="14.4" outlineLevel="1">
      <c r="B66" s="1162" t="s">
        <v>583</v>
      </c>
      <c r="C66" s="1159">
        <v>1036</v>
      </c>
      <c r="D66" s="1159">
        <v>2154</v>
      </c>
      <c r="E66" s="287" t="s">
        <v>427</v>
      </c>
    </row>
    <row r="67" spans="2:5" ht="14.4" outlineLevel="1">
      <c r="B67" s="1162" t="s">
        <v>582</v>
      </c>
      <c r="C67" s="1159">
        <v>1181</v>
      </c>
      <c r="D67" s="1159">
        <v>2027</v>
      </c>
      <c r="E67" s="287" t="s">
        <v>427</v>
      </c>
    </row>
    <row r="68" spans="2:5" ht="14.4" outlineLevel="1">
      <c r="B68" s="1162" t="s">
        <v>581</v>
      </c>
      <c r="C68" s="1159">
        <v>786</v>
      </c>
      <c r="D68" s="1159">
        <v>2370</v>
      </c>
      <c r="E68" s="287" t="s">
        <v>427</v>
      </c>
    </row>
    <row r="69" spans="2:5" ht="14.4" outlineLevel="1">
      <c r="B69" s="1162" t="s">
        <v>580</v>
      </c>
      <c r="C69" s="1159">
        <v>948</v>
      </c>
      <c r="D69" s="1159">
        <v>2152</v>
      </c>
      <c r="E69" s="287" t="s">
        <v>427</v>
      </c>
    </row>
    <row r="70" spans="2:5" ht="14.4" outlineLevel="1">
      <c r="B70" s="1162" t="s">
        <v>579</v>
      </c>
      <c r="C70" s="1159">
        <v>710</v>
      </c>
      <c r="D70" s="1159">
        <v>2391</v>
      </c>
      <c r="E70" s="287" t="s">
        <v>427</v>
      </c>
    </row>
    <row r="71" spans="2:5" ht="14.4" outlineLevel="1">
      <c r="B71" s="1162" t="s">
        <v>578</v>
      </c>
      <c r="C71" s="1159">
        <v>1109</v>
      </c>
      <c r="D71" s="1159">
        <v>2024</v>
      </c>
      <c r="E71" s="287" t="s">
        <v>427</v>
      </c>
    </row>
    <row r="72" spans="2:5" ht="14.4" outlineLevel="1">
      <c r="B72" s="1162" t="s">
        <v>577</v>
      </c>
      <c r="C72" s="1159">
        <v>723</v>
      </c>
      <c r="D72" s="1159">
        <v>2252</v>
      </c>
      <c r="E72" s="287" t="s">
        <v>427</v>
      </c>
    </row>
    <row r="73" spans="2:5" ht="14.4" outlineLevel="1">
      <c r="B73" s="1162" t="s">
        <v>576</v>
      </c>
      <c r="C73" s="1159">
        <v>1068</v>
      </c>
      <c r="D73" s="1159">
        <v>2093</v>
      </c>
      <c r="E73" s="287" t="s">
        <v>427</v>
      </c>
    </row>
    <row r="74" spans="2:5" ht="14.4" outlineLevel="1">
      <c r="B74" s="1162" t="s">
        <v>575</v>
      </c>
      <c r="C74" s="1159">
        <v>1225</v>
      </c>
      <c r="D74" s="1159">
        <v>1981</v>
      </c>
      <c r="E74" s="287" t="s">
        <v>427</v>
      </c>
    </row>
    <row r="75" spans="2:5" ht="14.4" outlineLevel="1">
      <c r="B75" s="1162" t="s">
        <v>574</v>
      </c>
      <c r="C75" s="1159">
        <v>1080</v>
      </c>
      <c r="D75" s="1159">
        <v>2027</v>
      </c>
      <c r="E75" s="287" t="s">
        <v>427</v>
      </c>
    </row>
    <row r="76" spans="2:5" ht="14.4" outlineLevel="1">
      <c r="B76" s="1162" t="s">
        <v>573</v>
      </c>
      <c r="C76" s="1159">
        <v>1150</v>
      </c>
      <c r="D76" s="1159">
        <v>1975</v>
      </c>
      <c r="E76" s="287" t="s">
        <v>427</v>
      </c>
    </row>
    <row r="77" spans="2:5" ht="14.4" outlineLevel="1">
      <c r="B77" s="1162" t="s">
        <v>572</v>
      </c>
      <c r="C77" s="1159">
        <v>1193</v>
      </c>
      <c r="D77" s="1159">
        <v>1939</v>
      </c>
      <c r="E77" s="287" t="s">
        <v>427</v>
      </c>
    </row>
    <row r="78" spans="2:5" ht="14.4" outlineLevel="1">
      <c r="B78" s="1162" t="s">
        <v>571</v>
      </c>
      <c r="C78" s="1159">
        <v>2233</v>
      </c>
      <c r="D78" s="1159">
        <v>1115</v>
      </c>
      <c r="E78" s="287" t="s">
        <v>427</v>
      </c>
    </row>
    <row r="79" spans="2:5" ht="14.4" outlineLevel="1">
      <c r="B79" s="1162" t="s">
        <v>570</v>
      </c>
      <c r="C79" s="1159">
        <v>2299</v>
      </c>
      <c r="D79" s="1159">
        <v>1115</v>
      </c>
      <c r="E79" s="287" t="s">
        <v>427</v>
      </c>
    </row>
    <row r="80" spans="2:5" ht="14.4" outlineLevel="1">
      <c r="B80" s="1162" t="s">
        <v>569</v>
      </c>
      <c r="C80" s="1159">
        <v>2388</v>
      </c>
      <c r="D80" s="1159">
        <v>1118</v>
      </c>
      <c r="E80" s="287" t="s">
        <v>427</v>
      </c>
    </row>
    <row r="81" spans="2:5" ht="14.4" outlineLevel="1">
      <c r="B81" s="1162" t="s">
        <v>568</v>
      </c>
      <c r="C81" s="1159">
        <v>1892</v>
      </c>
      <c r="D81" s="1159">
        <v>1361</v>
      </c>
      <c r="E81" s="287" t="s">
        <v>427</v>
      </c>
    </row>
    <row r="82" spans="2:5" ht="14.4" outlineLevel="1">
      <c r="B82" s="1162" t="s">
        <v>567</v>
      </c>
      <c r="C82" s="1159">
        <v>729</v>
      </c>
      <c r="D82" s="1159">
        <v>2397</v>
      </c>
      <c r="E82" s="287" t="s">
        <v>427</v>
      </c>
    </row>
    <row r="83" spans="2:5" ht="14.4" outlineLevel="1">
      <c r="B83" s="1162" t="s">
        <v>566</v>
      </c>
      <c r="C83" s="1159">
        <v>453</v>
      </c>
      <c r="D83" s="1159">
        <v>2734</v>
      </c>
      <c r="E83" s="287" t="s">
        <v>427</v>
      </c>
    </row>
    <row r="84" spans="2:5" ht="14.4" outlineLevel="1">
      <c r="B84" s="1162" t="s">
        <v>565</v>
      </c>
      <c r="C84" s="1159">
        <v>1050</v>
      </c>
      <c r="D84" s="1159">
        <v>2172</v>
      </c>
      <c r="E84" s="287" t="s">
        <v>427</v>
      </c>
    </row>
    <row r="85" spans="2:5" ht="14.4" outlineLevel="1">
      <c r="B85" s="1162" t="s">
        <v>564</v>
      </c>
      <c r="C85" s="1159">
        <v>220</v>
      </c>
      <c r="D85" s="1159">
        <v>2959</v>
      </c>
      <c r="E85" s="287" t="s">
        <v>427</v>
      </c>
    </row>
    <row r="86" spans="2:5" ht="14.4" outlineLevel="1">
      <c r="B86" s="1162" t="s">
        <v>563</v>
      </c>
      <c r="C86" s="1159">
        <v>321</v>
      </c>
      <c r="D86" s="1159">
        <v>2728</v>
      </c>
      <c r="E86" s="287" t="s">
        <v>427</v>
      </c>
    </row>
    <row r="87" spans="2:5" ht="14.4" outlineLevel="1">
      <c r="B87" s="1162" t="s">
        <v>562</v>
      </c>
      <c r="C87" s="1159">
        <v>216</v>
      </c>
      <c r="D87" s="1159">
        <v>2843</v>
      </c>
      <c r="E87" s="287" t="s">
        <v>427</v>
      </c>
    </row>
    <row r="88" spans="2:5" ht="14.4" outlineLevel="1">
      <c r="B88" s="1162" t="s">
        <v>561</v>
      </c>
      <c r="C88" s="1159">
        <v>642</v>
      </c>
      <c r="D88" s="1159">
        <v>2670</v>
      </c>
      <c r="E88" s="287" t="s">
        <v>427</v>
      </c>
    </row>
    <row r="89" spans="2:5" ht="14.4" outlineLevel="1">
      <c r="B89" s="1162" t="s">
        <v>560</v>
      </c>
      <c r="C89" s="1159">
        <v>497</v>
      </c>
      <c r="D89" s="1159">
        <v>2650</v>
      </c>
      <c r="E89" s="287" t="s">
        <v>427</v>
      </c>
    </row>
    <row r="90" spans="2:5" ht="14.4" outlineLevel="1">
      <c r="B90" s="1162" t="s">
        <v>559</v>
      </c>
      <c r="C90" s="1159">
        <v>595</v>
      </c>
      <c r="D90" s="1159">
        <v>2771</v>
      </c>
      <c r="E90" s="287" t="s">
        <v>427</v>
      </c>
    </row>
    <row r="91" spans="2:5" ht="14.4" outlineLevel="1">
      <c r="B91" s="1162" t="s">
        <v>558</v>
      </c>
      <c r="C91" s="1159">
        <v>578</v>
      </c>
      <c r="D91" s="1159">
        <v>2620</v>
      </c>
      <c r="E91" s="287" t="s">
        <v>427</v>
      </c>
    </row>
    <row r="92" spans="2:5" ht="14.4" outlineLevel="1">
      <c r="B92" s="1162" t="s">
        <v>557</v>
      </c>
      <c r="C92" s="1159">
        <v>222</v>
      </c>
      <c r="D92" s="1159">
        <v>3130</v>
      </c>
      <c r="E92" s="287" t="s">
        <v>427</v>
      </c>
    </row>
    <row r="93" spans="2:5" ht="14.4" outlineLevel="1">
      <c r="B93" s="1162" t="s">
        <v>556</v>
      </c>
      <c r="C93" s="1159">
        <v>570</v>
      </c>
      <c r="D93" s="1159">
        <v>2817</v>
      </c>
      <c r="E93" s="287" t="s">
        <v>427</v>
      </c>
    </row>
    <row r="94" spans="2:5" ht="14.4" outlineLevel="1">
      <c r="B94" s="1162" t="s">
        <v>555</v>
      </c>
      <c r="C94" s="1159">
        <v>196</v>
      </c>
      <c r="D94" s="1159">
        <v>3059</v>
      </c>
      <c r="E94" s="287" t="s">
        <v>427</v>
      </c>
    </row>
    <row r="95" spans="2:5" ht="14.4" outlineLevel="1">
      <c r="B95" s="1162" t="s">
        <v>554</v>
      </c>
      <c r="C95" s="1159">
        <v>212</v>
      </c>
      <c r="D95" s="1159">
        <v>2934</v>
      </c>
      <c r="E95" s="287" t="s">
        <v>427</v>
      </c>
    </row>
    <row r="96" spans="2:5" ht="14.4" outlineLevel="1">
      <c r="B96" s="1162" t="s">
        <v>553</v>
      </c>
      <c r="C96" s="1159">
        <v>288</v>
      </c>
      <c r="D96" s="1159">
        <v>2828</v>
      </c>
      <c r="E96" s="287" t="s">
        <v>427</v>
      </c>
    </row>
    <row r="97" spans="2:5" ht="14.4" outlineLevel="1">
      <c r="B97" s="1162" t="s">
        <v>552</v>
      </c>
      <c r="C97" s="1159">
        <v>662</v>
      </c>
      <c r="D97" s="1159">
        <v>2496</v>
      </c>
      <c r="E97" s="287" t="s">
        <v>427</v>
      </c>
    </row>
    <row r="98" spans="2:5" ht="14.4" outlineLevel="1">
      <c r="B98" s="1162" t="s">
        <v>551</v>
      </c>
      <c r="C98" s="1159">
        <v>523</v>
      </c>
      <c r="D98" s="1159">
        <v>2580</v>
      </c>
      <c r="E98" s="287" t="s">
        <v>427</v>
      </c>
    </row>
    <row r="99" spans="2:5" ht="14.4" outlineLevel="1">
      <c r="B99" s="1162" t="s">
        <v>550</v>
      </c>
      <c r="C99" s="1159">
        <v>414</v>
      </c>
      <c r="D99" s="1159">
        <v>2831</v>
      </c>
      <c r="E99" s="287" t="s">
        <v>427</v>
      </c>
    </row>
    <row r="100" spans="2:5" ht="14.4" outlineLevel="1">
      <c r="B100" s="1162" t="s">
        <v>549</v>
      </c>
      <c r="C100" s="1159">
        <v>1050</v>
      </c>
      <c r="D100" s="1159">
        <v>2048</v>
      </c>
      <c r="E100" s="287" t="s">
        <v>427</v>
      </c>
    </row>
    <row r="101" spans="2:5" ht="14.4" outlineLevel="1">
      <c r="B101" s="1162" t="s">
        <v>548</v>
      </c>
      <c r="C101" s="1159">
        <v>1032</v>
      </c>
      <c r="D101" s="1159">
        <v>2149</v>
      </c>
      <c r="E101" s="287" t="s">
        <v>427</v>
      </c>
    </row>
    <row r="102" spans="2:5" ht="14.4" outlineLevel="1">
      <c r="B102" s="1162" t="s">
        <v>547</v>
      </c>
      <c r="C102" s="1159">
        <v>1178</v>
      </c>
      <c r="D102" s="1159">
        <v>1997</v>
      </c>
      <c r="E102" s="287" t="s">
        <v>427</v>
      </c>
    </row>
    <row r="103" spans="2:5" ht="14.4" outlineLevel="1">
      <c r="B103" s="1162" t="s">
        <v>546</v>
      </c>
      <c r="C103" s="1159">
        <v>1215</v>
      </c>
      <c r="D103" s="1159">
        <v>2009</v>
      </c>
      <c r="E103" s="287" t="s">
        <v>427</v>
      </c>
    </row>
    <row r="104" spans="2:5" ht="14.4" outlineLevel="1">
      <c r="B104" s="1162" t="s">
        <v>545</v>
      </c>
      <c r="C104" s="1159">
        <v>1832</v>
      </c>
      <c r="D104" s="1159">
        <v>1433</v>
      </c>
      <c r="E104" s="287" t="s">
        <v>427</v>
      </c>
    </row>
    <row r="105" spans="2:5" ht="14.4" outlineLevel="1">
      <c r="B105" s="1162" t="s">
        <v>544</v>
      </c>
      <c r="C105" s="1159">
        <v>1726</v>
      </c>
      <c r="D105" s="1159">
        <v>1417</v>
      </c>
      <c r="E105" s="287" t="s">
        <v>427</v>
      </c>
    </row>
    <row r="106" spans="2:5" ht="14.4" outlineLevel="1">
      <c r="B106" s="1162" t="s">
        <v>543</v>
      </c>
      <c r="C106" s="1159">
        <v>1623</v>
      </c>
      <c r="D106" s="1159">
        <v>1611</v>
      </c>
      <c r="E106" s="287" t="s">
        <v>427</v>
      </c>
    </row>
    <row r="107" spans="2:5" ht="14.4" outlineLevel="1">
      <c r="B107" s="1162" t="s">
        <v>542</v>
      </c>
      <c r="C107" s="1159">
        <v>510</v>
      </c>
      <c r="D107" s="1159">
        <v>2308</v>
      </c>
      <c r="E107" s="287" t="s">
        <v>427</v>
      </c>
    </row>
    <row r="108" spans="2:5" ht="14.4" outlineLevel="1">
      <c r="B108" s="1162" t="s">
        <v>541</v>
      </c>
      <c r="C108" s="1159">
        <v>465</v>
      </c>
      <c r="D108" s="1159">
        <v>2585</v>
      </c>
      <c r="E108" s="287" t="s">
        <v>427</v>
      </c>
    </row>
    <row r="109" spans="2:5" ht="14.4" outlineLevel="1">
      <c r="B109" s="1162" t="s">
        <v>540</v>
      </c>
      <c r="C109" s="1159">
        <v>408</v>
      </c>
      <c r="D109" s="1159">
        <v>2330</v>
      </c>
      <c r="E109" s="287" t="s">
        <v>427</v>
      </c>
    </row>
    <row r="110" spans="2:5" ht="14.4" outlineLevel="1">
      <c r="B110" s="1162" t="s">
        <v>539</v>
      </c>
      <c r="C110" s="1159">
        <v>403</v>
      </c>
      <c r="D110" s="1159">
        <v>2735</v>
      </c>
      <c r="E110" s="287" t="s">
        <v>427</v>
      </c>
    </row>
    <row r="111" spans="2:5" ht="14.4" outlineLevel="1">
      <c r="B111" s="1162" t="s">
        <v>538</v>
      </c>
      <c r="C111" s="1159">
        <v>307</v>
      </c>
      <c r="D111" s="1159">
        <v>2423</v>
      </c>
      <c r="E111" s="287" t="s">
        <v>427</v>
      </c>
    </row>
    <row r="112" spans="2:5" ht="14.4" outlineLevel="1">
      <c r="B112" s="1162" t="s">
        <v>537</v>
      </c>
      <c r="C112" s="1159">
        <v>193</v>
      </c>
      <c r="D112" s="1159">
        <v>2787</v>
      </c>
      <c r="E112" s="287" t="s">
        <v>427</v>
      </c>
    </row>
    <row r="113" spans="2:5" ht="14.4" outlineLevel="1">
      <c r="B113" s="1162" t="s">
        <v>536</v>
      </c>
      <c r="C113" s="1159">
        <v>621</v>
      </c>
      <c r="D113" s="1159">
        <v>2367</v>
      </c>
      <c r="E113" s="287" t="s">
        <v>427</v>
      </c>
    </row>
    <row r="114" spans="2:5" ht="14.4" outlineLevel="1">
      <c r="B114" s="1162" t="s">
        <v>535</v>
      </c>
      <c r="C114" s="1159">
        <v>225</v>
      </c>
      <c r="D114" s="1159">
        <v>2650</v>
      </c>
      <c r="E114" s="287" t="s">
        <v>427</v>
      </c>
    </row>
    <row r="115" spans="2:5" ht="14.4" outlineLevel="1">
      <c r="B115" s="1162" t="s">
        <v>534</v>
      </c>
      <c r="C115" s="1159">
        <v>919</v>
      </c>
      <c r="D115" s="1159">
        <v>2021</v>
      </c>
      <c r="E115" s="287" t="s">
        <v>427</v>
      </c>
    </row>
    <row r="116" spans="2:5" ht="14.4" outlineLevel="1">
      <c r="B116" s="1162" t="s">
        <v>533</v>
      </c>
      <c r="C116" s="1159">
        <v>1325</v>
      </c>
      <c r="D116" s="1159">
        <v>1865</v>
      </c>
      <c r="E116" s="287" t="s">
        <v>427</v>
      </c>
    </row>
    <row r="117" spans="2:5" ht="14.4" outlineLevel="1">
      <c r="B117" s="1162" t="s">
        <v>532</v>
      </c>
      <c r="C117" s="1159">
        <v>1203</v>
      </c>
      <c r="D117" s="1159">
        <v>1978</v>
      </c>
      <c r="E117" s="287" t="s">
        <v>427</v>
      </c>
    </row>
    <row r="118" spans="2:5" ht="14.4" outlineLevel="1">
      <c r="B118" s="1162" t="s">
        <v>531</v>
      </c>
      <c r="C118" s="1159">
        <v>1239</v>
      </c>
      <c r="D118" s="1159">
        <v>1883</v>
      </c>
      <c r="E118" s="287" t="s">
        <v>427</v>
      </c>
    </row>
    <row r="119" spans="2:5" ht="14.4" outlineLevel="1">
      <c r="B119" s="1162" t="s">
        <v>530</v>
      </c>
      <c r="C119" s="1159">
        <v>1758</v>
      </c>
      <c r="D119" s="1159">
        <v>1519</v>
      </c>
      <c r="E119" s="287" t="s">
        <v>427</v>
      </c>
    </row>
    <row r="120" spans="2:5" ht="14.4" outlineLevel="1">
      <c r="B120" s="1162" t="s">
        <v>529</v>
      </c>
      <c r="C120" s="1159">
        <v>437</v>
      </c>
      <c r="D120" s="1159">
        <v>2593</v>
      </c>
      <c r="E120" s="287" t="s">
        <v>427</v>
      </c>
    </row>
    <row r="121" spans="2:5" ht="14.4" outlineLevel="1">
      <c r="B121" s="1162" t="s">
        <v>528</v>
      </c>
      <c r="C121" s="1159">
        <v>476</v>
      </c>
      <c r="D121" s="1159">
        <v>2702</v>
      </c>
      <c r="E121" s="287" t="s">
        <v>427</v>
      </c>
    </row>
    <row r="122" spans="2:5" ht="14.4" outlineLevel="1">
      <c r="B122" s="1162" t="s">
        <v>527</v>
      </c>
      <c r="C122" s="1159">
        <v>459</v>
      </c>
      <c r="D122" s="1159">
        <v>2579</v>
      </c>
      <c r="E122" s="287" t="s">
        <v>427</v>
      </c>
    </row>
    <row r="123" spans="2:5" ht="14.4" outlineLevel="1">
      <c r="B123" s="1162" t="s">
        <v>526</v>
      </c>
      <c r="C123" s="1159">
        <v>851</v>
      </c>
      <c r="D123" s="1159">
        <v>2288</v>
      </c>
      <c r="E123" s="287" t="s">
        <v>427</v>
      </c>
    </row>
    <row r="124" spans="2:5" ht="14.4" outlineLevel="1">
      <c r="B124" s="1162" t="s">
        <v>525</v>
      </c>
      <c r="C124" s="1159">
        <v>899</v>
      </c>
      <c r="D124" s="1159">
        <v>2284</v>
      </c>
      <c r="E124" s="287" t="s">
        <v>427</v>
      </c>
    </row>
    <row r="125" spans="2:5" ht="14.4" outlineLevel="1">
      <c r="B125" s="1162" t="s">
        <v>524</v>
      </c>
      <c r="C125" s="1159">
        <v>801</v>
      </c>
      <c r="D125" s="1159">
        <v>2437</v>
      </c>
      <c r="E125" s="287" t="s">
        <v>427</v>
      </c>
    </row>
    <row r="126" spans="2:5" ht="14.4" outlineLevel="1">
      <c r="B126" s="1162" t="s">
        <v>523</v>
      </c>
      <c r="C126" s="1159">
        <v>640</v>
      </c>
      <c r="D126" s="1159">
        <v>2403</v>
      </c>
      <c r="E126" s="287" t="s">
        <v>427</v>
      </c>
    </row>
    <row r="127" spans="2:5" ht="14.4" outlineLevel="1">
      <c r="B127" s="1162" t="s">
        <v>522</v>
      </c>
      <c r="C127" s="1159">
        <v>890</v>
      </c>
      <c r="D127" s="1159">
        <v>2327</v>
      </c>
      <c r="E127" s="287" t="s">
        <v>427</v>
      </c>
    </row>
    <row r="128" spans="2:5" ht="14.4" outlineLevel="1">
      <c r="B128" s="1162" t="s">
        <v>521</v>
      </c>
      <c r="C128" s="1159">
        <v>647</v>
      </c>
      <c r="D128" s="1159">
        <v>2365</v>
      </c>
      <c r="E128" s="287" t="s">
        <v>427</v>
      </c>
    </row>
    <row r="129" spans="2:5" ht="14.4" outlineLevel="1">
      <c r="B129" s="1162" t="s">
        <v>520</v>
      </c>
      <c r="C129" s="1159">
        <v>385</v>
      </c>
      <c r="D129" s="1159">
        <v>2641</v>
      </c>
      <c r="E129" s="287" t="s">
        <v>427</v>
      </c>
    </row>
    <row r="130" spans="2:5" ht="14.4" outlineLevel="1">
      <c r="B130" s="1162" t="s">
        <v>519</v>
      </c>
      <c r="C130" s="1159">
        <v>832</v>
      </c>
      <c r="D130" s="1159">
        <v>2198</v>
      </c>
      <c r="E130" s="287" t="s">
        <v>427</v>
      </c>
    </row>
    <row r="131" spans="2:5" ht="14.4" outlineLevel="1">
      <c r="B131" s="1162" t="s">
        <v>518</v>
      </c>
      <c r="C131" s="1159">
        <v>1007</v>
      </c>
      <c r="D131" s="1159">
        <v>2340</v>
      </c>
      <c r="E131" s="287" t="s">
        <v>427</v>
      </c>
    </row>
    <row r="132" spans="2:5" ht="14.4" outlineLevel="1">
      <c r="B132" s="1162" t="s">
        <v>517</v>
      </c>
      <c r="C132" s="1159">
        <v>1038</v>
      </c>
      <c r="D132" s="1159">
        <v>2162</v>
      </c>
      <c r="E132" s="287" t="s">
        <v>427</v>
      </c>
    </row>
    <row r="133" spans="2:5" ht="14.4" outlineLevel="1">
      <c r="B133" s="1162" t="s">
        <v>516</v>
      </c>
      <c r="C133" s="1159">
        <v>1355</v>
      </c>
      <c r="D133" s="1159">
        <v>1596</v>
      </c>
      <c r="E133" s="287" t="s">
        <v>427</v>
      </c>
    </row>
    <row r="134" spans="2:5" ht="14.4" outlineLevel="1">
      <c r="B134" s="1162" t="s">
        <v>515</v>
      </c>
      <c r="C134" s="1159">
        <v>361</v>
      </c>
      <c r="D134" s="1159">
        <v>2596</v>
      </c>
      <c r="E134" s="287" t="s">
        <v>427</v>
      </c>
    </row>
    <row r="135" spans="2:5" ht="14.4" outlineLevel="1">
      <c r="B135" s="1162" t="s">
        <v>514</v>
      </c>
      <c r="C135" s="1159">
        <v>209</v>
      </c>
      <c r="D135" s="1159">
        <v>2678</v>
      </c>
      <c r="E135" s="287" t="s">
        <v>427</v>
      </c>
    </row>
    <row r="136" spans="2:5" ht="14.4" outlineLevel="1">
      <c r="B136" s="1162" t="s">
        <v>513</v>
      </c>
      <c r="C136" s="1159">
        <v>1773</v>
      </c>
      <c r="D136" s="1159">
        <v>1642</v>
      </c>
      <c r="E136" s="287" t="s">
        <v>427</v>
      </c>
    </row>
    <row r="137" spans="2:5" ht="14.4" outlineLevel="1">
      <c r="B137" s="1162" t="s">
        <v>512</v>
      </c>
      <c r="C137" s="1159">
        <v>317</v>
      </c>
      <c r="D137" s="1159">
        <v>2631</v>
      </c>
      <c r="E137" s="287" t="s">
        <v>427</v>
      </c>
    </row>
    <row r="138" spans="2:5" ht="14.4" outlineLevel="1">
      <c r="B138" s="1162" t="s">
        <v>511</v>
      </c>
      <c r="C138" s="1159">
        <v>418</v>
      </c>
      <c r="D138" s="1159">
        <v>2481</v>
      </c>
      <c r="E138" s="287" t="s">
        <v>427</v>
      </c>
    </row>
    <row r="139" spans="2:5" ht="14.4" outlineLevel="1">
      <c r="B139" s="1162" t="s">
        <v>510</v>
      </c>
      <c r="C139" s="1159">
        <v>515</v>
      </c>
      <c r="D139" s="1159">
        <v>2598</v>
      </c>
      <c r="E139" s="287" t="s">
        <v>427</v>
      </c>
    </row>
    <row r="140" spans="2:5" ht="14.4" outlineLevel="1">
      <c r="B140" s="1162" t="s">
        <v>509</v>
      </c>
      <c r="C140" s="1159">
        <v>440</v>
      </c>
      <c r="D140" s="1159">
        <v>2754</v>
      </c>
      <c r="E140" s="287" t="s">
        <v>427</v>
      </c>
    </row>
    <row r="141" spans="2:5" ht="14.4" outlineLevel="1">
      <c r="B141" s="1162" t="s">
        <v>508</v>
      </c>
      <c r="C141" s="1159">
        <v>571</v>
      </c>
      <c r="D141" s="1159">
        <v>2765</v>
      </c>
      <c r="E141" s="287" t="s">
        <v>427</v>
      </c>
    </row>
    <row r="142" spans="2:5" ht="14.4" outlineLevel="1">
      <c r="B142" s="1162" t="s">
        <v>507</v>
      </c>
      <c r="C142" s="1159">
        <v>1089</v>
      </c>
      <c r="D142" s="1159">
        <v>2337</v>
      </c>
      <c r="E142" s="287" t="s">
        <v>427</v>
      </c>
    </row>
    <row r="143" spans="2:5" ht="14.4" outlineLevel="1">
      <c r="B143" s="1162" t="s">
        <v>506</v>
      </c>
      <c r="C143" s="1159">
        <v>554</v>
      </c>
      <c r="D143" s="1159">
        <v>2685</v>
      </c>
      <c r="E143" s="287" t="s">
        <v>427</v>
      </c>
    </row>
    <row r="144" spans="2:5" ht="14.4" outlineLevel="1">
      <c r="B144" s="1162" t="s">
        <v>505</v>
      </c>
      <c r="C144" s="1159">
        <v>552</v>
      </c>
      <c r="D144" s="1159">
        <v>2586</v>
      </c>
      <c r="E144" s="287" t="s">
        <v>427</v>
      </c>
    </row>
    <row r="145" spans="2:5" ht="14.4" outlineLevel="1">
      <c r="B145" s="1162" t="s">
        <v>504</v>
      </c>
      <c r="C145" s="1159">
        <v>714</v>
      </c>
      <c r="D145" s="1159">
        <v>2539</v>
      </c>
      <c r="E145" s="287" t="s">
        <v>427</v>
      </c>
    </row>
    <row r="146" spans="2:5" ht="14.4" outlineLevel="1">
      <c r="B146" s="1162" t="s">
        <v>503</v>
      </c>
      <c r="C146" s="1159">
        <v>996</v>
      </c>
      <c r="D146" s="1159">
        <v>2134</v>
      </c>
      <c r="E146" s="287" t="s">
        <v>427</v>
      </c>
    </row>
    <row r="147" spans="2:5" ht="14.4" outlineLevel="1">
      <c r="B147" s="1162" t="s">
        <v>502</v>
      </c>
      <c r="C147" s="1159">
        <v>639</v>
      </c>
      <c r="D147" s="1159">
        <v>2471</v>
      </c>
      <c r="E147" s="287" t="s">
        <v>427</v>
      </c>
    </row>
    <row r="148" spans="2:5" ht="14.4" outlineLevel="1">
      <c r="B148" s="1162" t="s">
        <v>501</v>
      </c>
      <c r="C148" s="1159">
        <v>828</v>
      </c>
      <c r="D148" s="1159">
        <v>2274</v>
      </c>
      <c r="E148" s="287" t="s">
        <v>427</v>
      </c>
    </row>
    <row r="149" spans="2:5" ht="14.4" outlineLevel="1">
      <c r="B149" s="1162" t="s">
        <v>500</v>
      </c>
      <c r="C149" s="1159">
        <v>947</v>
      </c>
      <c r="D149" s="1159">
        <v>2238</v>
      </c>
      <c r="E149" s="287" t="s">
        <v>427</v>
      </c>
    </row>
    <row r="150" spans="2:5" ht="14.4" outlineLevel="1">
      <c r="B150" s="1162" t="s">
        <v>499</v>
      </c>
      <c r="C150" s="1159">
        <v>711</v>
      </c>
      <c r="D150" s="1159">
        <v>2500</v>
      </c>
      <c r="E150" s="287" t="s">
        <v>427</v>
      </c>
    </row>
    <row r="151" spans="2:5" ht="14.4" outlineLevel="1">
      <c r="B151" s="1162" t="s">
        <v>498</v>
      </c>
      <c r="C151" s="1159">
        <v>649</v>
      </c>
      <c r="D151" s="1159">
        <v>2464</v>
      </c>
      <c r="E151" s="287" t="s">
        <v>427</v>
      </c>
    </row>
    <row r="152" spans="2:5" ht="14.4" outlineLevel="1">
      <c r="B152" s="1162" t="s">
        <v>497</v>
      </c>
      <c r="C152" s="1159">
        <v>554</v>
      </c>
      <c r="D152" s="1159">
        <v>2581</v>
      </c>
      <c r="E152" s="287" t="s">
        <v>427</v>
      </c>
    </row>
    <row r="153" spans="2:5" ht="14.4" outlineLevel="1">
      <c r="B153" s="1162" t="s">
        <v>496</v>
      </c>
      <c r="C153" s="1159">
        <v>1436</v>
      </c>
      <c r="D153" s="1159">
        <v>1724</v>
      </c>
      <c r="E153" s="287" t="s">
        <v>427</v>
      </c>
    </row>
    <row r="154" spans="2:5" ht="14.4" outlineLevel="1">
      <c r="B154" s="1162" t="s">
        <v>495</v>
      </c>
      <c r="C154" s="1159">
        <v>1486</v>
      </c>
      <c r="D154" s="1159">
        <v>1722</v>
      </c>
      <c r="E154" s="287" t="s">
        <v>427</v>
      </c>
    </row>
    <row r="155" spans="2:5" ht="14.4" outlineLevel="1">
      <c r="B155" s="1162" t="s">
        <v>494</v>
      </c>
      <c r="C155" s="1159">
        <v>56</v>
      </c>
      <c r="D155" s="1159">
        <v>3499</v>
      </c>
      <c r="E155" s="287" t="s">
        <v>427</v>
      </c>
    </row>
    <row r="156" spans="2:5" ht="14.4" outlineLevel="1">
      <c r="B156" s="1162" t="s">
        <v>493</v>
      </c>
      <c r="C156" s="1159">
        <v>261</v>
      </c>
      <c r="D156" s="1159">
        <v>2679</v>
      </c>
      <c r="E156" s="287" t="s">
        <v>427</v>
      </c>
    </row>
    <row r="157" spans="2:5" ht="14.4" outlineLevel="1">
      <c r="B157" s="1162" t="s">
        <v>492</v>
      </c>
      <c r="C157" s="1159">
        <v>534</v>
      </c>
      <c r="D157" s="1159">
        <v>2742</v>
      </c>
      <c r="E157" s="287" t="s">
        <v>427</v>
      </c>
    </row>
    <row r="158" spans="2:5" ht="14.4" outlineLevel="1">
      <c r="B158" s="1162" t="s">
        <v>491</v>
      </c>
      <c r="C158" s="1159">
        <v>622</v>
      </c>
      <c r="D158" s="1159">
        <v>2105</v>
      </c>
      <c r="E158" s="287" t="s">
        <v>427</v>
      </c>
    </row>
    <row r="159" spans="2:5" ht="14.4" outlineLevel="1">
      <c r="B159" s="1162" t="s">
        <v>490</v>
      </c>
      <c r="C159" s="1159">
        <v>379</v>
      </c>
      <c r="D159" s="1159">
        <v>2681</v>
      </c>
      <c r="E159" s="287" t="s">
        <v>427</v>
      </c>
    </row>
    <row r="160" spans="2:5" ht="14.4" outlineLevel="1">
      <c r="B160" s="1162" t="s">
        <v>489</v>
      </c>
      <c r="C160" s="1159">
        <v>248</v>
      </c>
      <c r="D160" s="1159">
        <v>2842</v>
      </c>
      <c r="E160" s="287" t="s">
        <v>427</v>
      </c>
    </row>
    <row r="161" spans="2:5" ht="14.4" outlineLevel="1">
      <c r="B161" s="1162" t="s">
        <v>488</v>
      </c>
      <c r="C161" s="1159">
        <v>784</v>
      </c>
      <c r="D161" s="1159">
        <v>2492</v>
      </c>
      <c r="E161" s="287" t="s">
        <v>427</v>
      </c>
    </row>
    <row r="162" spans="2:5" ht="14.4" outlineLevel="1">
      <c r="B162" s="1162" t="s">
        <v>487</v>
      </c>
      <c r="C162" s="1159">
        <v>482</v>
      </c>
      <c r="D162" s="1159">
        <v>2901</v>
      </c>
      <c r="E162" s="287" t="s">
        <v>427</v>
      </c>
    </row>
    <row r="163" spans="2:5" ht="14.4" outlineLevel="1">
      <c r="B163" s="1162" t="s">
        <v>486</v>
      </c>
      <c r="C163" s="1159">
        <v>929</v>
      </c>
      <c r="D163" s="1159">
        <v>2371</v>
      </c>
      <c r="E163" s="287" t="s">
        <v>427</v>
      </c>
    </row>
    <row r="164" spans="2:5" ht="14.4" outlineLevel="1">
      <c r="B164" s="1162" t="s">
        <v>485</v>
      </c>
      <c r="C164" s="1159">
        <v>1032</v>
      </c>
      <c r="D164" s="1159">
        <v>2328</v>
      </c>
      <c r="E164" s="287" t="s">
        <v>427</v>
      </c>
    </row>
    <row r="165" spans="2:5" ht="14.4" outlineLevel="1">
      <c r="B165" s="1162" t="s">
        <v>484</v>
      </c>
      <c r="C165" s="1159">
        <v>737</v>
      </c>
      <c r="D165" s="1159">
        <v>2380</v>
      </c>
      <c r="E165" s="287" t="s">
        <v>427</v>
      </c>
    </row>
    <row r="166" spans="2:5" ht="14.4" outlineLevel="1">
      <c r="B166" s="1162" t="s">
        <v>483</v>
      </c>
      <c r="C166" s="1159">
        <v>621</v>
      </c>
      <c r="D166" s="1159">
        <v>2532</v>
      </c>
      <c r="E166" s="287" t="s">
        <v>427</v>
      </c>
    </row>
    <row r="167" spans="2:5" ht="14.4" outlineLevel="1">
      <c r="B167" s="1162" t="s">
        <v>482</v>
      </c>
      <c r="C167" s="1159">
        <v>659</v>
      </c>
      <c r="D167" s="1159">
        <v>2502</v>
      </c>
      <c r="E167" s="287" t="s">
        <v>427</v>
      </c>
    </row>
    <row r="168" spans="2:5" ht="14.4" outlineLevel="1">
      <c r="B168" s="1162" t="s">
        <v>481</v>
      </c>
      <c r="C168" s="1159">
        <v>656</v>
      </c>
      <c r="D168" s="1159">
        <v>2532</v>
      </c>
      <c r="E168" s="287" t="s">
        <v>427</v>
      </c>
    </row>
    <row r="169" spans="2:5" ht="14.4" outlineLevel="1">
      <c r="B169" s="1162" t="s">
        <v>480</v>
      </c>
      <c r="C169" s="1159">
        <v>2127</v>
      </c>
      <c r="D169" s="1159">
        <v>1212</v>
      </c>
      <c r="E169" s="287" t="s">
        <v>427</v>
      </c>
    </row>
    <row r="170" spans="2:5" ht="14.4" outlineLevel="1">
      <c r="B170" s="1162" t="s">
        <v>479</v>
      </c>
      <c r="C170" s="1159">
        <v>1626</v>
      </c>
      <c r="D170" s="1159">
        <v>1539</v>
      </c>
      <c r="E170" s="287" t="s">
        <v>427</v>
      </c>
    </row>
    <row r="171" spans="2:5" ht="14.4" outlineLevel="1">
      <c r="B171" s="1162" t="s">
        <v>478</v>
      </c>
      <c r="C171" s="1159">
        <v>1386</v>
      </c>
      <c r="D171" s="1159">
        <v>1808</v>
      </c>
      <c r="E171" s="287" t="s">
        <v>427</v>
      </c>
    </row>
    <row r="172" spans="2:5" ht="14.4" outlineLevel="1">
      <c r="B172" s="1162" t="s">
        <v>477</v>
      </c>
      <c r="C172" s="1159">
        <v>544</v>
      </c>
      <c r="D172" s="1159">
        <v>2571</v>
      </c>
      <c r="E172" s="287" t="s">
        <v>427</v>
      </c>
    </row>
    <row r="173" spans="2:5" ht="14.4" outlineLevel="1">
      <c r="B173" s="1162" t="s">
        <v>476</v>
      </c>
      <c r="C173" s="1159">
        <v>633</v>
      </c>
      <c r="D173" s="1159">
        <v>2462</v>
      </c>
      <c r="E173" s="287" t="s">
        <v>427</v>
      </c>
    </row>
    <row r="174" spans="2:5" ht="14.4" outlineLevel="1">
      <c r="B174" s="1162" t="s">
        <v>475</v>
      </c>
      <c r="C174" s="1159">
        <v>593</v>
      </c>
      <c r="D174" s="1159">
        <v>2434</v>
      </c>
      <c r="E174" s="287" t="s">
        <v>427</v>
      </c>
    </row>
    <row r="175" spans="2:5" ht="14.4" outlineLevel="1">
      <c r="B175" s="1162" t="s">
        <v>474</v>
      </c>
      <c r="C175" s="1159">
        <v>691</v>
      </c>
      <c r="D175" s="1159">
        <v>2490</v>
      </c>
      <c r="E175" s="287" t="s">
        <v>427</v>
      </c>
    </row>
    <row r="176" spans="2:5" ht="14.4" outlineLevel="1">
      <c r="B176" s="1162" t="s">
        <v>473</v>
      </c>
      <c r="C176" s="1159">
        <v>1066</v>
      </c>
      <c r="D176" s="1159">
        <v>2050</v>
      </c>
      <c r="E176" s="287" t="s">
        <v>427</v>
      </c>
    </row>
    <row r="177" spans="2:5" ht="14.4" outlineLevel="1">
      <c r="B177" s="1162" t="s">
        <v>472</v>
      </c>
      <c r="C177" s="1159">
        <v>1353</v>
      </c>
      <c r="D177" s="1159">
        <v>1830</v>
      </c>
      <c r="E177" s="287" t="s">
        <v>427</v>
      </c>
    </row>
    <row r="178" spans="2:5" ht="14.4" outlineLevel="1">
      <c r="B178" s="1162" t="s">
        <v>471</v>
      </c>
      <c r="C178" s="1159">
        <v>1288</v>
      </c>
      <c r="D178" s="1159">
        <v>1909</v>
      </c>
      <c r="E178" s="287" t="s">
        <v>427</v>
      </c>
    </row>
    <row r="179" spans="2:5" ht="14.4" outlineLevel="1">
      <c r="B179" s="1162" t="s">
        <v>470</v>
      </c>
      <c r="C179" s="1159">
        <v>1654</v>
      </c>
      <c r="D179" s="1159">
        <v>1638</v>
      </c>
      <c r="E179" s="287" t="s">
        <v>427</v>
      </c>
    </row>
    <row r="180" spans="2:5" ht="14.4" outlineLevel="1">
      <c r="B180" s="1162" t="s">
        <v>469</v>
      </c>
      <c r="C180" s="1159">
        <v>1375</v>
      </c>
      <c r="D180" s="1159">
        <v>1768</v>
      </c>
      <c r="E180" s="287" t="s">
        <v>427</v>
      </c>
    </row>
    <row r="181" spans="2:5" ht="14.4" outlineLevel="1">
      <c r="B181" s="1162" t="s">
        <v>468</v>
      </c>
      <c r="C181" s="1159">
        <v>1741</v>
      </c>
      <c r="D181" s="1159">
        <v>1398</v>
      </c>
      <c r="E181" s="287" t="s">
        <v>427</v>
      </c>
    </row>
    <row r="182" spans="2:5" ht="14.4" outlineLevel="1">
      <c r="B182" s="1162" t="s">
        <v>467</v>
      </c>
      <c r="C182" s="1159">
        <v>1142</v>
      </c>
      <c r="D182" s="1159">
        <v>1880</v>
      </c>
      <c r="E182" s="287" t="s">
        <v>427</v>
      </c>
    </row>
    <row r="183" spans="2:5" ht="14.4" outlineLevel="1">
      <c r="B183" s="1162" t="s">
        <v>466</v>
      </c>
      <c r="C183" s="1159">
        <v>2412</v>
      </c>
      <c r="D183" s="1159">
        <v>1142</v>
      </c>
      <c r="E183" s="287" t="s">
        <v>427</v>
      </c>
    </row>
    <row r="184" spans="2:5" ht="14.4" outlineLevel="1">
      <c r="B184" s="1162" t="s">
        <v>465</v>
      </c>
      <c r="C184" s="1159">
        <v>3233</v>
      </c>
      <c r="D184" s="1159">
        <v>562</v>
      </c>
      <c r="E184" s="287" t="s">
        <v>427</v>
      </c>
    </row>
    <row r="185" spans="2:5" ht="14.4" outlineLevel="1">
      <c r="B185" s="1162" t="s">
        <v>464</v>
      </c>
      <c r="C185" s="1159">
        <v>2958</v>
      </c>
      <c r="D185" s="1159">
        <v>776</v>
      </c>
      <c r="E185" s="287" t="s">
        <v>427</v>
      </c>
    </row>
    <row r="186" spans="2:5" ht="14.4" outlineLevel="1">
      <c r="B186" s="1162" t="s">
        <v>463</v>
      </c>
      <c r="C186" s="1159">
        <v>1926</v>
      </c>
      <c r="D186" s="1159">
        <v>1343</v>
      </c>
      <c r="E186" s="287" t="s">
        <v>427</v>
      </c>
    </row>
    <row r="187" spans="2:5" ht="14.4" outlineLevel="1">
      <c r="B187" s="1162" t="s">
        <v>462</v>
      </c>
      <c r="C187" s="1159">
        <v>2380</v>
      </c>
      <c r="D187" s="1159">
        <v>1098</v>
      </c>
      <c r="E187" s="287" t="s">
        <v>427</v>
      </c>
    </row>
    <row r="188" spans="2:5" ht="14.4" outlineLevel="1">
      <c r="B188" s="1162" t="s">
        <v>461</v>
      </c>
      <c r="C188" s="1159">
        <v>1524</v>
      </c>
      <c r="D188" s="1159">
        <v>1559</v>
      </c>
      <c r="E188" s="287" t="s">
        <v>427</v>
      </c>
    </row>
    <row r="189" spans="2:5" ht="14.4" outlineLevel="1">
      <c r="B189" s="1162" t="s">
        <v>460</v>
      </c>
      <c r="C189" s="1159">
        <v>2967</v>
      </c>
      <c r="D189" s="1159">
        <v>1037</v>
      </c>
      <c r="E189" s="287" t="s">
        <v>427</v>
      </c>
    </row>
    <row r="190" spans="2:5" ht="14.4" outlineLevel="1">
      <c r="B190" s="1162" t="s">
        <v>459</v>
      </c>
      <c r="C190" s="1159">
        <v>2209</v>
      </c>
      <c r="D190" s="1159">
        <v>1127</v>
      </c>
      <c r="E190" s="287" t="s">
        <v>427</v>
      </c>
    </row>
    <row r="191" spans="2:5" ht="14.4" outlineLevel="1">
      <c r="B191" s="1162" t="s">
        <v>458</v>
      </c>
      <c r="C191" s="1159">
        <v>1298</v>
      </c>
      <c r="D191" s="1159">
        <v>1688</v>
      </c>
      <c r="E191" s="287" t="s">
        <v>427</v>
      </c>
    </row>
    <row r="192" spans="2:5" ht="14.4" outlineLevel="1">
      <c r="B192" s="1162" t="s">
        <v>457</v>
      </c>
      <c r="C192" s="1159">
        <v>1546</v>
      </c>
      <c r="D192" s="1159">
        <v>1450</v>
      </c>
      <c r="E192" s="287" t="s">
        <v>427</v>
      </c>
    </row>
    <row r="193" spans="2:5" ht="14.4" outlineLevel="1">
      <c r="B193" s="1162" t="s">
        <v>456</v>
      </c>
      <c r="C193" s="1159">
        <v>2452</v>
      </c>
      <c r="D193" s="1159">
        <v>1043</v>
      </c>
      <c r="E193" s="287" t="s">
        <v>427</v>
      </c>
    </row>
    <row r="194" spans="2:5" ht="14.4" outlineLevel="1">
      <c r="B194" s="1162" t="s">
        <v>455</v>
      </c>
      <c r="C194" s="1159">
        <v>2225</v>
      </c>
      <c r="D194" s="1159">
        <v>1291</v>
      </c>
      <c r="E194" s="287" t="s">
        <v>427</v>
      </c>
    </row>
    <row r="195" spans="2:5" ht="14.4" outlineLevel="1">
      <c r="B195" s="1162" t="s">
        <v>454</v>
      </c>
      <c r="C195" s="1159">
        <v>2237</v>
      </c>
      <c r="D195" s="1159">
        <v>1101</v>
      </c>
      <c r="E195" s="287" t="s">
        <v>427</v>
      </c>
    </row>
    <row r="196" spans="2:5" ht="14.4" outlineLevel="1">
      <c r="B196" s="1162" t="s">
        <v>453</v>
      </c>
      <c r="C196" s="1159">
        <v>2465</v>
      </c>
      <c r="D196" s="1159">
        <v>926</v>
      </c>
      <c r="E196" s="287" t="s">
        <v>427</v>
      </c>
    </row>
    <row r="197" spans="2:5" ht="14.4" outlineLevel="1">
      <c r="B197" s="1162" t="s">
        <v>452</v>
      </c>
      <c r="C197" s="1159">
        <v>2041</v>
      </c>
      <c r="D197" s="1159">
        <v>1308</v>
      </c>
      <c r="E197" s="287" t="s">
        <v>427</v>
      </c>
    </row>
    <row r="198" spans="2:5" ht="14.4" outlineLevel="1">
      <c r="B198" s="1162" t="s">
        <v>451</v>
      </c>
      <c r="C198" s="1159">
        <v>1671</v>
      </c>
      <c r="D198" s="1159">
        <v>1538</v>
      </c>
      <c r="E198" s="287" t="s">
        <v>427</v>
      </c>
    </row>
    <row r="199" spans="2:5" ht="14.4" outlineLevel="1">
      <c r="B199" s="1162" t="s">
        <v>450</v>
      </c>
      <c r="C199" s="1159">
        <v>785</v>
      </c>
      <c r="D199" s="1159">
        <v>2443</v>
      </c>
      <c r="E199" s="287" t="s">
        <v>427</v>
      </c>
    </row>
    <row r="200" spans="2:5" ht="14.4" outlineLevel="1">
      <c r="B200" s="1162" t="s">
        <v>449</v>
      </c>
      <c r="C200" s="1159">
        <v>1031</v>
      </c>
      <c r="D200" s="1159">
        <v>2117</v>
      </c>
      <c r="E200" s="287" t="s">
        <v>427</v>
      </c>
    </row>
    <row r="201" spans="2:5" ht="14.4" outlineLevel="1">
      <c r="B201" s="1162" t="s">
        <v>448</v>
      </c>
      <c r="C201" s="1159">
        <v>1346</v>
      </c>
      <c r="D201" s="1159">
        <v>1923</v>
      </c>
      <c r="E201" s="287" t="s">
        <v>427</v>
      </c>
    </row>
    <row r="202" spans="2:5" ht="14.4" outlineLevel="1">
      <c r="B202" s="1162" t="s">
        <v>447</v>
      </c>
      <c r="C202" s="1159">
        <v>1188</v>
      </c>
      <c r="D202" s="1159">
        <v>1980</v>
      </c>
      <c r="E202" s="287" t="s">
        <v>427</v>
      </c>
    </row>
    <row r="203" spans="2:5" ht="14.4" outlineLevel="1">
      <c r="B203" s="1162" t="s">
        <v>446</v>
      </c>
      <c r="C203" s="1159">
        <v>1002</v>
      </c>
      <c r="D203" s="1159">
        <v>2113</v>
      </c>
      <c r="E203" s="287" t="s">
        <v>427</v>
      </c>
    </row>
    <row r="204" spans="2:5" ht="14.4" outlineLevel="1">
      <c r="B204" s="1162" t="s">
        <v>445</v>
      </c>
      <c r="C204" s="1159">
        <v>455</v>
      </c>
      <c r="D204" s="1159">
        <v>2651</v>
      </c>
      <c r="E204" s="287" t="s">
        <v>427</v>
      </c>
    </row>
    <row r="205" spans="2:5" ht="14.4" outlineLevel="1">
      <c r="B205" s="1162" t="s">
        <v>444</v>
      </c>
      <c r="C205" s="1159">
        <v>125</v>
      </c>
      <c r="D205" s="1159">
        <v>3186</v>
      </c>
      <c r="E205" s="287" t="s">
        <v>427</v>
      </c>
    </row>
    <row r="206" spans="2:5" ht="14.4" outlineLevel="1">
      <c r="B206" s="1162" t="s">
        <v>443</v>
      </c>
      <c r="C206" s="1159">
        <v>282</v>
      </c>
      <c r="D206" s="1159">
        <v>2956</v>
      </c>
      <c r="E206" s="287" t="s">
        <v>427</v>
      </c>
    </row>
    <row r="207" spans="2:5" ht="14.4" outlineLevel="1">
      <c r="B207" s="1162" t="s">
        <v>442</v>
      </c>
      <c r="C207" s="1159">
        <v>395</v>
      </c>
      <c r="D207" s="1159">
        <v>2622</v>
      </c>
      <c r="E207" s="287" t="s">
        <v>427</v>
      </c>
    </row>
    <row r="208" spans="2:5" ht="14.4" outlineLevel="1">
      <c r="B208" s="1162" t="s">
        <v>441</v>
      </c>
      <c r="C208" s="1159">
        <v>714</v>
      </c>
      <c r="D208" s="1159">
        <v>1989</v>
      </c>
      <c r="E208" s="287" t="s">
        <v>427</v>
      </c>
    </row>
    <row r="209" spans="2:5" ht="14.4" outlineLevel="1">
      <c r="B209" s="1162" t="s">
        <v>440</v>
      </c>
      <c r="C209" s="1159">
        <v>415</v>
      </c>
      <c r="D209" s="1159">
        <v>2412</v>
      </c>
      <c r="E209" s="287" t="s">
        <v>427</v>
      </c>
    </row>
    <row r="210" spans="2:5" ht="14.4" outlineLevel="1">
      <c r="B210" s="1162" t="s">
        <v>439</v>
      </c>
      <c r="C210" s="1159">
        <v>457</v>
      </c>
      <c r="D210" s="1159">
        <v>2641</v>
      </c>
      <c r="E210" s="287" t="s">
        <v>427</v>
      </c>
    </row>
    <row r="211" spans="2:5" ht="14.4" outlineLevel="1">
      <c r="B211" s="1162" t="s">
        <v>438</v>
      </c>
      <c r="C211" s="1159">
        <v>713</v>
      </c>
      <c r="D211" s="1159">
        <v>2445</v>
      </c>
      <c r="E211" s="287" t="s">
        <v>427</v>
      </c>
    </row>
    <row r="212" spans="2:5" ht="14.4" outlineLevel="1">
      <c r="B212" s="1162" t="s">
        <v>437</v>
      </c>
      <c r="C212" s="1159">
        <v>487</v>
      </c>
      <c r="D212" s="1159">
        <v>2547</v>
      </c>
      <c r="E212" s="287" t="s">
        <v>427</v>
      </c>
    </row>
    <row r="213" spans="2:5" ht="14.4" outlineLevel="1">
      <c r="B213" s="1162" t="s">
        <v>436</v>
      </c>
      <c r="C213" s="1159">
        <v>513</v>
      </c>
      <c r="D213" s="1159">
        <v>2548</v>
      </c>
      <c r="E213" s="287" t="s">
        <v>427</v>
      </c>
    </row>
    <row r="214" spans="2:5" ht="14.4" outlineLevel="1">
      <c r="B214" s="1162" t="s">
        <v>435</v>
      </c>
      <c r="C214" s="1159">
        <v>699</v>
      </c>
      <c r="D214" s="1159">
        <v>2194</v>
      </c>
      <c r="E214" s="287" t="s">
        <v>427</v>
      </c>
    </row>
    <row r="215" spans="2:5" ht="14.4" outlineLevel="1">
      <c r="B215" s="1162" t="s">
        <v>434</v>
      </c>
      <c r="C215" s="1159">
        <v>967</v>
      </c>
      <c r="D215" s="1159">
        <v>2088</v>
      </c>
      <c r="E215" s="287" t="s">
        <v>427</v>
      </c>
    </row>
    <row r="216" spans="2:5" ht="14.4" outlineLevel="1">
      <c r="B216" s="1162" t="s">
        <v>433</v>
      </c>
      <c r="C216" s="1159">
        <v>477</v>
      </c>
      <c r="D216" s="1159">
        <v>2459</v>
      </c>
      <c r="E216" s="287" t="s">
        <v>427</v>
      </c>
    </row>
    <row r="217" spans="2:5" ht="14.4" outlineLevel="1">
      <c r="B217" s="1162" t="s">
        <v>432</v>
      </c>
      <c r="C217" s="1159">
        <v>1035</v>
      </c>
      <c r="D217" s="1159">
        <v>2040</v>
      </c>
      <c r="E217" s="287" t="s">
        <v>427</v>
      </c>
    </row>
    <row r="218" spans="2:5" ht="14.4" outlineLevel="1">
      <c r="B218" s="1162" t="s">
        <v>431</v>
      </c>
      <c r="C218" s="1159">
        <v>439</v>
      </c>
      <c r="D218" s="1159">
        <v>2620</v>
      </c>
      <c r="E218" s="287" t="s">
        <v>427</v>
      </c>
    </row>
    <row r="219" spans="2:5" ht="14.4" outlineLevel="1">
      <c r="B219" s="1162" t="s">
        <v>430</v>
      </c>
      <c r="C219" s="1159">
        <v>353</v>
      </c>
      <c r="D219" s="1159">
        <v>2658</v>
      </c>
      <c r="E219" s="287" t="s">
        <v>427</v>
      </c>
    </row>
    <row r="220" spans="2:5" ht="14.4" outlineLevel="1">
      <c r="B220" s="1162" t="s">
        <v>429</v>
      </c>
      <c r="C220" s="1159">
        <v>455</v>
      </c>
      <c r="D220" s="1159">
        <v>2496</v>
      </c>
      <c r="E220" s="287" t="s">
        <v>427</v>
      </c>
    </row>
    <row r="221" spans="2:5" ht="14.4" outlineLevel="1">
      <c r="B221" s="1162" t="s">
        <v>428</v>
      </c>
      <c r="C221" s="1159">
        <v>387</v>
      </c>
      <c r="D221" s="1159">
        <v>2578</v>
      </c>
      <c r="E221" s="287" t="s">
        <v>427</v>
      </c>
    </row>
    <row r="222" spans="2:5" ht="14.4" collapsed="1">
      <c r="B222" s="1831" t="s">
        <v>426</v>
      </c>
      <c r="C222" s="1832"/>
      <c r="D222" s="1832"/>
      <c r="E222" s="1833"/>
    </row>
  </sheetData>
  <mergeCells count="1">
    <mergeCell ref="B222:E222"/>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9" tint="0.39998"/>
  </sheetPr>
  <dimension ref="B1:AA142"/>
  <sheetViews>
    <sheetView zoomScale="70" zoomScaleNormal="70" workbookViewId="0" topLeftCell="B1">
      <selection pane="topLeft" activeCell="A1" sqref="A1"/>
    </sheetView>
  </sheetViews>
  <sheetFormatPr defaultColWidth="8.77734375" defaultRowHeight="14.4"/>
  <cols>
    <col min="1" max="1" width="4.55555555555556" style="1078" customWidth="1"/>
    <col min="2" max="6" width="13.2222222222222" style="1078" customWidth="1"/>
    <col min="7" max="7" width="11.5555555555556" style="1078" bestFit="1" customWidth="1"/>
    <col min="8" max="8" width="92.7777777777778" style="1078" bestFit="1" customWidth="1"/>
    <col min="9" max="10" width="25.7777777777778" style="1078" customWidth="1"/>
    <col min="11" max="11" width="11.2222222222222" style="1078" bestFit="1" customWidth="1"/>
    <col min="12" max="12" width="9.22222222222222" style="1078" bestFit="1" customWidth="1"/>
    <col min="13" max="13" width="7.44444444444444" style="1078" bestFit="1" customWidth="1"/>
    <col min="14" max="15" width="6.77777777777778" style="1078" bestFit="1" customWidth="1"/>
    <col min="16" max="16" width="9.22222222222222" style="1078" bestFit="1" customWidth="1"/>
    <col min="17" max="17" width="6.77777777777778" style="1078" bestFit="1" customWidth="1"/>
    <col min="18" max="18" width="27.4444444444444" style="1078" bestFit="1" customWidth="1"/>
    <col min="19" max="19" width="11.7777777777778" style="1078" bestFit="1" customWidth="1"/>
    <col min="20" max="23" width="17.2222222222222" style="1078" customWidth="1"/>
    <col min="24" max="35" width="20" style="1078" customWidth="1"/>
    <col min="36" max="16384" width="8.77777777777778" style="1078"/>
  </cols>
  <sheetData>
    <row r="1" ht="14.4">
      <c r="B1" s="1032" t="s">
        <v>1632</v>
      </c>
    </row>
    <row r="2" spans="2:15" ht="14.4">
      <c r="B2" s="1835" t="s">
        <v>905</v>
      </c>
      <c r="C2" s="1835"/>
      <c r="D2" s="1835"/>
      <c r="E2" s="1835"/>
      <c r="F2" s="1835"/>
      <c r="N2" s="1093"/>
      <c r="O2" s="1093"/>
    </row>
    <row r="3" spans="2:15" ht="15">
      <c r="B3" s="1837" t="s">
        <v>219</v>
      </c>
      <c r="C3" s="1837"/>
      <c r="D3" s="1837"/>
      <c r="E3" s="1837"/>
      <c r="F3" s="1837"/>
      <c r="H3" s="1078" t="s">
        <v>232</v>
      </c>
      <c r="I3" s="1078">
        <v>10</v>
      </c>
      <c r="J3" s="1093" t="s">
        <v>231</v>
      </c>
      <c r="K3" s="1093"/>
      <c r="L3" s="1075"/>
      <c r="M3" s="1075"/>
      <c r="N3" s="1167"/>
      <c r="O3" s="1093"/>
    </row>
    <row r="4" spans="2:20" ht="26.4">
      <c r="B4" s="1168" t="s">
        <v>206</v>
      </c>
      <c r="C4" s="1168" t="s">
        <v>205</v>
      </c>
      <c r="D4" s="1168" t="s">
        <v>233</v>
      </c>
      <c r="E4" s="1083" t="s">
        <v>203</v>
      </c>
      <c r="F4" s="1083" t="s">
        <v>202</v>
      </c>
      <c r="H4" s="1078" t="s">
        <v>1720</v>
      </c>
      <c r="I4" s="1078">
        <f>'BEopt Demand Results'!$L$22</f>
        <v>-0.00039524001276905973</v>
      </c>
      <c r="J4" s="1093" t="s">
        <v>1722</v>
      </c>
      <c r="K4" s="1093"/>
      <c r="L4" s="1075"/>
      <c r="M4" s="579"/>
      <c r="N4" s="1167"/>
      <c r="S4" s="1075"/>
      <c r="T4" s="1075"/>
    </row>
    <row r="5" spans="2:20" ht="14.4">
      <c r="B5" s="1169">
        <v>1</v>
      </c>
      <c r="C5" s="1086">
        <f>SUMIF($M$40:$M$90,"=1",N$40:N$90)</f>
        <v>2800</v>
      </c>
      <c r="D5" s="1087">
        <f>SUMIF($M$40:$M$90,$B5,X$40:X$90)</f>
        <v>26023.082650667842</v>
      </c>
      <c r="E5" s="1087">
        <f>SUMIF($M$40:$M$90,"=1",P$40:P$90)</f>
        <v>16</v>
      </c>
      <c r="F5" s="1087">
        <f>SUMIF($M$40:$M$90,"=1",Q$40:Q$90)</f>
        <v>4</v>
      </c>
      <c r="K5" s="1093"/>
      <c r="L5" s="1075"/>
      <c r="M5" s="1075"/>
      <c r="N5" s="1167"/>
      <c r="S5" s="1075"/>
      <c r="T5" s="1075"/>
    </row>
    <row r="6" spans="2:20" ht="14.4">
      <c r="B6" s="1169">
        <v>2</v>
      </c>
      <c r="C6" s="1086">
        <f>SUMIF($M$40:$M$90,"=2",N$40:N$90)</f>
        <v>2100</v>
      </c>
      <c r="D6" s="1087">
        <f>SUMIF($M$40:$M$90,$B6,X$40:X$90)</f>
        <v>19231.151489702443</v>
      </c>
      <c r="E6" s="1087">
        <f>SUMIF($M$40:$M$90,"=2",P$40:P$90)</f>
        <v>12</v>
      </c>
      <c r="F6" s="1087">
        <f>SUMIF($M$40:$M$90,"=2",Q$40:Q$90)</f>
        <v>1</v>
      </c>
      <c r="J6" s="1093"/>
      <c r="K6" s="1093"/>
      <c r="L6" s="1075"/>
      <c r="M6" s="1075"/>
      <c r="N6" s="1167"/>
      <c r="S6" s="1075"/>
      <c r="T6" s="1075"/>
    </row>
    <row r="7" spans="2:20" ht="14.4">
      <c r="B7" s="1169">
        <v>3</v>
      </c>
      <c r="C7" s="1086">
        <f>SUMIF($M$40:$M$90,"=3",N$40:N$90)</f>
        <v>1400</v>
      </c>
      <c r="D7" s="1087">
        <f>SUMIF($M$40:$M$90,$B7,X$40:X$90)</f>
        <v>13523.835380939072</v>
      </c>
      <c r="E7" s="1087">
        <f>SUMIF($M$40:$M$90,"=3",P$40:P$90)</f>
        <v>8</v>
      </c>
      <c r="F7" s="1087">
        <f>SUMIF($M$40:$M$90,"=3",Q$40:Q$90)</f>
        <v>0</v>
      </c>
      <c r="J7" s="1093"/>
      <c r="K7" s="1093"/>
      <c r="L7" s="1075"/>
      <c r="M7" s="1075"/>
      <c r="N7" s="1167"/>
      <c r="S7" s="1075"/>
      <c r="T7" s="1075"/>
    </row>
    <row r="8" spans="2:20" ht="14.4">
      <c r="B8" s="1169">
        <v>4</v>
      </c>
      <c r="C8" s="1086">
        <f>SUMIF($M$40:$M$90,"=4",N$40:N$90)</f>
        <v>1750</v>
      </c>
      <c r="D8" s="1087">
        <f>SUMIF($M$40:$M$90,$B8,X$40:X$90)</f>
        <v>15673.056083317058</v>
      </c>
      <c r="E8" s="1087">
        <f>SUMIF($M$40:$M$90,"=4",P$40:P$90)</f>
        <v>10</v>
      </c>
      <c r="F8" s="1087">
        <f>SUMIF($M$40:$M$90,"=4",Q$40:Q$90)</f>
        <v>0</v>
      </c>
      <c r="H8" s="1078" t="s">
        <v>921</v>
      </c>
      <c r="J8" s="1093"/>
      <c r="K8" s="1093"/>
      <c r="L8" s="1075"/>
      <c r="M8" s="1075"/>
      <c r="N8" s="1167"/>
      <c r="S8" s="1075"/>
      <c r="T8" s="1075"/>
    </row>
    <row r="9" spans="2:20" ht="14.4">
      <c r="B9" s="1169" t="s">
        <v>222</v>
      </c>
      <c r="C9" s="1086">
        <f>SUM(C5:C8)</f>
        <v>8050</v>
      </c>
      <c r="D9" s="1087">
        <f>SUM(D5:D8)</f>
        <v>74451.125604626417</v>
      </c>
      <c r="E9" s="269">
        <f>SUM(E5:E8)</f>
        <v>46</v>
      </c>
      <c r="F9" s="269">
        <f>SUM(F5:F8)</f>
        <v>5</v>
      </c>
      <c r="S9" s="1075"/>
      <c r="T9" s="1075"/>
    </row>
    <row r="10" spans="7:20" ht="14.4">
      <c r="G10" s="579"/>
      <c r="H10" s="1078" t="s">
        <v>926</v>
      </c>
      <c r="I10" s="1165" t="s">
        <v>922</v>
      </c>
      <c r="J10" s="1078" t="s">
        <v>924</v>
      </c>
      <c r="M10" s="261"/>
      <c r="N10" s="1093"/>
      <c r="O10" s="1093"/>
      <c r="P10" s="1075"/>
      <c r="Q10" s="1075"/>
      <c r="R10" s="1075"/>
      <c r="S10" s="1075"/>
      <c r="T10" s="1075"/>
    </row>
    <row r="11" spans="2:15" ht="14.4">
      <c r="B11" s="1835" t="s">
        <v>906</v>
      </c>
      <c r="C11" s="1835"/>
      <c r="D11" s="1835"/>
      <c r="E11" s="1835"/>
      <c r="F11" s="1835"/>
      <c r="H11" s="1078" t="s">
        <v>927</v>
      </c>
      <c r="I11" s="1165" t="s">
        <v>923</v>
      </c>
      <c r="J11" s="1078" t="s">
        <v>924</v>
      </c>
      <c r="M11" s="261"/>
      <c r="N11" s="1093"/>
      <c r="O11" s="1093"/>
    </row>
    <row r="12" spans="2:21" ht="15">
      <c r="B12" s="1837" t="s">
        <v>219</v>
      </c>
      <c r="C12" s="1837"/>
      <c r="D12" s="1837"/>
      <c r="E12" s="1837"/>
      <c r="F12" s="1837"/>
      <c r="M12" s="261"/>
      <c r="N12" s="1093"/>
      <c r="O12" s="1093"/>
      <c r="U12" s="1093"/>
    </row>
    <row r="13" spans="2:21" ht="26.4">
      <c r="B13" s="1168" t="s">
        <v>206</v>
      </c>
      <c r="C13" s="1168" t="s">
        <v>205</v>
      </c>
      <c r="D13" s="1168" t="s">
        <v>233</v>
      </c>
      <c r="E13" s="1083" t="s">
        <v>203</v>
      </c>
      <c r="F13" s="1083" t="s">
        <v>202</v>
      </c>
      <c r="H13" s="1172" t="s">
        <v>1773</v>
      </c>
      <c r="I13" s="1173"/>
      <c r="J13" s="1173"/>
      <c r="N13" s="1093"/>
      <c r="O13" s="1093"/>
      <c r="U13" s="1093"/>
    </row>
    <row r="14" spans="2:21" ht="14.4">
      <c r="B14" s="1169">
        <v>1</v>
      </c>
      <c r="C14" s="1086">
        <f>SUMIF($M$40:$M$90,"=1",N$40:N$90)</f>
        <v>2800</v>
      </c>
      <c r="D14" s="1087">
        <f>SUMIF($M$40:$M$90,$B14,Y$40:Y$90)</f>
        <v>25072.818804551767</v>
      </c>
      <c r="E14" s="1087">
        <f>SUMIF($M$40:$M$90,"=1",P$40:P$90)</f>
        <v>16</v>
      </c>
      <c r="F14" s="1087">
        <f>SUMIF($M$40:$M$90,"=1",Q$40:Q$90)</f>
        <v>4</v>
      </c>
      <c r="H14" s="1174"/>
      <c r="I14" s="865" t="s">
        <v>165</v>
      </c>
      <c r="J14" s="865" t="s">
        <v>165</v>
      </c>
      <c r="N14" s="1093"/>
      <c r="O14" s="1093"/>
      <c r="U14" s="1093"/>
    </row>
    <row r="15" spans="2:21" ht="14.4">
      <c r="B15" s="1169">
        <v>2</v>
      </c>
      <c r="C15" s="1086">
        <f>SUMIF($M$40:$M$90,"=2",N$40:N$90)</f>
        <v>2100</v>
      </c>
      <c r="D15" s="1087">
        <f>SUMIF($M$40:$M$90,$B15,Y$40:Y$90)</f>
        <v>17955.111064682049</v>
      </c>
      <c r="E15" s="1087">
        <f>SUMIF($M$40:$M$90,"=2",P$40:P$90)</f>
        <v>12</v>
      </c>
      <c r="F15" s="1087">
        <f>SUMIF($M$40:$M$90,"=2",Q$40:Q$90)</f>
        <v>1</v>
      </c>
      <c r="H15" s="1175"/>
      <c r="I15" s="1176">
        <v>30187</v>
      </c>
      <c r="J15" s="1176">
        <v>30522</v>
      </c>
      <c r="N15" s="1093"/>
      <c r="O15" s="1093"/>
      <c r="U15" s="1093"/>
    </row>
    <row r="16" spans="2:21" ht="14.4">
      <c r="B16" s="1169">
        <v>3</v>
      </c>
      <c r="C16" s="1086">
        <f>SUMIF($M$40:$M$90,"=3",N$40:N$90)</f>
        <v>1400</v>
      </c>
      <c r="D16" s="1087">
        <f>SUMIF($M$40:$M$90,$B16,Y$40:Y$90)</f>
        <v>11076.018017448087</v>
      </c>
      <c r="E16" s="1087">
        <f>SUMIF($M$40:$M$90,"=3",P$40:P$90)</f>
        <v>8</v>
      </c>
      <c r="F16" s="1087">
        <f>SUMIF($M$40:$M$90,"=3",Q$40:Q$90)</f>
        <v>0</v>
      </c>
      <c r="H16" s="1177"/>
      <c r="I16" s="1178" t="s">
        <v>229</v>
      </c>
      <c r="J16" s="1178" t="s">
        <v>228</v>
      </c>
      <c r="N16" s="1093"/>
      <c r="O16" s="1093"/>
      <c r="U16" s="1093"/>
    </row>
    <row r="17" spans="2:21" ht="14.4">
      <c r="B17" s="1169">
        <v>4</v>
      </c>
      <c r="C17" s="1086">
        <f>SUMIF($M$40:$M$90,"=4",N$40:N$90)</f>
        <v>1750</v>
      </c>
      <c r="D17" s="1087">
        <f>SUMIF($M$40:$M$90,$B17,Y$40:Y$90)</f>
        <v>12610.134184750525</v>
      </c>
      <c r="E17" s="1087">
        <f>SUMIF($M$40:$M$90,"=4",P$40:P$90)</f>
        <v>10</v>
      </c>
      <c r="F17" s="1087">
        <f>SUMIF($M$40:$M$90,"=4",Q$40:Q$90)</f>
        <v>0</v>
      </c>
      <c r="H17" s="1179" t="s">
        <v>227</v>
      </c>
      <c r="I17" s="1180">
        <v>0.74</v>
      </c>
      <c r="J17" s="1180">
        <v>0.34</v>
      </c>
      <c r="N17" s="1093"/>
      <c r="O17" s="1093"/>
      <c r="U17" s="1093"/>
    </row>
    <row r="18" spans="2:21" ht="14.4">
      <c r="B18" s="1169" t="s">
        <v>222</v>
      </c>
      <c r="C18" s="1086">
        <f>SUM(C14:C17)</f>
        <v>8050</v>
      </c>
      <c r="D18" s="1087">
        <f>SUM(D14:D17)</f>
        <v>66714.082071432436</v>
      </c>
      <c r="E18" s="269">
        <f>SUM(E14:E17)</f>
        <v>46</v>
      </c>
      <c r="F18" s="269">
        <f>SUM(F14:F17)</f>
        <v>5</v>
      </c>
      <c r="H18" s="1179" t="s">
        <v>114</v>
      </c>
      <c r="I18" s="1180">
        <v>0.61</v>
      </c>
      <c r="J18" s="1180">
        <v>0.37</v>
      </c>
      <c r="N18" s="1093"/>
      <c r="O18" s="1093"/>
      <c r="U18" s="1093"/>
    </row>
    <row r="19" spans="8:21" ht="14.4">
      <c r="H19" s="1179" t="s">
        <v>221</v>
      </c>
      <c r="I19" s="1180">
        <v>0.32</v>
      </c>
      <c r="J19" s="1180">
        <v>0.02</v>
      </c>
      <c r="N19" s="1093"/>
      <c r="O19" s="1093"/>
      <c r="U19" s="1093"/>
    </row>
    <row r="20" spans="2:21" ht="30" customHeight="1">
      <c r="B20" s="1835" t="s">
        <v>907</v>
      </c>
      <c r="C20" s="1835"/>
      <c r="D20" s="1835"/>
      <c r="E20" s="1835"/>
      <c r="F20" s="1835"/>
      <c r="H20" s="1179" t="s">
        <v>220</v>
      </c>
      <c r="I20" s="1180">
        <v>0.14000000000000001</v>
      </c>
      <c r="J20" s="1180">
        <v>0.19</v>
      </c>
      <c r="N20" s="1093"/>
      <c r="O20" s="1093"/>
      <c r="U20" s="1093"/>
    </row>
    <row r="21" spans="2:21" ht="15">
      <c r="B21" s="1837" t="s">
        <v>219</v>
      </c>
      <c r="C21" s="1837"/>
      <c r="D21" s="1837"/>
      <c r="E21" s="1837"/>
      <c r="F21" s="1837"/>
      <c r="H21" s="1093" t="s">
        <v>218</v>
      </c>
      <c r="N21" s="1093"/>
      <c r="O21" s="1093"/>
      <c r="U21" s="1093"/>
    </row>
    <row r="22" spans="2:21" ht="26.4">
      <c r="B22" s="1168" t="s">
        <v>206</v>
      </c>
      <c r="C22" s="1168" t="s">
        <v>205</v>
      </c>
      <c r="D22" s="1168" t="s">
        <v>233</v>
      </c>
      <c r="E22" s="1083" t="s">
        <v>203</v>
      </c>
      <c r="F22" s="1083" t="s">
        <v>202</v>
      </c>
      <c r="M22" s="261"/>
      <c r="N22" s="1093"/>
      <c r="O22" s="1093"/>
      <c r="U22" s="1093"/>
    </row>
    <row r="23" spans="2:21" ht="14.4">
      <c r="B23" s="1169">
        <v>1</v>
      </c>
      <c r="C23" s="1086">
        <f>SUMIF($M$40:$M$90,"=1",N$40:N$90)</f>
        <v>2800</v>
      </c>
      <c r="D23" s="1087">
        <f>SUMIF($M$40:$M$90,$B23,Z$40:Z$90)</f>
        <v>26023.082650667839</v>
      </c>
      <c r="E23" s="1087">
        <f>SUMIF($M$40:$M$90,"=1",P$40:P$90)</f>
        <v>16</v>
      </c>
      <c r="F23" s="1087">
        <f>SUMIF($M$40:$M$90,"=1",Q$40:Q$90)</f>
        <v>4</v>
      </c>
      <c r="H23" s="1078" t="s">
        <v>226</v>
      </c>
      <c r="I23" s="1078" t="s">
        <v>225</v>
      </c>
      <c r="J23" s="1078" t="s">
        <v>224</v>
      </c>
      <c r="K23" s="1078" t="s">
        <v>223</v>
      </c>
      <c r="M23" s="261"/>
      <c r="N23" s="1093"/>
      <c r="O23" s="1093"/>
      <c r="U23" s="1093"/>
    </row>
    <row r="24" spans="2:21" ht="14.4">
      <c r="B24" s="1169">
        <v>2</v>
      </c>
      <c r="C24" s="1086">
        <f>SUMIF($M$40:$M$90,"=2",N$40:N$90)</f>
        <v>2100</v>
      </c>
      <c r="D24" s="1087">
        <f>SUMIF($M$40:$M$90,$B24,Z$40:Z$90)</f>
        <v>20950.033837943127</v>
      </c>
      <c r="E24" s="1087">
        <f>SUMIF($M$40:$M$90,"=2",P$40:P$90)</f>
        <v>12</v>
      </c>
      <c r="F24" s="1087">
        <f>SUMIF($M$40:$M$90,"=2",Q$40:Q$90)</f>
        <v>1</v>
      </c>
      <c r="H24" s="1091">
        <f>I18/I17</f>
        <v>0.82432432432432434</v>
      </c>
      <c r="I24" s="1091">
        <f>J18/J17</f>
        <v>1.088235294117647</v>
      </c>
      <c r="J24" s="1181">
        <f>AVERAGE(H24:I24)</f>
        <v>0.95627980922098565</v>
      </c>
      <c r="K24" s="1182">
        <f>1-J24</f>
        <v>0.043720190779014345</v>
      </c>
      <c r="N24" s="1093"/>
      <c r="O24" s="1093"/>
      <c r="U24" s="1093"/>
    </row>
    <row r="25" spans="2:21" ht="14.4">
      <c r="B25" s="1169">
        <v>3</v>
      </c>
      <c r="C25" s="1086">
        <f>SUMIF($M$40:$M$90,"=3",N$40:N$90)</f>
        <v>1400</v>
      </c>
      <c r="D25" s="1087">
        <f>SUMIF($M$40:$M$90,$B25,Z$40:Z$90)</f>
        <v>16961.60007742044</v>
      </c>
      <c r="E25" s="1087">
        <f>SUMIF($M$40:$M$90,"=3",P$40:P$90)</f>
        <v>8</v>
      </c>
      <c r="F25" s="1087">
        <f>SUMIF($M$40:$M$90,"=3",Q$40:Q$90)</f>
        <v>0</v>
      </c>
      <c r="N25" s="1093"/>
      <c r="O25" s="1093"/>
      <c r="U25" s="1093"/>
    </row>
    <row r="26" spans="2:21" ht="14.4">
      <c r="B26" s="1169">
        <v>4</v>
      </c>
      <c r="C26" s="1086">
        <f>SUMIF($M$40:$M$90,"=4",N$40:N$90)</f>
        <v>1750</v>
      </c>
      <c r="D26" s="1087">
        <f>SUMIF($M$40:$M$90,$B26,Z$40:Z$90)</f>
        <v>18504.156421595831</v>
      </c>
      <c r="E26" s="1087">
        <f>SUMIF($M$40:$M$90,"=4",P$40:P$90)</f>
        <v>10</v>
      </c>
      <c r="F26" s="1087">
        <f>SUMIF($M$40:$M$90,"=4",Q$40:Q$90)</f>
        <v>0</v>
      </c>
      <c r="H26" s="1080" t="s">
        <v>919</v>
      </c>
      <c r="I26" s="1080" t="s">
        <v>920</v>
      </c>
      <c r="O26" s="1093"/>
      <c r="U26" s="1093"/>
    </row>
    <row r="27" spans="2:21" ht="14.4">
      <c r="B27" s="1169" t="s">
        <v>222</v>
      </c>
      <c r="C27" s="1086">
        <f>SUM(C23:C26)</f>
        <v>8050</v>
      </c>
      <c r="D27" s="1087">
        <f>SUM(D23:D26)</f>
        <v>82438.872987627241</v>
      </c>
      <c r="E27" s="269">
        <f>SUM(E23:E26)</f>
        <v>46</v>
      </c>
      <c r="F27" s="269">
        <f>SUM(F23:F26)</f>
        <v>5</v>
      </c>
      <c r="H27" s="1183" t="s">
        <v>905</v>
      </c>
      <c r="I27" s="1184">
        <f>D9/E9</f>
        <v>1618.5027305353569</v>
      </c>
      <c r="O27" s="1093"/>
      <c r="U27" s="1093"/>
    </row>
    <row r="28" spans="8:21" ht="14.4">
      <c r="H28" s="1183" t="s">
        <v>906</v>
      </c>
      <c r="I28" s="1184">
        <f>D18/E18</f>
        <v>1450.3061319876617</v>
      </c>
      <c r="O28" s="1093"/>
      <c r="U28" s="1093"/>
    </row>
    <row r="29" spans="2:21" ht="25.05" customHeight="1">
      <c r="B29" s="1835" t="s">
        <v>918</v>
      </c>
      <c r="C29" s="1835"/>
      <c r="D29" s="1835"/>
      <c r="E29" s="1835"/>
      <c r="F29" s="1835"/>
      <c r="H29" s="1183" t="s">
        <v>907</v>
      </c>
      <c r="I29" s="1184">
        <f>D27/E27</f>
        <v>1792.1494127745052</v>
      </c>
      <c r="O29" s="1093"/>
      <c r="U29" s="1093"/>
    </row>
    <row r="30" spans="2:21" ht="15">
      <c r="B30" s="1837" t="s">
        <v>219</v>
      </c>
      <c r="C30" s="1837"/>
      <c r="D30" s="1837"/>
      <c r="E30" s="1837"/>
      <c r="F30" s="1837"/>
      <c r="H30" s="1183" t="s">
        <v>917</v>
      </c>
      <c r="I30" s="1184">
        <f>D36/E36</f>
        <v>1598.3490501364065</v>
      </c>
      <c r="O30" s="1093"/>
      <c r="U30" s="1093"/>
    </row>
    <row r="31" spans="2:21" ht="26.4">
      <c r="B31" s="1168" t="s">
        <v>206</v>
      </c>
      <c r="C31" s="1168" t="s">
        <v>205</v>
      </c>
      <c r="D31" s="1168" t="s">
        <v>233</v>
      </c>
      <c r="E31" s="1083" t="s">
        <v>203</v>
      </c>
      <c r="F31" s="1083" t="s">
        <v>202</v>
      </c>
      <c r="O31" s="1093"/>
      <c r="U31" s="1093"/>
    </row>
    <row r="32" spans="2:21" ht="14.4">
      <c r="B32" s="1169">
        <v>1</v>
      </c>
      <c r="C32" s="1086">
        <f>SUMIF($M$40:$M$90,"=1",N$40:N$90)</f>
        <v>2800</v>
      </c>
      <c r="D32" s="1087">
        <f>SUMIF($M$40:$M$90,$B32,AA$40:AA$90)</f>
        <v>24989.207120597774</v>
      </c>
      <c r="E32" s="1087">
        <f>SUMIF($M$40:$M$90,"=1",P$40:P$90)</f>
        <v>16</v>
      </c>
      <c r="F32" s="1087">
        <f>SUMIF($M$40:$M$90,"=1",Q$40:Q$90)</f>
        <v>4</v>
      </c>
      <c r="O32" s="1093"/>
      <c r="U32" s="1093"/>
    </row>
    <row r="33" spans="2:21" ht="14.4">
      <c r="B33" s="1169">
        <v>2</v>
      </c>
      <c r="C33" s="1086">
        <f>SUMIF($M$40:$M$90,"=2",N$40:N$90)</f>
        <v>2100</v>
      </c>
      <c r="D33" s="1087">
        <f>SUMIF($M$40:$M$90,$B33,AA$40:AA$90)</f>
        <v>19484.440006076726</v>
      </c>
      <c r="E33" s="1087">
        <f>SUMIF($M$40:$M$90,"=2",P$40:P$90)</f>
        <v>12</v>
      </c>
      <c r="F33" s="1087">
        <f>SUMIF($M$40:$M$90,"=2",Q$40:Q$90)</f>
        <v>1</v>
      </c>
      <c r="O33" s="1093"/>
      <c r="U33" s="1093"/>
    </row>
    <row r="34" spans="2:21" ht="14.4">
      <c r="B34" s="1169">
        <v>3</v>
      </c>
      <c r="C34" s="1086">
        <f>SUMIF($M$40:$M$90,"=3",N$40:N$90)</f>
        <v>1400</v>
      </c>
      <c r="D34" s="1087">
        <f>SUMIF($M$40:$M$90,$B34,AA$40:AA$90)</f>
        <v>14002.02960652738</v>
      </c>
      <c r="E34" s="1087">
        <f>SUMIF($M$40:$M$90,"=3",P$40:P$90)</f>
        <v>8</v>
      </c>
      <c r="F34" s="1087">
        <f>SUMIF($M$40:$M$90,"=3",Q$40:Q$90)</f>
        <v>0</v>
      </c>
      <c r="O34" s="1093"/>
      <c r="U34" s="1093"/>
    </row>
    <row r="35" spans="2:21" ht="14.4">
      <c r="B35" s="1169">
        <v>4</v>
      </c>
      <c r="C35" s="1086">
        <f>SUMIF($M$40:$M$90,"=4",N$40:N$90)</f>
        <v>1750</v>
      </c>
      <c r="D35" s="1087">
        <f>SUMIF($M$40:$M$90,$B35,AA$40:AA$90)</f>
        <v>15048.37957307282</v>
      </c>
      <c r="E35" s="1087">
        <f>SUMIF($M$40:$M$90,"=4",P$40:P$90)</f>
        <v>10</v>
      </c>
      <c r="F35" s="1087">
        <f>SUMIF($M$40:$M$90,"=4",Q$40:Q$90)</f>
        <v>0</v>
      </c>
      <c r="N35" s="1093"/>
      <c r="O35" s="1093"/>
      <c r="U35" s="1093"/>
    </row>
    <row r="36" spans="2:21" ht="14.4">
      <c r="B36" s="1169" t="s">
        <v>222</v>
      </c>
      <c r="C36" s="1086">
        <f>SUM(C32:C35)</f>
        <v>8050</v>
      </c>
      <c r="D36" s="1087">
        <f>SUM(D32:D35)</f>
        <v>73524.056306274695</v>
      </c>
      <c r="E36" s="269">
        <f>SUM(E32:E35)</f>
        <v>46</v>
      </c>
      <c r="F36" s="269">
        <f>SUM(F32:F35)</f>
        <v>5</v>
      </c>
      <c r="N36" s="1093"/>
      <c r="O36" s="1093"/>
      <c r="U36" s="1093"/>
    </row>
    <row r="37" spans="13:21" ht="14.4">
      <c r="M37" s="261"/>
      <c r="N37" s="1093"/>
      <c r="O37" s="1093"/>
      <c r="U37" s="1093"/>
    </row>
    <row r="38" spans="2:27" ht="15.6">
      <c r="B38" s="1836" t="s">
        <v>219</v>
      </c>
      <c r="C38" s="1836"/>
      <c r="D38" s="1836"/>
      <c r="E38" s="1836"/>
      <c r="F38" s="1836"/>
      <c r="G38" s="1836"/>
      <c r="H38" s="1836"/>
      <c r="I38" s="1836"/>
      <c r="J38" s="1836"/>
      <c r="K38" s="1836"/>
      <c r="L38" s="1836"/>
      <c r="M38" s="1836"/>
      <c r="N38" s="1836"/>
      <c r="O38" s="1836"/>
      <c r="P38" s="1836"/>
      <c r="Q38" s="1836"/>
      <c r="R38" s="1836"/>
      <c r="S38" s="1834" t="s">
        <v>925</v>
      </c>
      <c r="T38" s="1835" t="s">
        <v>930</v>
      </c>
      <c r="U38" s="1835"/>
      <c r="V38" s="1835" t="s">
        <v>931</v>
      </c>
      <c r="W38" s="1835"/>
      <c r="X38" s="1835" t="s">
        <v>905</v>
      </c>
      <c r="Y38" s="1835" t="s">
        <v>906</v>
      </c>
      <c r="Z38" s="1835" t="s">
        <v>907</v>
      </c>
      <c r="AA38" s="1835" t="s">
        <v>918</v>
      </c>
    </row>
    <row r="39" spans="2:27" ht="52.8">
      <c r="B39" s="587" t="s">
        <v>217</v>
      </c>
      <c r="C39" s="587" t="s">
        <v>216</v>
      </c>
      <c r="D39" s="587" t="s">
        <v>215</v>
      </c>
      <c r="E39" s="587" t="s">
        <v>214</v>
      </c>
      <c r="F39" s="587" t="s">
        <v>213</v>
      </c>
      <c r="G39" s="587" t="s">
        <v>212</v>
      </c>
      <c r="H39" s="587" t="s">
        <v>211</v>
      </c>
      <c r="I39" s="587" t="s">
        <v>210</v>
      </c>
      <c r="J39" s="587" t="s">
        <v>209</v>
      </c>
      <c r="K39" s="587" t="s">
        <v>208</v>
      </c>
      <c r="L39" s="587" t="s">
        <v>207</v>
      </c>
      <c r="M39" s="587" t="s">
        <v>206</v>
      </c>
      <c r="N39" s="587" t="s">
        <v>205</v>
      </c>
      <c r="O39" s="587" t="s">
        <v>204</v>
      </c>
      <c r="P39" s="587" t="s">
        <v>203</v>
      </c>
      <c r="Q39" s="587" t="s">
        <v>202</v>
      </c>
      <c r="R39" s="587" t="s">
        <v>201</v>
      </c>
      <c r="S39" s="1834"/>
      <c r="T39" s="587" t="s">
        <v>926</v>
      </c>
      <c r="U39" s="587" t="s">
        <v>927</v>
      </c>
      <c r="V39" s="587" t="s">
        <v>926</v>
      </c>
      <c r="W39" s="587" t="s">
        <v>927</v>
      </c>
      <c r="X39" s="1835"/>
      <c r="Y39" s="1835"/>
      <c r="Z39" s="1835"/>
      <c r="AA39" s="1835"/>
    </row>
    <row r="40" spans="2:27" ht="14.4">
      <c r="B40" s="1134">
        <v>8865779</v>
      </c>
      <c r="C40" s="1185"/>
      <c r="D40" s="1134">
        <v>8767946</v>
      </c>
      <c r="E40" s="1148">
        <v>41961</v>
      </c>
      <c r="F40" s="1186">
        <v>50</v>
      </c>
      <c r="G40" s="1186">
        <v>50</v>
      </c>
      <c r="H40" s="1187">
        <v>0.88</v>
      </c>
      <c r="I40" s="1187">
        <v>2.40</v>
      </c>
      <c r="J40" s="1141">
        <v>806</v>
      </c>
      <c r="K40" s="1188"/>
      <c r="L40" s="1188">
        <v>42015</v>
      </c>
      <c r="M40" s="269">
        <f t="shared" si="0" ref="M40:M71">IF(MAX(K40,L40)&lt;40000,"",ROUNDUP(MONTH(MAX(K40,L40))/3,0))</f>
        <v>1</v>
      </c>
      <c r="N40" s="258">
        <f t="shared" si="1" ref="N40:N71">IF(B40="","",IF(P40=1,175,0))</f>
        <v>175</v>
      </c>
      <c r="O40" s="257">
        <f>IFERROR(IF($B40="","",365*(8.32*50/3413)*($F40/$H40-$G40/$I40)),0)</f>
        <v>1600.919834145735</v>
      </c>
      <c r="P40" s="269">
        <f t="shared" si="2" ref="P40:P71">IF(L40&gt;0,1,"")</f>
        <v>1</v>
      </c>
      <c r="Q40" s="269" t="str">
        <f t="shared" si="3" ref="Q40:Q71">IF(K40&gt;0,1,"")</f>
        <v/>
      </c>
      <c r="R40" s="1189"/>
      <c r="S40" s="1166" t="str">
        <f>IF(E40&lt;DATE(2015,4,16),"Prior Code","Current Code")</f>
        <v>Prior Code</v>
      </c>
      <c r="T40" s="1190">
        <f>IF($S40="Prior Code",(0.97-(0.00132*$F40)),"")</f>
        <v>0.90399999999999991</v>
      </c>
      <c r="U40" s="1190" t="str">
        <f>IF($S40="Current Code",IF($F40&lt;=55,0.96-(0.0003*$F40),(2.057-(0.00113*$F40))),"")</f>
        <v/>
      </c>
      <c r="V40" s="1190">
        <f>IF($S40="Prior Code",(0.97-(0.00132*$G40)),"")</f>
        <v>0.90399999999999991</v>
      </c>
      <c r="W40" s="1190" t="str">
        <f>IF($S40="Current Code",IF($G40&lt;=55,0.96-(0.0003*$G40),(2.057-(0.00113*$G40))),"")</f>
        <v/>
      </c>
      <c r="X40" s="257">
        <f>IFERROR(IF($B40="","",365*(8.32*50/3413)*($F40/$H40-$G40/$I40)),0)</f>
        <v>1600.919834145735</v>
      </c>
      <c r="Y40" s="257">
        <f>IFERROR(IF($B40="","",IF($T40="",365*(8.32*50/3413)*($F40/$U40-$G40/$I40),365*(8.32*50/3413)*($F40/$T40-$G40/$I40))),0)</f>
        <v>1533.8109449640324</v>
      </c>
      <c r="Z40" s="257">
        <f>IFERROR(IF($B40="","",365*(8.32*50/3413)*($G40/$H40-$G40/$I40)),0)</f>
        <v>1600.919834145735</v>
      </c>
      <c r="AA40" s="257">
        <f>IFERROR(IF($B40="","",IF($T40="",365*(8.32*50/3413)*($G40/$U40-$G40/$I40),365*(8.32*50/3413)*($G40/$T40-$G40/$I40))),0)</f>
        <v>1533.8109449640324</v>
      </c>
    </row>
    <row r="41" spans="2:27" ht="14.4">
      <c r="B41" s="1134">
        <v>8395022</v>
      </c>
      <c r="C41" s="1185"/>
      <c r="D41" s="1134">
        <v>624894</v>
      </c>
      <c r="E41" s="1148">
        <v>41961</v>
      </c>
      <c r="F41" s="1186">
        <v>50</v>
      </c>
      <c r="G41" s="1186">
        <v>50</v>
      </c>
      <c r="H41" s="1187">
        <v>0.88</v>
      </c>
      <c r="I41" s="1187">
        <v>1.92</v>
      </c>
      <c r="J41" s="1141" t="s">
        <v>200</v>
      </c>
      <c r="K41" s="1188"/>
      <c r="L41" s="1188">
        <v>42015</v>
      </c>
      <c r="M41" s="269">
        <f t="shared" si="0"/>
        <v>1</v>
      </c>
      <c r="N41" s="258">
        <f t="shared" si="1"/>
        <v>175</v>
      </c>
      <c r="O41" s="257">
        <f t="shared" si="4" ref="O41:O90">IFERROR(IF($B41="","",365*(8.32*50/3413)*($F41/$H41-$G41/$I41)),0)</f>
        <v>1369.2077528877996</v>
      </c>
      <c r="P41" s="269">
        <f t="shared" si="2"/>
        <v>1</v>
      </c>
      <c r="Q41" s="269" t="str">
        <f t="shared" si="3"/>
        <v/>
      </c>
      <c r="R41" s="1166"/>
      <c r="S41" s="1166" t="str">
        <f t="shared" si="5" ref="S41:S90">IF(E41&lt;DATE(2015,4,16),"Prior Code","Current Code")</f>
        <v>Prior Code</v>
      </c>
      <c r="T41" s="1190">
        <f t="shared" si="6" ref="T41:T90">IF($S41="Prior Code",(0.97-(0.00132*$F41)),"")</f>
        <v>0.90399999999999991</v>
      </c>
      <c r="U41" s="1190" t="str">
        <f t="shared" si="7" ref="U41:U90">IF($S41="Current Code",IF($F41&lt;=55,0.96-(0.0003*$F41),(2.057-(0.00113*$F41))),"")</f>
        <v/>
      </c>
      <c r="V41" s="1190">
        <f t="shared" si="8" ref="V41:V90">IF($S41="Prior Code",(0.97-(0.00132*$G41)),"")</f>
        <v>0.90399999999999991</v>
      </c>
      <c r="W41" s="1190" t="str">
        <f t="shared" si="9" ref="W41:W90">IF($S41="Current Code",IF($G41&lt;=55,0.96-(0.0003*$G41),(2.057-(0.00113*$G41))),"")</f>
        <v/>
      </c>
      <c r="X41" s="257">
        <f t="shared" si="10" ref="X41:X90">IFERROR(IF($B41="","",365*(8.32*50/3413)*($F41/$H41-$G41/$I41)),0)</f>
        <v>1369.2077528877996</v>
      </c>
      <c r="Y41" s="257">
        <f t="shared" si="11" ref="Y41:Y90">IFERROR(IF($B41="","",IF($T41="",365*(8.32*50/3413)*($F41/$U41-$G41/$I41),365*(8.32*50/3413)*($F41/$T41-$G41/$I41))),0)</f>
        <v>1302.0988637060971</v>
      </c>
      <c r="Z41" s="257">
        <f t="shared" si="12" ref="Z41:Z90">IFERROR(IF($B41="","",365*(8.32*50/3413)*($G41/$H41-$G41/$I41)),0)</f>
        <v>1369.2077528877996</v>
      </c>
      <c r="AA41" s="257">
        <f t="shared" si="13" ref="AA41:AA90">IFERROR(IF($B41="","",IF($T41="",365*(8.32*50/3413)*($G41/$U41-$G41/$I41),365*(8.32*50/3413)*($G41/$T41-$G41/$I41))),0)</f>
        <v>1302.0988637060971</v>
      </c>
    </row>
    <row r="42" spans="2:27" ht="14.4">
      <c r="B42" s="1134">
        <v>8907753</v>
      </c>
      <c r="C42" s="1185"/>
      <c r="D42" s="1134">
        <v>8769171</v>
      </c>
      <c r="E42" s="1148">
        <v>41946</v>
      </c>
      <c r="F42" s="1186">
        <v>50</v>
      </c>
      <c r="G42" s="1186">
        <v>50</v>
      </c>
      <c r="H42" s="1187">
        <v>0.88</v>
      </c>
      <c r="I42" s="1187">
        <v>2.40</v>
      </c>
      <c r="J42" s="1141">
        <v>1068</v>
      </c>
      <c r="K42" s="1188"/>
      <c r="L42" s="1188">
        <v>42017</v>
      </c>
      <c r="M42" s="269">
        <f t="shared" si="0"/>
        <v>1</v>
      </c>
      <c r="N42" s="258">
        <f t="shared" si="1"/>
        <v>175</v>
      </c>
      <c r="O42" s="257">
        <f t="shared" si="4"/>
        <v>1600.919834145735</v>
      </c>
      <c r="P42" s="269">
        <f t="shared" si="2"/>
        <v>1</v>
      </c>
      <c r="Q42" s="269" t="str">
        <f t="shared" si="3"/>
        <v/>
      </c>
      <c r="R42" s="1166"/>
      <c r="S42" s="1166" t="str">
        <f t="shared" si="5"/>
        <v>Prior Code</v>
      </c>
      <c r="T42" s="1190">
        <f t="shared" si="6"/>
        <v>0.90399999999999991</v>
      </c>
      <c r="U42" s="1190" t="str">
        <f t="shared" si="7"/>
        <v/>
      </c>
      <c r="V42" s="1190">
        <f t="shared" si="8"/>
        <v>0.90399999999999991</v>
      </c>
      <c r="W42" s="1190" t="str">
        <f t="shared" si="9"/>
        <v/>
      </c>
      <c r="X42" s="257">
        <f t="shared" si="10"/>
        <v>1600.919834145735</v>
      </c>
      <c r="Y42" s="257">
        <f t="shared" si="11"/>
        <v>1533.8109449640324</v>
      </c>
      <c r="Z42" s="257">
        <f t="shared" si="12"/>
        <v>1600.919834145735</v>
      </c>
      <c r="AA42" s="257">
        <f t="shared" si="13"/>
        <v>1533.8109449640324</v>
      </c>
    </row>
    <row r="43" spans="2:27" ht="14.4">
      <c r="B43" s="1134">
        <v>5259726</v>
      </c>
      <c r="C43" s="1185"/>
      <c r="D43" s="1134">
        <v>525972</v>
      </c>
      <c r="E43" s="1148">
        <v>42005</v>
      </c>
      <c r="F43" s="1186">
        <v>50</v>
      </c>
      <c r="G43" s="1186">
        <v>50</v>
      </c>
      <c r="H43" s="1187">
        <v>0.88</v>
      </c>
      <c r="I43" s="1187">
        <v>2.40</v>
      </c>
      <c r="J43" s="1141">
        <v>1084</v>
      </c>
      <c r="K43" s="1188"/>
      <c r="L43" s="1188">
        <v>42024</v>
      </c>
      <c r="M43" s="269">
        <f t="shared" si="0"/>
        <v>1</v>
      </c>
      <c r="N43" s="258">
        <f t="shared" si="1"/>
        <v>175</v>
      </c>
      <c r="O43" s="257">
        <f t="shared" si="4"/>
        <v>1600.919834145735</v>
      </c>
      <c r="P43" s="269">
        <f t="shared" si="2"/>
        <v>1</v>
      </c>
      <c r="Q43" s="269" t="str">
        <f t="shared" si="3"/>
        <v/>
      </c>
      <c r="R43" s="1166"/>
      <c r="S43" s="1166" t="str">
        <f t="shared" si="5"/>
        <v>Prior Code</v>
      </c>
      <c r="T43" s="1190">
        <f t="shared" si="6"/>
        <v>0.90399999999999991</v>
      </c>
      <c r="U43" s="1190" t="str">
        <f t="shared" si="7"/>
        <v/>
      </c>
      <c r="V43" s="1190">
        <f t="shared" si="8"/>
        <v>0.90399999999999991</v>
      </c>
      <c r="W43" s="1190" t="str">
        <f t="shared" si="9"/>
        <v/>
      </c>
      <c r="X43" s="257">
        <f t="shared" si="10"/>
        <v>1600.919834145735</v>
      </c>
      <c r="Y43" s="257">
        <f t="shared" si="11"/>
        <v>1533.8109449640324</v>
      </c>
      <c r="Z43" s="257">
        <f t="shared" si="12"/>
        <v>1600.919834145735</v>
      </c>
      <c r="AA43" s="257">
        <f t="shared" si="13"/>
        <v>1533.8109449640324</v>
      </c>
    </row>
    <row r="44" spans="2:27" ht="14.4">
      <c r="B44" s="1134">
        <v>6921142</v>
      </c>
      <c r="C44" s="1185"/>
      <c r="D44" s="1134">
        <v>593575</v>
      </c>
      <c r="E44" s="1148">
        <v>41991</v>
      </c>
      <c r="F44" s="1186">
        <v>80</v>
      </c>
      <c r="G44" s="1186">
        <v>50</v>
      </c>
      <c r="H44" s="1187">
        <v>0.88</v>
      </c>
      <c r="I44" s="1187">
        <v>2.40</v>
      </c>
      <c r="J44" s="1141">
        <v>1175</v>
      </c>
      <c r="K44" s="1188"/>
      <c r="L44" s="1188">
        <v>42024</v>
      </c>
      <c r="M44" s="269">
        <f t="shared" si="0"/>
        <v>1</v>
      </c>
      <c r="N44" s="258">
        <f t="shared" si="1"/>
        <v>175</v>
      </c>
      <c r="O44" s="257">
        <f t="shared" si="4"/>
        <v>3117.5807296522203</v>
      </c>
      <c r="P44" s="269">
        <f t="shared" si="2"/>
        <v>1</v>
      </c>
      <c r="Q44" s="269" t="str">
        <f t="shared" si="3"/>
        <v/>
      </c>
      <c r="R44" s="1166"/>
      <c r="S44" s="1166" t="str">
        <f t="shared" si="5"/>
        <v>Prior Code</v>
      </c>
      <c r="T44" s="1190">
        <f t="shared" si="6"/>
        <v>0.86439999999999995</v>
      </c>
      <c r="U44" s="1190" t="str">
        <f t="shared" si="7"/>
        <v/>
      </c>
      <c r="V44" s="1190">
        <f t="shared" si="8"/>
        <v>0.90399999999999991</v>
      </c>
      <c r="W44" s="1190" t="str">
        <f t="shared" si="9"/>
        <v/>
      </c>
      <c r="X44" s="257">
        <f t="shared" si="10"/>
        <v>3117.5807296522203</v>
      </c>
      <c r="Y44" s="257">
        <f t="shared" si="11"/>
        <v>3190.5713511851573</v>
      </c>
      <c r="Z44" s="257">
        <f t="shared" si="12"/>
        <v>1600.919834145735</v>
      </c>
      <c r="AA44" s="257">
        <f t="shared" si="13"/>
        <v>1646.5389726038202</v>
      </c>
    </row>
    <row r="45" spans="2:27" ht="14.4">
      <c r="B45" s="1134">
        <v>5286729</v>
      </c>
      <c r="C45" s="1185"/>
      <c r="D45" s="1134">
        <v>148226</v>
      </c>
      <c r="E45" s="1148">
        <v>42005</v>
      </c>
      <c r="F45" s="1186">
        <v>50</v>
      </c>
      <c r="G45" s="1186">
        <v>50</v>
      </c>
      <c r="H45" s="1187">
        <v>0.88</v>
      </c>
      <c r="I45" s="1187">
        <v>2.40</v>
      </c>
      <c r="J45" s="1141">
        <v>989</v>
      </c>
      <c r="K45" s="1188"/>
      <c r="L45" s="1188">
        <v>42025</v>
      </c>
      <c r="M45" s="269">
        <f t="shared" si="0"/>
        <v>1</v>
      </c>
      <c r="N45" s="258">
        <f t="shared" si="1"/>
        <v>175</v>
      </c>
      <c r="O45" s="257">
        <f t="shared" si="4"/>
        <v>1600.919834145735</v>
      </c>
      <c r="P45" s="269">
        <f t="shared" si="2"/>
        <v>1</v>
      </c>
      <c r="Q45" s="269" t="str">
        <f t="shared" si="3"/>
        <v/>
      </c>
      <c r="R45" s="1166"/>
      <c r="S45" s="1166" t="str">
        <f t="shared" si="5"/>
        <v>Prior Code</v>
      </c>
      <c r="T45" s="1190">
        <f t="shared" si="6"/>
        <v>0.90399999999999991</v>
      </c>
      <c r="U45" s="1190" t="str">
        <f t="shared" si="7"/>
        <v/>
      </c>
      <c r="V45" s="1190">
        <f t="shared" si="8"/>
        <v>0.90399999999999991</v>
      </c>
      <c r="W45" s="1190" t="str">
        <f t="shared" si="9"/>
        <v/>
      </c>
      <c r="X45" s="257">
        <f t="shared" si="10"/>
        <v>1600.919834145735</v>
      </c>
      <c r="Y45" s="257">
        <f t="shared" si="11"/>
        <v>1533.8109449640324</v>
      </c>
      <c r="Z45" s="257">
        <f t="shared" si="12"/>
        <v>1600.919834145735</v>
      </c>
      <c r="AA45" s="257">
        <f t="shared" si="13"/>
        <v>1533.8109449640324</v>
      </c>
    </row>
    <row r="46" spans="2:27" ht="14.4">
      <c r="B46" s="1134">
        <v>811323</v>
      </c>
      <c r="C46" s="1185"/>
      <c r="D46" s="1134">
        <v>328211</v>
      </c>
      <c r="E46" s="1148">
        <v>41916</v>
      </c>
      <c r="F46" s="1186">
        <v>40</v>
      </c>
      <c r="G46" s="1186">
        <v>50</v>
      </c>
      <c r="H46" s="1187">
        <v>0.88</v>
      </c>
      <c r="I46" s="1187">
        <v>2.40</v>
      </c>
      <c r="J46" s="1141">
        <v>497</v>
      </c>
      <c r="K46" s="1188"/>
      <c r="L46" s="1188">
        <v>42026</v>
      </c>
      <c r="M46" s="269">
        <f t="shared" si="0"/>
        <v>1</v>
      </c>
      <c r="N46" s="258">
        <f t="shared" si="1"/>
        <v>175</v>
      </c>
      <c r="O46" s="257">
        <f t="shared" si="4"/>
        <v>1095.3662023102397</v>
      </c>
      <c r="P46" s="269">
        <f t="shared" si="2"/>
        <v>1</v>
      </c>
      <c r="Q46" s="269" t="str">
        <f t="shared" si="3"/>
        <v/>
      </c>
      <c r="R46" s="1166"/>
      <c r="S46" s="1166" t="str">
        <f t="shared" si="5"/>
        <v>Prior Code</v>
      </c>
      <c r="T46" s="1190">
        <f t="shared" si="6"/>
        <v>0.91720000000000002</v>
      </c>
      <c r="U46" s="1190" t="str">
        <f t="shared" si="7"/>
        <v/>
      </c>
      <c r="V46" s="1190">
        <f t="shared" si="8"/>
        <v>0.90399999999999991</v>
      </c>
      <c r="W46" s="1190" t="str">
        <f t="shared" si="9"/>
        <v/>
      </c>
      <c r="X46" s="257">
        <f t="shared" si="10"/>
        <v>1095.3662023102397</v>
      </c>
      <c r="Y46" s="257">
        <f t="shared" si="11"/>
        <v>1013.3487792649696</v>
      </c>
      <c r="Z46" s="257">
        <f t="shared" si="12"/>
        <v>1600.919834145735</v>
      </c>
      <c r="AA46" s="257">
        <f t="shared" si="13"/>
        <v>1498.3980553391475</v>
      </c>
    </row>
    <row r="47" spans="2:27" ht="14.4">
      <c r="B47" s="1134">
        <v>6987804</v>
      </c>
      <c r="C47" s="1185"/>
      <c r="D47" s="1134">
        <v>647250</v>
      </c>
      <c r="E47" s="1148">
        <v>42011</v>
      </c>
      <c r="F47" s="1186">
        <v>50</v>
      </c>
      <c r="G47" s="1186">
        <v>50</v>
      </c>
      <c r="H47" s="1187">
        <v>0.88</v>
      </c>
      <c r="I47" s="1187">
        <v>2.40</v>
      </c>
      <c r="J47" s="1141">
        <v>1429</v>
      </c>
      <c r="K47" s="1188"/>
      <c r="L47" s="1188">
        <v>42027</v>
      </c>
      <c r="M47" s="269">
        <f t="shared" si="0"/>
        <v>1</v>
      </c>
      <c r="N47" s="258">
        <f t="shared" si="1"/>
        <v>175</v>
      </c>
      <c r="O47" s="257">
        <f t="shared" si="4"/>
        <v>1600.919834145735</v>
      </c>
      <c r="P47" s="269">
        <f t="shared" si="2"/>
        <v>1</v>
      </c>
      <c r="Q47" s="269" t="str">
        <f t="shared" si="3"/>
        <v/>
      </c>
      <c r="R47" s="1166"/>
      <c r="S47" s="1166" t="str">
        <f t="shared" si="5"/>
        <v>Prior Code</v>
      </c>
      <c r="T47" s="1190">
        <f t="shared" si="6"/>
        <v>0.90399999999999991</v>
      </c>
      <c r="U47" s="1190" t="str">
        <f t="shared" si="7"/>
        <v/>
      </c>
      <c r="V47" s="1190">
        <f t="shared" si="8"/>
        <v>0.90399999999999991</v>
      </c>
      <c r="W47" s="1190" t="str">
        <f t="shared" si="9"/>
        <v/>
      </c>
      <c r="X47" s="257">
        <f t="shared" si="10"/>
        <v>1600.919834145735</v>
      </c>
      <c r="Y47" s="257">
        <f t="shared" si="11"/>
        <v>1533.8109449640324</v>
      </c>
      <c r="Z47" s="257">
        <f t="shared" si="12"/>
        <v>1600.919834145735</v>
      </c>
      <c r="AA47" s="257">
        <f t="shared" si="13"/>
        <v>1533.8109449640324</v>
      </c>
    </row>
    <row r="48" spans="2:27" ht="14.4">
      <c r="B48" s="1134">
        <v>3503661</v>
      </c>
      <c r="C48" s="1185"/>
      <c r="D48" s="1134">
        <v>276633</v>
      </c>
      <c r="E48" s="1148">
        <v>42025</v>
      </c>
      <c r="F48" s="1186">
        <v>50</v>
      </c>
      <c r="G48" s="1186">
        <v>50</v>
      </c>
      <c r="H48" s="1187">
        <v>0.88</v>
      </c>
      <c r="I48" s="1187">
        <v>2.90</v>
      </c>
      <c r="J48" s="1141">
        <v>1500</v>
      </c>
      <c r="K48" s="1188"/>
      <c r="L48" s="1188">
        <v>42052</v>
      </c>
      <c r="M48" s="269">
        <f t="shared" si="0"/>
        <v>1</v>
      </c>
      <c r="N48" s="258">
        <f t="shared" si="1"/>
        <v>175</v>
      </c>
      <c r="O48" s="257">
        <f t="shared" si="4"/>
        <v>1760.7212694960351</v>
      </c>
      <c r="P48" s="269">
        <f t="shared" si="2"/>
        <v>1</v>
      </c>
      <c r="Q48" s="269" t="str">
        <f t="shared" si="3"/>
        <v/>
      </c>
      <c r="R48" s="1166"/>
      <c r="S48" s="1166" t="str">
        <f t="shared" si="5"/>
        <v>Prior Code</v>
      </c>
      <c r="T48" s="1190">
        <f t="shared" si="6"/>
        <v>0.90399999999999991</v>
      </c>
      <c r="U48" s="1190" t="str">
        <f t="shared" si="7"/>
        <v/>
      </c>
      <c r="V48" s="1190">
        <f t="shared" si="8"/>
        <v>0.90399999999999991</v>
      </c>
      <c r="W48" s="1190" t="str">
        <f t="shared" si="9"/>
        <v/>
      </c>
      <c r="X48" s="257">
        <f t="shared" si="10"/>
        <v>1760.7212694960351</v>
      </c>
      <c r="Y48" s="257">
        <f t="shared" si="11"/>
        <v>1693.6123803143323</v>
      </c>
      <c r="Z48" s="257">
        <f t="shared" si="12"/>
        <v>1760.7212694960351</v>
      </c>
      <c r="AA48" s="257">
        <f t="shared" si="13"/>
        <v>1693.6123803143323</v>
      </c>
    </row>
    <row r="49" spans="2:27" ht="14.4">
      <c r="B49" s="1134">
        <v>8857269</v>
      </c>
      <c r="C49" s="1185"/>
      <c r="D49" s="1134">
        <v>8766864</v>
      </c>
      <c r="E49" s="1148">
        <v>42015</v>
      </c>
      <c r="F49" s="1186">
        <v>50</v>
      </c>
      <c r="G49" s="1186">
        <v>50</v>
      </c>
      <c r="H49" s="1187">
        <v>0.88</v>
      </c>
      <c r="I49" s="1187">
        <v>2.40</v>
      </c>
      <c r="J49" s="1141">
        <v>1255</v>
      </c>
      <c r="K49" s="1188"/>
      <c r="L49" s="1188">
        <v>42066</v>
      </c>
      <c r="M49" s="269">
        <f t="shared" si="0"/>
        <v>1</v>
      </c>
      <c r="N49" s="258">
        <f t="shared" si="1"/>
        <v>175</v>
      </c>
      <c r="O49" s="257">
        <f t="shared" si="4"/>
        <v>1600.919834145735</v>
      </c>
      <c r="P49" s="269">
        <f t="shared" si="2"/>
        <v>1</v>
      </c>
      <c r="Q49" s="269" t="str">
        <f t="shared" si="3"/>
        <v/>
      </c>
      <c r="R49" s="1166"/>
      <c r="S49" s="1166" t="str">
        <f t="shared" si="5"/>
        <v>Prior Code</v>
      </c>
      <c r="T49" s="1190">
        <f t="shared" si="6"/>
        <v>0.90399999999999991</v>
      </c>
      <c r="U49" s="1190" t="str">
        <f t="shared" si="7"/>
        <v/>
      </c>
      <c r="V49" s="1190">
        <f t="shared" si="8"/>
        <v>0.90399999999999991</v>
      </c>
      <c r="W49" s="1190" t="str">
        <f t="shared" si="9"/>
        <v/>
      </c>
      <c r="X49" s="257">
        <f t="shared" si="10"/>
        <v>1600.919834145735</v>
      </c>
      <c r="Y49" s="257">
        <f t="shared" si="11"/>
        <v>1533.8109449640324</v>
      </c>
      <c r="Z49" s="257">
        <f t="shared" si="12"/>
        <v>1600.919834145735</v>
      </c>
      <c r="AA49" s="257">
        <f t="shared" si="13"/>
        <v>1533.8109449640324</v>
      </c>
    </row>
    <row r="50" spans="2:27" ht="14.4">
      <c r="B50" s="1134">
        <v>8868035</v>
      </c>
      <c r="C50" s="1185"/>
      <c r="D50" s="1134">
        <v>8768058</v>
      </c>
      <c r="E50" s="1148">
        <v>42025</v>
      </c>
      <c r="F50" s="1186">
        <v>50</v>
      </c>
      <c r="G50" s="1186">
        <v>65</v>
      </c>
      <c r="H50" s="1187">
        <v>0.88</v>
      </c>
      <c r="I50" s="1187">
        <v>2.40</v>
      </c>
      <c r="J50" s="1141">
        <v>962</v>
      </c>
      <c r="K50" s="1188"/>
      <c r="L50" s="1188">
        <v>42068</v>
      </c>
      <c r="M50" s="269">
        <f t="shared" si="0"/>
        <v>1</v>
      </c>
      <c r="N50" s="258">
        <f t="shared" si="1"/>
        <v>175</v>
      </c>
      <c r="O50" s="257">
        <f t="shared" si="4"/>
        <v>1322.8653366362125</v>
      </c>
      <c r="P50" s="269">
        <f t="shared" si="2"/>
        <v>1</v>
      </c>
      <c r="Q50" s="269" t="str">
        <f t="shared" si="3"/>
        <v/>
      </c>
      <c r="R50" s="1166"/>
      <c r="S50" s="1166" t="str">
        <f t="shared" si="5"/>
        <v>Prior Code</v>
      </c>
      <c r="T50" s="1190">
        <f t="shared" si="6"/>
        <v>0.90399999999999991</v>
      </c>
      <c r="U50" s="1190" t="str">
        <f t="shared" si="7"/>
        <v/>
      </c>
      <c r="V50" s="1190">
        <f t="shared" si="8"/>
        <v>0.88419999999999999</v>
      </c>
      <c r="W50" s="1190" t="str">
        <f t="shared" si="9"/>
        <v/>
      </c>
      <c r="X50" s="257">
        <f t="shared" si="10"/>
        <v>1322.8653366362125</v>
      </c>
      <c r="Y50" s="257">
        <f t="shared" si="11"/>
        <v>1255.75644745451</v>
      </c>
      <c r="Z50" s="257">
        <f t="shared" si="12"/>
        <v>2081.1957843894552</v>
      </c>
      <c r="AA50" s="257">
        <f t="shared" si="13"/>
        <v>1993.954228453242</v>
      </c>
    </row>
    <row r="51" spans="2:27" ht="14.4">
      <c r="B51" s="1134">
        <v>2650760</v>
      </c>
      <c r="C51" s="1185"/>
      <c r="D51" s="1134">
        <v>265076</v>
      </c>
      <c r="E51" s="1148">
        <v>42034</v>
      </c>
      <c r="F51" s="1186"/>
      <c r="G51" s="1186"/>
      <c r="H51" s="1187"/>
      <c r="I51" s="1187"/>
      <c r="J51" s="1141"/>
      <c r="K51" s="1188">
        <v>42067</v>
      </c>
      <c r="L51" s="1188"/>
      <c r="M51" s="269">
        <f t="shared" si="0"/>
        <v>1</v>
      </c>
      <c r="N51" s="258">
        <f t="shared" si="1"/>
        <v>0</v>
      </c>
      <c r="O51" s="257">
        <f t="shared" si="4"/>
        <v>0</v>
      </c>
      <c r="P51" s="269" t="str">
        <f t="shared" si="2"/>
        <v/>
      </c>
      <c r="Q51" s="269">
        <f t="shared" si="3"/>
        <v>1</v>
      </c>
      <c r="R51" s="1166"/>
      <c r="S51" s="1166" t="str">
        <f t="shared" si="5"/>
        <v>Prior Code</v>
      </c>
      <c r="T51" s="1190">
        <f t="shared" si="6"/>
        <v>0.97</v>
      </c>
      <c r="U51" s="1190" t="str">
        <f t="shared" si="7"/>
        <v/>
      </c>
      <c r="V51" s="1190">
        <f t="shared" si="8"/>
        <v>0.97</v>
      </c>
      <c r="W51" s="1190" t="str">
        <f t="shared" si="9"/>
        <v/>
      </c>
      <c r="X51" s="257">
        <f t="shared" si="10"/>
        <v>0</v>
      </c>
      <c r="Y51" s="257">
        <f t="shared" si="11"/>
        <v>0</v>
      </c>
      <c r="Z51" s="257">
        <f t="shared" si="12"/>
        <v>0</v>
      </c>
      <c r="AA51" s="257">
        <f t="shared" si="13"/>
        <v>0</v>
      </c>
    </row>
    <row r="52" spans="2:27" ht="14.4">
      <c r="B52" s="1134">
        <v>2864643</v>
      </c>
      <c r="C52" s="1185"/>
      <c r="D52" s="1134">
        <v>187537</v>
      </c>
      <c r="E52" s="1148">
        <v>41996</v>
      </c>
      <c r="F52" s="1186"/>
      <c r="G52" s="1186"/>
      <c r="H52" s="1187"/>
      <c r="I52" s="1187"/>
      <c r="J52" s="1141"/>
      <c r="K52" s="1188">
        <v>42069</v>
      </c>
      <c r="L52" s="1188"/>
      <c r="M52" s="269">
        <f t="shared" si="0"/>
        <v>1</v>
      </c>
      <c r="N52" s="258">
        <f t="shared" si="1"/>
        <v>0</v>
      </c>
      <c r="O52" s="257">
        <f t="shared" si="4"/>
        <v>0</v>
      </c>
      <c r="P52" s="269" t="str">
        <f t="shared" si="2"/>
        <v/>
      </c>
      <c r="Q52" s="269">
        <f t="shared" si="3"/>
        <v>1</v>
      </c>
      <c r="R52" s="1166"/>
      <c r="S52" s="1166" t="str">
        <f t="shared" si="5"/>
        <v>Prior Code</v>
      </c>
      <c r="T52" s="1190">
        <f t="shared" si="6"/>
        <v>0.97</v>
      </c>
      <c r="U52" s="1190" t="str">
        <f t="shared" si="7"/>
        <v/>
      </c>
      <c r="V52" s="1190">
        <f t="shared" si="8"/>
        <v>0.97</v>
      </c>
      <c r="W52" s="1190" t="str">
        <f t="shared" si="9"/>
        <v/>
      </c>
      <c r="X52" s="257">
        <f t="shared" si="10"/>
        <v>0</v>
      </c>
      <c r="Y52" s="257">
        <f t="shared" si="11"/>
        <v>0</v>
      </c>
      <c r="Z52" s="257">
        <f t="shared" si="12"/>
        <v>0</v>
      </c>
      <c r="AA52" s="257">
        <f t="shared" si="13"/>
        <v>0</v>
      </c>
    </row>
    <row r="53" spans="2:27" ht="14.4">
      <c r="B53" s="1134">
        <v>1901008</v>
      </c>
      <c r="C53" s="1185"/>
      <c r="D53" s="1134">
        <v>190100</v>
      </c>
      <c r="E53" s="1148">
        <v>42026</v>
      </c>
      <c r="F53" s="1186"/>
      <c r="G53" s="1186"/>
      <c r="H53" s="1187"/>
      <c r="I53" s="1187"/>
      <c r="J53" s="1141"/>
      <c r="K53" s="1188">
        <v>42069</v>
      </c>
      <c r="L53" s="1188"/>
      <c r="M53" s="269">
        <f t="shared" si="0"/>
        <v>1</v>
      </c>
      <c r="N53" s="258">
        <f t="shared" si="1"/>
        <v>0</v>
      </c>
      <c r="O53" s="257">
        <f t="shared" si="4"/>
        <v>0</v>
      </c>
      <c r="P53" s="269" t="str">
        <f t="shared" si="2"/>
        <v/>
      </c>
      <c r="Q53" s="269">
        <f t="shared" si="3"/>
        <v>1</v>
      </c>
      <c r="R53" s="1166"/>
      <c r="S53" s="1166" t="str">
        <f t="shared" si="5"/>
        <v>Prior Code</v>
      </c>
      <c r="T53" s="1190">
        <f t="shared" si="6"/>
        <v>0.97</v>
      </c>
      <c r="U53" s="1190" t="str">
        <f t="shared" si="7"/>
        <v/>
      </c>
      <c r="V53" s="1190">
        <f t="shared" si="8"/>
        <v>0.97</v>
      </c>
      <c r="W53" s="1190" t="str">
        <f t="shared" si="9"/>
        <v/>
      </c>
      <c r="X53" s="257">
        <f t="shared" si="10"/>
        <v>0</v>
      </c>
      <c r="Y53" s="257">
        <f t="shared" si="11"/>
        <v>0</v>
      </c>
      <c r="Z53" s="257">
        <f t="shared" si="12"/>
        <v>0</v>
      </c>
      <c r="AA53" s="257">
        <f t="shared" si="13"/>
        <v>0</v>
      </c>
    </row>
    <row r="54" spans="2:27" ht="14.4">
      <c r="B54" s="1134">
        <v>8909693</v>
      </c>
      <c r="C54" s="1185"/>
      <c r="D54" s="1134">
        <v>587035</v>
      </c>
      <c r="E54" s="1148">
        <v>42046</v>
      </c>
      <c r="F54" s="1186">
        <v>55</v>
      </c>
      <c r="G54" s="1186">
        <v>50</v>
      </c>
      <c r="H54" s="1187">
        <v>0.88</v>
      </c>
      <c r="I54" s="1187">
        <v>2.40</v>
      </c>
      <c r="J54" s="1141">
        <v>1367</v>
      </c>
      <c r="K54" s="1188"/>
      <c r="L54" s="1188">
        <v>42072</v>
      </c>
      <c r="M54" s="269">
        <f t="shared" si="0"/>
        <v>1</v>
      </c>
      <c r="N54" s="258">
        <f t="shared" si="1"/>
        <v>175</v>
      </c>
      <c r="O54" s="257">
        <f t="shared" si="4"/>
        <v>1853.6966500634826</v>
      </c>
      <c r="P54" s="269">
        <f t="shared" si="2"/>
        <v>1</v>
      </c>
      <c r="Q54" s="269" t="str">
        <f t="shared" si="3"/>
        <v/>
      </c>
      <c r="R54" s="1166"/>
      <c r="S54" s="1166" t="str">
        <f t="shared" si="5"/>
        <v>Prior Code</v>
      </c>
      <c r="T54" s="1190">
        <f t="shared" si="6"/>
        <v>0.89739999999999998</v>
      </c>
      <c r="U54" s="1190" t="str">
        <f t="shared" si="7"/>
        <v/>
      </c>
      <c r="V54" s="1190">
        <f t="shared" si="8"/>
        <v>0.90399999999999991</v>
      </c>
      <c r="W54" s="1190" t="str">
        <f t="shared" si="9"/>
        <v/>
      </c>
      <c r="X54" s="257">
        <f t="shared" si="10"/>
        <v>1853.6966500634826</v>
      </c>
      <c r="Y54" s="257">
        <f t="shared" si="11"/>
        <v>1799.7836986854386</v>
      </c>
      <c r="Z54" s="257">
        <f t="shared" si="12"/>
        <v>1600.919834145735</v>
      </c>
      <c r="AA54" s="257">
        <f t="shared" si="13"/>
        <v>1551.9080601656947</v>
      </c>
    </row>
    <row r="55" spans="2:27" ht="14.4">
      <c r="B55" s="1134">
        <v>8888215</v>
      </c>
      <c r="C55" s="1185"/>
      <c r="D55" s="1134">
        <v>90382</v>
      </c>
      <c r="E55" s="1148">
        <v>42011</v>
      </c>
      <c r="F55" s="1186">
        <v>50</v>
      </c>
      <c r="G55" s="1186">
        <v>50</v>
      </c>
      <c r="H55" s="1187">
        <v>0.88</v>
      </c>
      <c r="I55" s="1187">
        <v>2.40</v>
      </c>
      <c r="J55" s="1141">
        <v>1203</v>
      </c>
      <c r="K55" s="1188"/>
      <c r="L55" s="1188">
        <v>42072</v>
      </c>
      <c r="M55" s="269">
        <f t="shared" si="0"/>
        <v>1</v>
      </c>
      <c r="N55" s="258">
        <f t="shared" si="1"/>
        <v>175</v>
      </c>
      <c r="O55" s="257">
        <f t="shared" si="4"/>
        <v>1600.919834145735</v>
      </c>
      <c r="P55" s="269">
        <f t="shared" si="2"/>
        <v>1</v>
      </c>
      <c r="Q55" s="269" t="str">
        <f t="shared" si="3"/>
        <v/>
      </c>
      <c r="R55" s="1166"/>
      <c r="S55" s="1166" t="str">
        <f t="shared" si="5"/>
        <v>Prior Code</v>
      </c>
      <c r="T55" s="1190">
        <f t="shared" si="6"/>
        <v>0.90399999999999991</v>
      </c>
      <c r="U55" s="1190" t="str">
        <f t="shared" si="7"/>
        <v/>
      </c>
      <c r="V55" s="1190">
        <f t="shared" si="8"/>
        <v>0.90399999999999991</v>
      </c>
      <c r="W55" s="1190" t="str">
        <f t="shared" si="9"/>
        <v/>
      </c>
      <c r="X55" s="257">
        <f t="shared" si="10"/>
        <v>1600.919834145735</v>
      </c>
      <c r="Y55" s="257">
        <f t="shared" si="11"/>
        <v>1533.8109449640324</v>
      </c>
      <c r="Z55" s="257">
        <f t="shared" si="12"/>
        <v>1600.919834145735</v>
      </c>
      <c r="AA55" s="257">
        <f t="shared" si="13"/>
        <v>1533.8109449640324</v>
      </c>
    </row>
    <row r="56" spans="2:27" ht="14.4">
      <c r="B56" s="1134">
        <v>7107212</v>
      </c>
      <c r="C56" s="1185"/>
      <c r="D56" s="1134">
        <v>695292</v>
      </c>
      <c r="E56" s="1148">
        <v>42038</v>
      </c>
      <c r="F56" s="1186">
        <v>50</v>
      </c>
      <c r="G56" s="1186">
        <v>50</v>
      </c>
      <c r="H56" s="1187">
        <v>0.88</v>
      </c>
      <c r="I56" s="1187">
        <v>2.40</v>
      </c>
      <c r="J56" s="1141">
        <v>1343</v>
      </c>
      <c r="K56" s="1188"/>
      <c r="L56" s="1188">
        <v>42072</v>
      </c>
      <c r="M56" s="269">
        <f t="shared" si="0"/>
        <v>1</v>
      </c>
      <c r="N56" s="258">
        <f t="shared" si="1"/>
        <v>175</v>
      </c>
      <c r="O56" s="257">
        <f t="shared" si="4"/>
        <v>1600.919834145735</v>
      </c>
      <c r="P56" s="269">
        <f t="shared" si="2"/>
        <v>1</v>
      </c>
      <c r="Q56" s="269" t="str">
        <f t="shared" si="3"/>
        <v/>
      </c>
      <c r="R56" s="1166"/>
      <c r="S56" s="1166" t="str">
        <f t="shared" si="5"/>
        <v>Prior Code</v>
      </c>
      <c r="T56" s="1190">
        <f t="shared" si="6"/>
        <v>0.90399999999999991</v>
      </c>
      <c r="U56" s="1190" t="str">
        <f t="shared" si="7"/>
        <v/>
      </c>
      <c r="V56" s="1190">
        <f t="shared" si="8"/>
        <v>0.90399999999999991</v>
      </c>
      <c r="W56" s="1190" t="str">
        <f t="shared" si="9"/>
        <v/>
      </c>
      <c r="X56" s="257">
        <f t="shared" si="10"/>
        <v>1600.919834145735</v>
      </c>
      <c r="Y56" s="257">
        <f t="shared" si="11"/>
        <v>1533.8109449640324</v>
      </c>
      <c r="Z56" s="257">
        <f t="shared" si="12"/>
        <v>1600.919834145735</v>
      </c>
      <c r="AA56" s="257">
        <f t="shared" si="13"/>
        <v>1533.8109449640324</v>
      </c>
    </row>
    <row r="57" spans="2:27" ht="14.4">
      <c r="B57" s="1134">
        <v>1658608</v>
      </c>
      <c r="C57" s="1185"/>
      <c r="D57" s="1134">
        <v>165860</v>
      </c>
      <c r="E57" s="1148">
        <v>42021</v>
      </c>
      <c r="F57" s="1186">
        <v>40</v>
      </c>
      <c r="G57" s="1186">
        <v>50</v>
      </c>
      <c r="H57" s="1187">
        <v>0.88</v>
      </c>
      <c r="I57" s="1187">
        <v>2.40</v>
      </c>
      <c r="J57" s="1141">
        <v>1112</v>
      </c>
      <c r="K57" s="1188"/>
      <c r="L57" s="1188">
        <v>42080</v>
      </c>
      <c r="M57" s="269">
        <f t="shared" si="0"/>
        <v>1</v>
      </c>
      <c r="N57" s="258">
        <f t="shared" si="1"/>
        <v>175</v>
      </c>
      <c r="O57" s="257">
        <f t="shared" si="4"/>
        <v>1095.3662023102397</v>
      </c>
      <c r="P57" s="269">
        <f t="shared" si="2"/>
        <v>1</v>
      </c>
      <c r="Q57" s="269" t="str">
        <f t="shared" si="3"/>
        <v/>
      </c>
      <c r="R57" s="1166"/>
      <c r="S57" s="1166" t="str">
        <f t="shared" si="5"/>
        <v>Prior Code</v>
      </c>
      <c r="T57" s="1190">
        <f t="shared" si="6"/>
        <v>0.91720000000000002</v>
      </c>
      <c r="U57" s="1190" t="str">
        <f t="shared" si="7"/>
        <v/>
      </c>
      <c r="V57" s="1190">
        <f t="shared" si="8"/>
        <v>0.90399999999999991</v>
      </c>
      <c r="W57" s="1190" t="str">
        <f t="shared" si="9"/>
        <v/>
      </c>
      <c r="X57" s="257">
        <f t="shared" si="10"/>
        <v>1095.3662023102397</v>
      </c>
      <c r="Y57" s="257">
        <f t="shared" si="11"/>
        <v>1013.3487792649696</v>
      </c>
      <c r="Z57" s="257">
        <f t="shared" si="12"/>
        <v>1600.919834145735</v>
      </c>
      <c r="AA57" s="257">
        <f t="shared" si="13"/>
        <v>1498.3980553391475</v>
      </c>
    </row>
    <row r="58" spans="2:27" ht="14.4">
      <c r="B58" s="1134">
        <v>4275152</v>
      </c>
      <c r="C58" s="1185"/>
      <c r="D58" s="1134">
        <v>125655</v>
      </c>
      <c r="E58" s="1148">
        <v>41963</v>
      </c>
      <c r="F58" s="1186"/>
      <c r="G58" s="1186"/>
      <c r="H58" s="1187"/>
      <c r="I58" s="1187"/>
      <c r="J58" s="1141"/>
      <c r="K58" s="1188">
        <v>42080</v>
      </c>
      <c r="L58" s="1188"/>
      <c r="M58" s="269">
        <f t="shared" si="0"/>
        <v>1</v>
      </c>
      <c r="N58" s="258">
        <f t="shared" si="1"/>
        <v>0</v>
      </c>
      <c r="O58" s="257">
        <f t="shared" si="4"/>
        <v>0</v>
      </c>
      <c r="P58" s="269" t="str">
        <f t="shared" si="2"/>
        <v/>
      </c>
      <c r="Q58" s="269">
        <f t="shared" si="3"/>
        <v>1</v>
      </c>
      <c r="R58" s="259" t="s">
        <v>199</v>
      </c>
      <c r="S58" s="1166" t="str">
        <f t="shared" si="5"/>
        <v>Prior Code</v>
      </c>
      <c r="T58" s="1190">
        <f t="shared" si="6"/>
        <v>0.97</v>
      </c>
      <c r="U58" s="1190" t="str">
        <f t="shared" si="7"/>
        <v/>
      </c>
      <c r="V58" s="1190">
        <f t="shared" si="8"/>
        <v>0.97</v>
      </c>
      <c r="W58" s="1190" t="str">
        <f t="shared" si="9"/>
        <v/>
      </c>
      <c r="X58" s="257">
        <f t="shared" si="10"/>
        <v>0</v>
      </c>
      <c r="Y58" s="257">
        <f t="shared" si="11"/>
        <v>0</v>
      </c>
      <c r="Z58" s="257">
        <f t="shared" si="12"/>
        <v>0</v>
      </c>
      <c r="AA58" s="257">
        <f t="shared" si="13"/>
        <v>0</v>
      </c>
    </row>
    <row r="59" spans="2:27" ht="14.4">
      <c r="B59" s="1134">
        <v>8911117</v>
      </c>
      <c r="C59" s="1185"/>
      <c r="D59" s="1134">
        <v>172516</v>
      </c>
      <c r="E59" s="1148">
        <v>41987</v>
      </c>
      <c r="F59" s="1186">
        <v>50</v>
      </c>
      <c r="G59" s="1186">
        <v>50</v>
      </c>
      <c r="H59" s="1187">
        <v>0.88</v>
      </c>
      <c r="I59" s="1187">
        <v>2.40</v>
      </c>
      <c r="J59" s="1141">
        <v>769</v>
      </c>
      <c r="K59" s="1188"/>
      <c r="L59" s="1188">
        <v>42083</v>
      </c>
      <c r="M59" s="269">
        <f t="shared" si="0"/>
        <v>1</v>
      </c>
      <c r="N59" s="258">
        <f t="shared" si="1"/>
        <v>175</v>
      </c>
      <c r="O59" s="257">
        <f t="shared" si="4"/>
        <v>1600.919834145735</v>
      </c>
      <c r="P59" s="269">
        <f t="shared" si="2"/>
        <v>1</v>
      </c>
      <c r="Q59" s="269" t="str">
        <f t="shared" si="3"/>
        <v/>
      </c>
      <c r="R59" s="1166"/>
      <c r="S59" s="1166" t="str">
        <f t="shared" si="5"/>
        <v>Prior Code</v>
      </c>
      <c r="T59" s="1190">
        <f t="shared" si="6"/>
        <v>0.90399999999999991</v>
      </c>
      <c r="U59" s="1190" t="str">
        <f t="shared" si="7"/>
        <v/>
      </c>
      <c r="V59" s="1190">
        <f t="shared" si="8"/>
        <v>0.90399999999999991</v>
      </c>
      <c r="W59" s="1190" t="str">
        <f t="shared" si="9"/>
        <v/>
      </c>
      <c r="X59" s="257">
        <f t="shared" si="10"/>
        <v>1600.919834145735</v>
      </c>
      <c r="Y59" s="257">
        <f t="shared" si="11"/>
        <v>1533.8109449640324</v>
      </c>
      <c r="Z59" s="257">
        <f t="shared" si="12"/>
        <v>1600.919834145735</v>
      </c>
      <c r="AA59" s="257">
        <f t="shared" si="13"/>
        <v>1533.8109449640324</v>
      </c>
    </row>
    <row r="60" spans="2:27" ht="14.4">
      <c r="B60" s="1134">
        <v>6052740</v>
      </c>
      <c r="C60" s="1185"/>
      <c r="D60" s="1134">
        <v>602632</v>
      </c>
      <c r="E60" s="1148">
        <v>42068</v>
      </c>
      <c r="F60" s="1186">
        <v>75</v>
      </c>
      <c r="G60" s="1186">
        <v>50</v>
      </c>
      <c r="H60" s="1187">
        <v>0.88</v>
      </c>
      <c r="I60" s="1187">
        <v>2.90</v>
      </c>
      <c r="J60" s="1141">
        <v>1675</v>
      </c>
      <c r="K60" s="1188"/>
      <c r="L60" s="1188">
        <v>42109</v>
      </c>
      <c r="M60" s="269">
        <f t="shared" si="0"/>
        <v>2</v>
      </c>
      <c r="N60" s="258">
        <f t="shared" si="1"/>
        <v>175</v>
      </c>
      <c r="O60" s="257">
        <f t="shared" si="4"/>
        <v>3024.6053490847739</v>
      </c>
      <c r="P60" s="269">
        <f t="shared" si="2"/>
        <v>1</v>
      </c>
      <c r="Q60" s="269" t="str">
        <f t="shared" si="3"/>
        <v/>
      </c>
      <c r="R60" s="1166"/>
      <c r="S60" s="1166" t="str">
        <f t="shared" si="5"/>
        <v>Prior Code</v>
      </c>
      <c r="T60" s="1190">
        <f t="shared" si="6"/>
        <v>0.871</v>
      </c>
      <c r="U60" s="1190" t="str">
        <f t="shared" si="7"/>
        <v/>
      </c>
      <c r="V60" s="1190">
        <f t="shared" si="8"/>
        <v>0.90399999999999991</v>
      </c>
      <c r="W60" s="1190" t="str">
        <f t="shared" si="9"/>
        <v/>
      </c>
      <c r="X60" s="257">
        <f t="shared" si="10"/>
        <v>3024.6053490847739</v>
      </c>
      <c r="Y60" s="257">
        <f t="shared" si="11"/>
        <v>3063.7843044796023</v>
      </c>
      <c r="Z60" s="257">
        <f t="shared" si="12"/>
        <v>1760.7212694960351</v>
      </c>
      <c r="AA60" s="257">
        <f t="shared" si="13"/>
        <v>1786.8405730925881</v>
      </c>
    </row>
    <row r="61" spans="2:27" ht="14.4">
      <c r="B61" s="1134">
        <v>5696331</v>
      </c>
      <c r="C61" s="1185"/>
      <c r="D61" s="1134">
        <v>538274</v>
      </c>
      <c r="E61" s="1148">
        <v>42039</v>
      </c>
      <c r="F61" s="1186">
        <v>40</v>
      </c>
      <c r="G61" s="1186">
        <v>50</v>
      </c>
      <c r="H61" s="1187">
        <v>0.88</v>
      </c>
      <c r="I61" s="1187">
        <v>2.40</v>
      </c>
      <c r="J61" s="1141">
        <v>917</v>
      </c>
      <c r="K61" s="1188"/>
      <c r="L61" s="1188">
        <v>42114</v>
      </c>
      <c r="M61" s="269">
        <f t="shared" si="0"/>
        <v>2</v>
      </c>
      <c r="N61" s="258">
        <f t="shared" si="1"/>
        <v>175</v>
      </c>
      <c r="O61" s="257">
        <f t="shared" si="4"/>
        <v>1095.3662023102397</v>
      </c>
      <c r="P61" s="269">
        <f t="shared" si="2"/>
        <v>1</v>
      </c>
      <c r="Q61" s="269" t="str">
        <f t="shared" si="3"/>
        <v/>
      </c>
      <c r="R61" s="1166"/>
      <c r="S61" s="1166" t="str">
        <f t="shared" si="5"/>
        <v>Prior Code</v>
      </c>
      <c r="T61" s="1190">
        <f t="shared" si="6"/>
        <v>0.91720000000000002</v>
      </c>
      <c r="U61" s="1190" t="str">
        <f t="shared" si="7"/>
        <v/>
      </c>
      <c r="V61" s="1190">
        <f t="shared" si="8"/>
        <v>0.90399999999999991</v>
      </c>
      <c r="W61" s="1190" t="str">
        <f t="shared" si="9"/>
        <v/>
      </c>
      <c r="X61" s="257">
        <f t="shared" si="10"/>
        <v>1095.3662023102397</v>
      </c>
      <c r="Y61" s="257">
        <f t="shared" si="11"/>
        <v>1013.3487792649696</v>
      </c>
      <c r="Z61" s="257">
        <f t="shared" si="12"/>
        <v>1600.919834145735</v>
      </c>
      <c r="AA61" s="257">
        <f t="shared" si="13"/>
        <v>1498.3980553391475</v>
      </c>
    </row>
    <row r="62" spans="2:27" ht="14.4">
      <c r="B62" s="1134">
        <v>4875332</v>
      </c>
      <c r="C62" s="1185"/>
      <c r="D62" s="1134">
        <v>482180</v>
      </c>
      <c r="E62" s="1148">
        <v>42025</v>
      </c>
      <c r="F62" s="1186">
        <v>50</v>
      </c>
      <c r="G62" s="1186">
        <v>50</v>
      </c>
      <c r="H62" s="1187">
        <v>0.88</v>
      </c>
      <c r="I62" s="1187">
        <v>2.40</v>
      </c>
      <c r="J62" s="1141">
        <v>962</v>
      </c>
      <c r="K62" s="1188"/>
      <c r="L62" s="1188">
        <v>42118</v>
      </c>
      <c r="M62" s="269">
        <f t="shared" si="0"/>
        <v>2</v>
      </c>
      <c r="N62" s="258">
        <f t="shared" si="1"/>
        <v>175</v>
      </c>
      <c r="O62" s="257">
        <f t="shared" si="4"/>
        <v>1600.919834145735</v>
      </c>
      <c r="P62" s="269">
        <f t="shared" si="2"/>
        <v>1</v>
      </c>
      <c r="Q62" s="269" t="str">
        <f t="shared" si="3"/>
        <v/>
      </c>
      <c r="R62" s="1166"/>
      <c r="S62" s="1166" t="str">
        <f t="shared" si="5"/>
        <v>Prior Code</v>
      </c>
      <c r="T62" s="1190">
        <f t="shared" si="6"/>
        <v>0.90399999999999991</v>
      </c>
      <c r="U62" s="1190" t="str">
        <f t="shared" si="7"/>
        <v/>
      </c>
      <c r="V62" s="1190">
        <f t="shared" si="8"/>
        <v>0.90399999999999991</v>
      </c>
      <c r="W62" s="1190" t="str">
        <f t="shared" si="9"/>
        <v/>
      </c>
      <c r="X62" s="257">
        <f t="shared" si="10"/>
        <v>1600.919834145735</v>
      </c>
      <c r="Y62" s="257">
        <f t="shared" si="11"/>
        <v>1533.8109449640324</v>
      </c>
      <c r="Z62" s="257">
        <f t="shared" si="12"/>
        <v>1600.919834145735</v>
      </c>
      <c r="AA62" s="257">
        <f t="shared" si="13"/>
        <v>1533.8109449640324</v>
      </c>
    </row>
    <row r="63" spans="2:27" ht="14.4">
      <c r="B63" s="1134">
        <v>8820701</v>
      </c>
      <c r="C63" s="1185"/>
      <c r="D63" s="1134">
        <v>696589</v>
      </c>
      <c r="E63" s="1148">
        <v>42072</v>
      </c>
      <c r="F63" s="1186">
        <v>50</v>
      </c>
      <c r="G63" s="1186">
        <v>50</v>
      </c>
      <c r="H63" s="1187">
        <v>0.88</v>
      </c>
      <c r="I63" s="1187">
        <v>2.40</v>
      </c>
      <c r="J63" s="1141">
        <v>1599</v>
      </c>
      <c r="K63" s="1188"/>
      <c r="L63" s="1188">
        <v>42118</v>
      </c>
      <c r="M63" s="269">
        <f t="shared" si="0"/>
        <v>2</v>
      </c>
      <c r="N63" s="258">
        <f t="shared" si="1"/>
        <v>175</v>
      </c>
      <c r="O63" s="257">
        <f t="shared" si="4"/>
        <v>1600.919834145735</v>
      </c>
      <c r="P63" s="269">
        <f t="shared" si="2"/>
        <v>1</v>
      </c>
      <c r="Q63" s="269" t="str">
        <f t="shared" si="3"/>
        <v/>
      </c>
      <c r="R63" s="1166"/>
      <c r="S63" s="1166" t="str">
        <f t="shared" si="5"/>
        <v>Prior Code</v>
      </c>
      <c r="T63" s="1190">
        <f t="shared" si="6"/>
        <v>0.90399999999999991</v>
      </c>
      <c r="U63" s="1190" t="str">
        <f t="shared" si="7"/>
        <v/>
      </c>
      <c r="V63" s="1190">
        <f t="shared" si="8"/>
        <v>0.90399999999999991</v>
      </c>
      <c r="W63" s="1190" t="str">
        <f t="shared" si="9"/>
        <v/>
      </c>
      <c r="X63" s="257">
        <f t="shared" si="10"/>
        <v>1600.919834145735</v>
      </c>
      <c r="Y63" s="257">
        <f t="shared" si="11"/>
        <v>1533.8109449640324</v>
      </c>
      <c r="Z63" s="257">
        <f t="shared" si="12"/>
        <v>1600.919834145735</v>
      </c>
      <c r="AA63" s="257">
        <f t="shared" si="13"/>
        <v>1533.8109449640324</v>
      </c>
    </row>
    <row r="64" spans="2:27" ht="14.4">
      <c r="B64" s="1134">
        <v>2532349</v>
      </c>
      <c r="C64" s="1185"/>
      <c r="D64" s="1134">
        <v>192251</v>
      </c>
      <c r="E64" s="1148">
        <v>42080</v>
      </c>
      <c r="F64" s="1186">
        <v>30</v>
      </c>
      <c r="G64" s="1186">
        <v>50</v>
      </c>
      <c r="H64" s="1187">
        <v>0.88</v>
      </c>
      <c r="I64" s="1187">
        <v>2.35</v>
      </c>
      <c r="J64" s="1141">
        <v>1400</v>
      </c>
      <c r="K64" s="1188"/>
      <c r="L64" s="1188">
        <v>42121</v>
      </c>
      <c r="M64" s="269">
        <f t="shared" si="0"/>
        <v>2</v>
      </c>
      <c r="N64" s="258">
        <f t="shared" si="1"/>
        <v>175</v>
      </c>
      <c r="O64" s="257">
        <f t="shared" si="4"/>
        <v>570.09239334640972</v>
      </c>
      <c r="P64" s="269">
        <f t="shared" si="2"/>
        <v>1</v>
      </c>
      <c r="Q64" s="269" t="str">
        <f t="shared" si="3"/>
        <v/>
      </c>
      <c r="R64" s="1166"/>
      <c r="S64" s="1166" t="str">
        <f t="shared" si="5"/>
        <v>Prior Code</v>
      </c>
      <c r="T64" s="1190">
        <f t="shared" si="6"/>
        <v>0.9304</v>
      </c>
      <c r="U64" s="1190" t="str">
        <f t="shared" si="7"/>
        <v/>
      </c>
      <c r="V64" s="1190">
        <f t="shared" si="8"/>
        <v>0.90399999999999991</v>
      </c>
      <c r="W64" s="1190" t="str">
        <f t="shared" si="9"/>
        <v/>
      </c>
      <c r="X64" s="257">
        <f t="shared" si="10"/>
        <v>570.09239334640972</v>
      </c>
      <c r="Y64" s="257">
        <f t="shared" si="11"/>
        <v>487.93449444966944</v>
      </c>
      <c r="Z64" s="257">
        <f t="shared" si="12"/>
        <v>1581.1996570174001</v>
      </c>
      <c r="AA64" s="257">
        <f t="shared" si="13"/>
        <v>1444.2698255228333</v>
      </c>
    </row>
    <row r="65" spans="2:27" ht="14.4">
      <c r="B65" s="1134">
        <v>2447639</v>
      </c>
      <c r="C65" s="1185"/>
      <c r="D65" s="1134">
        <v>159199</v>
      </c>
      <c r="E65" s="1148">
        <v>42098</v>
      </c>
      <c r="F65" s="1186"/>
      <c r="G65" s="1186"/>
      <c r="H65" s="1187"/>
      <c r="I65" s="1187"/>
      <c r="J65" s="1141">
        <v>891</v>
      </c>
      <c r="K65" s="1188">
        <v>42124</v>
      </c>
      <c r="L65" s="1188"/>
      <c r="M65" s="269">
        <f t="shared" si="0"/>
        <v>2</v>
      </c>
      <c r="N65" s="258">
        <f t="shared" si="1"/>
        <v>0</v>
      </c>
      <c r="O65" s="257">
        <f t="shared" si="4"/>
        <v>0</v>
      </c>
      <c r="P65" s="269" t="str">
        <f t="shared" si="2"/>
        <v/>
      </c>
      <c r="Q65" s="269">
        <f t="shared" si="3"/>
        <v>1</v>
      </c>
      <c r="R65" s="1166" t="s">
        <v>198</v>
      </c>
      <c r="S65" s="1166" t="str">
        <f t="shared" si="5"/>
        <v>Prior Code</v>
      </c>
      <c r="T65" s="1190">
        <f t="shared" si="6"/>
        <v>0.97</v>
      </c>
      <c r="U65" s="1190" t="str">
        <f t="shared" si="7"/>
        <v/>
      </c>
      <c r="V65" s="1190">
        <f t="shared" si="8"/>
        <v>0.97</v>
      </c>
      <c r="W65" s="1190" t="str">
        <f t="shared" si="9"/>
        <v/>
      </c>
      <c r="X65" s="257">
        <f t="shared" si="10"/>
        <v>0</v>
      </c>
      <c r="Y65" s="257">
        <f t="shared" si="11"/>
        <v>0</v>
      </c>
      <c r="Z65" s="257">
        <f t="shared" si="12"/>
        <v>0</v>
      </c>
      <c r="AA65" s="257">
        <f t="shared" si="13"/>
        <v>0</v>
      </c>
    </row>
    <row r="66" spans="2:27" ht="14.4">
      <c r="B66" s="1134">
        <v>8867929</v>
      </c>
      <c r="C66" s="1185"/>
      <c r="D66" s="1134">
        <v>8768052</v>
      </c>
      <c r="E66" s="1148">
        <v>42119</v>
      </c>
      <c r="F66" s="1186">
        <v>55</v>
      </c>
      <c r="G66" s="1186">
        <v>50</v>
      </c>
      <c r="H66" s="1187">
        <v>0.88</v>
      </c>
      <c r="I66" s="1187">
        <v>2.90</v>
      </c>
      <c r="J66" s="1141">
        <v>962</v>
      </c>
      <c r="K66" s="1188"/>
      <c r="L66" s="1188">
        <v>42128</v>
      </c>
      <c r="M66" s="269">
        <f t="shared" si="0"/>
        <v>2</v>
      </c>
      <c r="N66" s="258">
        <f t="shared" si="1"/>
        <v>175</v>
      </c>
      <c r="O66" s="257">
        <f t="shared" si="4"/>
        <v>2013.498085413783</v>
      </c>
      <c r="P66" s="269">
        <f t="shared" si="2"/>
        <v>1</v>
      </c>
      <c r="Q66" s="269" t="str">
        <f t="shared" si="3"/>
        <v/>
      </c>
      <c r="R66" s="1166"/>
      <c r="S66" s="1166" t="str">
        <f t="shared" si="5"/>
        <v>Current Code</v>
      </c>
      <c r="T66" s="1190" t="str">
        <f t="shared" si="6"/>
        <v/>
      </c>
      <c r="U66" s="1190">
        <f t="shared" si="7"/>
        <v>0.94350000000000001</v>
      </c>
      <c r="V66" s="1190" t="str">
        <f t="shared" si="8"/>
        <v/>
      </c>
      <c r="W66" s="1190">
        <f t="shared" si="9"/>
        <v>0.945</v>
      </c>
      <c r="X66" s="257">
        <f t="shared" si="10"/>
        <v>2013.498085413783</v>
      </c>
      <c r="Y66" s="257">
        <f t="shared" si="11"/>
        <v>1826.3601883088049</v>
      </c>
      <c r="Z66" s="257">
        <f t="shared" si="12"/>
        <v>1760.7212694960351</v>
      </c>
      <c r="AA66" s="257">
        <f t="shared" si="13"/>
        <v>1590.5959084915096</v>
      </c>
    </row>
    <row r="67" spans="2:27" ht="14.4">
      <c r="B67" s="1134">
        <v>3799954</v>
      </c>
      <c r="C67" s="1185"/>
      <c r="D67" s="1134">
        <v>375018</v>
      </c>
      <c r="E67" s="1148">
        <v>42124</v>
      </c>
      <c r="F67" s="1186">
        <v>50</v>
      </c>
      <c r="G67" s="1186">
        <v>50</v>
      </c>
      <c r="H67" s="1187">
        <v>0.88</v>
      </c>
      <c r="I67" s="1187">
        <v>2.90</v>
      </c>
      <c r="J67" s="1141">
        <v>444</v>
      </c>
      <c r="K67" s="1188"/>
      <c r="L67" s="1188">
        <v>42136</v>
      </c>
      <c r="M67" s="269">
        <f t="shared" si="0"/>
        <v>2</v>
      </c>
      <c r="N67" s="258">
        <f t="shared" si="1"/>
        <v>175</v>
      </c>
      <c r="O67" s="257">
        <f t="shared" si="4"/>
        <v>1760.7212694960351</v>
      </c>
      <c r="P67" s="269">
        <f t="shared" si="2"/>
        <v>1</v>
      </c>
      <c r="Q67" s="269" t="str">
        <f t="shared" si="3"/>
        <v/>
      </c>
      <c r="R67" s="1166"/>
      <c r="S67" s="1166" t="str">
        <f t="shared" si="5"/>
        <v>Current Code</v>
      </c>
      <c r="T67" s="1190" t="str">
        <f t="shared" si="6"/>
        <v/>
      </c>
      <c r="U67" s="1190">
        <f t="shared" si="7"/>
        <v>0.945</v>
      </c>
      <c r="V67" s="1190" t="str">
        <f t="shared" si="8"/>
        <v/>
      </c>
      <c r="W67" s="1190">
        <f t="shared" si="9"/>
        <v>0.945</v>
      </c>
      <c r="X67" s="257">
        <f t="shared" si="10"/>
        <v>1760.7212694960351</v>
      </c>
      <c r="Y67" s="257">
        <f t="shared" si="11"/>
        <v>1586.8536183356798</v>
      </c>
      <c r="Z67" s="257">
        <f t="shared" si="12"/>
        <v>1760.7212694960351</v>
      </c>
      <c r="AA67" s="257">
        <f t="shared" si="13"/>
        <v>1586.8536183356798</v>
      </c>
    </row>
    <row r="68" spans="2:27" ht="14.4">
      <c r="B68" s="1134">
        <v>8852661</v>
      </c>
      <c r="C68" s="1185"/>
      <c r="D68" s="1134">
        <v>8766834</v>
      </c>
      <c r="E68" s="1148">
        <v>42110</v>
      </c>
      <c r="F68" s="1186">
        <v>50</v>
      </c>
      <c r="G68" s="1186">
        <v>84</v>
      </c>
      <c r="H68" s="1187">
        <v>0.88</v>
      </c>
      <c r="I68" s="1187">
        <v>2.33</v>
      </c>
      <c r="J68" s="1141">
        <v>3750</v>
      </c>
      <c r="K68" s="1188"/>
      <c r="L68" s="1188">
        <v>42136</v>
      </c>
      <c r="M68" s="269">
        <f t="shared" si="0"/>
        <v>2</v>
      </c>
      <c r="N68" s="258">
        <f t="shared" si="1"/>
        <v>175</v>
      </c>
      <c r="O68" s="257">
        <f t="shared" si="4"/>
        <v>923.88298899379356</v>
      </c>
      <c r="P68" s="269">
        <f t="shared" si="2"/>
        <v>1</v>
      </c>
      <c r="Q68" s="269" t="str">
        <f t="shared" si="3"/>
        <v/>
      </c>
      <c r="R68" s="1166"/>
      <c r="S68" s="1166" t="str">
        <f t="shared" si="5"/>
        <v>Current Code</v>
      </c>
      <c r="T68" s="1190" t="str">
        <f t="shared" si="6"/>
        <v/>
      </c>
      <c r="U68" s="1190">
        <f t="shared" si="7"/>
        <v>0.945</v>
      </c>
      <c r="V68" s="1190" t="str">
        <f t="shared" si="8"/>
        <v/>
      </c>
      <c r="W68" s="1190">
        <f t="shared" si="9"/>
        <v>1.9620800000000001</v>
      </c>
      <c r="X68" s="257">
        <f t="shared" si="10"/>
        <v>923.88298899379356</v>
      </c>
      <c r="Y68" s="257">
        <f t="shared" si="11"/>
        <v>750.01533783343802</v>
      </c>
      <c r="Z68" s="257">
        <f t="shared" si="12"/>
        <v>2642.7653372344776</v>
      </c>
      <c r="AA68" s="257">
        <f t="shared" si="13"/>
        <v>2350.6676832850808</v>
      </c>
    </row>
    <row r="69" spans="2:27" ht="14.4">
      <c r="B69" s="1134">
        <v>8865346</v>
      </c>
      <c r="C69" s="1185"/>
      <c r="D69" s="1134">
        <v>8766974</v>
      </c>
      <c r="E69" s="1148">
        <v>42131</v>
      </c>
      <c r="F69" s="1186">
        <v>50</v>
      </c>
      <c r="G69" s="1186">
        <v>50</v>
      </c>
      <c r="H69" s="1187">
        <v>0.88</v>
      </c>
      <c r="I69" s="1187">
        <v>2.40</v>
      </c>
      <c r="J69" s="1141">
        <v>2750</v>
      </c>
      <c r="K69" s="1188"/>
      <c r="L69" s="1188">
        <v>42136</v>
      </c>
      <c r="M69" s="269">
        <f t="shared" si="0"/>
        <v>2</v>
      </c>
      <c r="N69" s="258">
        <f t="shared" si="1"/>
        <v>175</v>
      </c>
      <c r="O69" s="257">
        <f t="shared" si="4"/>
        <v>1600.919834145735</v>
      </c>
      <c r="P69" s="269">
        <f t="shared" si="2"/>
        <v>1</v>
      </c>
      <c r="Q69" s="269" t="str">
        <f t="shared" si="3"/>
        <v/>
      </c>
      <c r="R69" s="1166"/>
      <c r="S69" s="1166" t="str">
        <f t="shared" si="5"/>
        <v>Current Code</v>
      </c>
      <c r="T69" s="1190" t="str">
        <f t="shared" si="6"/>
        <v/>
      </c>
      <c r="U69" s="1190">
        <f t="shared" si="7"/>
        <v>0.945</v>
      </c>
      <c r="V69" s="1190" t="str">
        <f t="shared" si="8"/>
        <v/>
      </c>
      <c r="W69" s="1190">
        <f t="shared" si="9"/>
        <v>0.945</v>
      </c>
      <c r="X69" s="257">
        <f t="shared" si="10"/>
        <v>1600.919834145735</v>
      </c>
      <c r="Y69" s="257">
        <f t="shared" si="11"/>
        <v>1427.0521829853794</v>
      </c>
      <c r="Z69" s="257">
        <f t="shared" si="12"/>
        <v>1600.919834145735</v>
      </c>
      <c r="AA69" s="257">
        <f t="shared" si="13"/>
        <v>1427.0521829853794</v>
      </c>
    </row>
    <row r="70" spans="2:27" ht="14.4">
      <c r="B70" s="1134">
        <v>8833647</v>
      </c>
      <c r="C70" s="1185"/>
      <c r="D70" s="1134">
        <v>8765665</v>
      </c>
      <c r="E70" s="1148">
        <v>42049</v>
      </c>
      <c r="F70" s="1186">
        <v>50</v>
      </c>
      <c r="G70" s="1186">
        <v>50</v>
      </c>
      <c r="H70" s="1187">
        <v>0.88</v>
      </c>
      <c r="I70" s="1187">
        <v>2.75</v>
      </c>
      <c r="J70" s="1141">
        <v>2750</v>
      </c>
      <c r="K70" s="1188"/>
      <c r="L70" s="1188">
        <v>42138</v>
      </c>
      <c r="M70" s="269">
        <f t="shared" si="0"/>
        <v>2</v>
      </c>
      <c r="N70" s="258">
        <f t="shared" si="1"/>
        <v>175</v>
      </c>
      <c r="O70" s="257">
        <f t="shared" si="4"/>
        <v>1718.8823482406842</v>
      </c>
      <c r="P70" s="269">
        <f t="shared" si="2"/>
        <v>1</v>
      </c>
      <c r="Q70" s="269" t="str">
        <f t="shared" si="3"/>
        <v/>
      </c>
      <c r="R70" s="1166"/>
      <c r="S70" s="1166" t="str">
        <f t="shared" si="5"/>
        <v>Prior Code</v>
      </c>
      <c r="T70" s="1190">
        <f t="shared" si="6"/>
        <v>0.90399999999999991</v>
      </c>
      <c r="U70" s="1190" t="str">
        <f t="shared" si="7"/>
        <v/>
      </c>
      <c r="V70" s="1190">
        <f t="shared" si="8"/>
        <v>0.90399999999999991</v>
      </c>
      <c r="W70" s="1190" t="str">
        <f t="shared" si="9"/>
        <v/>
      </c>
      <c r="X70" s="257">
        <f t="shared" si="10"/>
        <v>1718.8823482406842</v>
      </c>
      <c r="Y70" s="257">
        <f t="shared" si="11"/>
        <v>1651.7734590589814</v>
      </c>
      <c r="Z70" s="257">
        <f t="shared" si="12"/>
        <v>1718.8823482406842</v>
      </c>
      <c r="AA70" s="257">
        <f t="shared" si="13"/>
        <v>1651.7734590589814</v>
      </c>
    </row>
    <row r="71" spans="2:27" ht="14.4">
      <c r="B71" s="1134">
        <v>6252985</v>
      </c>
      <c r="C71" s="1185"/>
      <c r="D71" s="1134">
        <v>113089</v>
      </c>
      <c r="E71" s="1148">
        <v>42128</v>
      </c>
      <c r="F71" s="1186">
        <v>50</v>
      </c>
      <c r="G71" s="1186">
        <v>50</v>
      </c>
      <c r="H71" s="1187">
        <v>0.88</v>
      </c>
      <c r="I71" s="1187">
        <v>2.90</v>
      </c>
      <c r="J71" s="1141">
        <v>1538</v>
      </c>
      <c r="K71" s="1188"/>
      <c r="L71" s="1188">
        <v>42158</v>
      </c>
      <c r="M71" s="269">
        <f t="shared" si="0"/>
        <v>2</v>
      </c>
      <c r="N71" s="258">
        <f t="shared" si="1"/>
        <v>175</v>
      </c>
      <c r="O71" s="257">
        <f t="shared" si="4"/>
        <v>1760.7212694960351</v>
      </c>
      <c r="P71" s="269">
        <f t="shared" si="2"/>
        <v>1</v>
      </c>
      <c r="Q71" s="269" t="str">
        <f t="shared" si="3"/>
        <v/>
      </c>
      <c r="R71" s="1166"/>
      <c r="S71" s="1166" t="str">
        <f t="shared" si="5"/>
        <v>Current Code</v>
      </c>
      <c r="T71" s="1190" t="str">
        <f t="shared" si="6"/>
        <v/>
      </c>
      <c r="U71" s="1190">
        <f t="shared" si="7"/>
        <v>0.945</v>
      </c>
      <c r="V71" s="1190" t="str">
        <f t="shared" si="8"/>
        <v/>
      </c>
      <c r="W71" s="1190">
        <f t="shared" si="9"/>
        <v>0.945</v>
      </c>
      <c r="X71" s="257">
        <f t="shared" si="10"/>
        <v>1760.7212694960351</v>
      </c>
      <c r="Y71" s="257">
        <f t="shared" si="11"/>
        <v>1586.8536183356798</v>
      </c>
      <c r="Z71" s="257">
        <f t="shared" si="12"/>
        <v>1760.7212694960351</v>
      </c>
      <c r="AA71" s="257">
        <f t="shared" si="13"/>
        <v>1586.8536183356798</v>
      </c>
    </row>
    <row r="72" spans="2:27" ht="14.4">
      <c r="B72" s="1134">
        <v>8888654</v>
      </c>
      <c r="C72" s="1185"/>
      <c r="D72" s="1134">
        <v>379474</v>
      </c>
      <c r="E72" s="1148">
        <v>42050</v>
      </c>
      <c r="F72" s="1186">
        <v>50</v>
      </c>
      <c r="G72" s="1186">
        <v>50</v>
      </c>
      <c r="H72" s="1187">
        <v>0.88</v>
      </c>
      <c r="I72" s="1187">
        <v>2.2999999999999998</v>
      </c>
      <c r="J72" s="1141">
        <v>1064</v>
      </c>
      <c r="K72" s="1188"/>
      <c r="L72" s="1188">
        <v>42170</v>
      </c>
      <c r="M72" s="269">
        <f t="shared" si="14" ref="M72:M90">IF(MAX(K72,L72)&lt;40000,"",ROUNDUP(MONTH(MAX(K72,L72))/3,0))</f>
        <v>2</v>
      </c>
      <c r="N72" s="258">
        <f t="shared" si="15" ref="N72:N90">IF(B72="","",IF(P72=1,175,0))</f>
        <v>175</v>
      </c>
      <c r="O72" s="257">
        <f t="shared" si="4"/>
        <v>1560.6220808834855</v>
      </c>
      <c r="P72" s="269">
        <f t="shared" si="16" ref="P72:P90">IF(L72&gt;0,1,"")</f>
        <v>1</v>
      </c>
      <c r="Q72" s="269" t="str">
        <f t="shared" si="17" ref="Q72:Q90">IF(K72&gt;0,1,"")</f>
        <v/>
      </c>
      <c r="R72" s="1166"/>
      <c r="S72" s="1166" t="str">
        <f t="shared" si="5"/>
        <v>Prior Code</v>
      </c>
      <c r="T72" s="1190">
        <f t="shared" si="6"/>
        <v>0.90399999999999991</v>
      </c>
      <c r="U72" s="1190" t="str">
        <f t="shared" si="7"/>
        <v/>
      </c>
      <c r="V72" s="1190">
        <f t="shared" si="8"/>
        <v>0.90399999999999991</v>
      </c>
      <c r="W72" s="1190" t="str">
        <f t="shared" si="9"/>
        <v/>
      </c>
      <c r="X72" s="257">
        <f t="shared" si="10"/>
        <v>1560.6220808834855</v>
      </c>
      <c r="Y72" s="257">
        <f t="shared" si="11"/>
        <v>1493.5131917017827</v>
      </c>
      <c r="Z72" s="257">
        <f t="shared" si="12"/>
        <v>1560.6220808834855</v>
      </c>
      <c r="AA72" s="257">
        <f t="shared" si="13"/>
        <v>1493.5131917017827</v>
      </c>
    </row>
    <row r="73" spans="2:27" ht="14.4">
      <c r="B73" s="1134">
        <v>1912435</v>
      </c>
      <c r="C73" s="1185"/>
      <c r="D73" s="1134">
        <v>191243</v>
      </c>
      <c r="E73" s="1148">
        <v>42136</v>
      </c>
      <c r="F73" s="1186">
        <v>50</v>
      </c>
      <c r="G73" s="1186">
        <v>50</v>
      </c>
      <c r="H73" s="1187">
        <v>0.88</v>
      </c>
      <c r="I73" s="1187">
        <v>2.40</v>
      </c>
      <c r="J73" s="1141">
        <v>1700</v>
      </c>
      <c r="K73" s="1188"/>
      <c r="L73" s="1188">
        <v>42190</v>
      </c>
      <c r="M73" s="269">
        <f t="shared" si="14"/>
        <v>3</v>
      </c>
      <c r="N73" s="258">
        <f t="shared" si="15"/>
        <v>175</v>
      </c>
      <c r="O73" s="257">
        <f t="shared" si="4"/>
        <v>1600.919834145735</v>
      </c>
      <c r="P73" s="269">
        <f t="shared" si="16"/>
        <v>1</v>
      </c>
      <c r="Q73" s="269" t="str">
        <f t="shared" si="17"/>
        <v/>
      </c>
      <c r="R73" s="1166"/>
      <c r="S73" s="1166" t="str">
        <f t="shared" si="5"/>
        <v>Current Code</v>
      </c>
      <c r="T73" s="1190" t="str">
        <f t="shared" si="6"/>
        <v/>
      </c>
      <c r="U73" s="1190">
        <f t="shared" si="7"/>
        <v>0.945</v>
      </c>
      <c r="V73" s="1190" t="str">
        <f t="shared" si="8"/>
        <v/>
      </c>
      <c r="W73" s="1190">
        <f t="shared" si="9"/>
        <v>0.945</v>
      </c>
      <c r="X73" s="257">
        <f t="shared" si="10"/>
        <v>1600.919834145735</v>
      </c>
      <c r="Y73" s="257">
        <f t="shared" si="11"/>
        <v>1427.0521829853794</v>
      </c>
      <c r="Z73" s="257">
        <f t="shared" si="12"/>
        <v>1600.919834145735</v>
      </c>
      <c r="AA73" s="257">
        <f t="shared" si="13"/>
        <v>1427.0521829853794</v>
      </c>
    </row>
    <row r="74" spans="2:27" ht="14.4">
      <c r="B74" s="1134">
        <v>8861132</v>
      </c>
      <c r="C74" s="1185"/>
      <c r="D74" s="1134">
        <v>8767099</v>
      </c>
      <c r="E74" s="1148">
        <v>42030</v>
      </c>
      <c r="F74" s="1186">
        <v>80</v>
      </c>
      <c r="G74" s="1186">
        <v>80</v>
      </c>
      <c r="H74" s="1187">
        <v>0.88</v>
      </c>
      <c r="I74" s="1187">
        <v>2.2999999999999998</v>
      </c>
      <c r="J74" s="1141">
        <v>2750</v>
      </c>
      <c r="K74" s="1188"/>
      <c r="L74" s="1188">
        <v>42190</v>
      </c>
      <c r="M74" s="269">
        <f t="shared" si="14"/>
        <v>3</v>
      </c>
      <c r="N74" s="258">
        <f t="shared" si="15"/>
        <v>175</v>
      </c>
      <c r="O74" s="257">
        <f t="shared" si="4"/>
        <v>2496.9953294135762</v>
      </c>
      <c r="P74" s="269">
        <f t="shared" si="16"/>
        <v>1</v>
      </c>
      <c r="Q74" s="269" t="str">
        <f t="shared" si="17"/>
        <v/>
      </c>
      <c r="R74" s="1166"/>
      <c r="S74" s="1166" t="str">
        <f t="shared" si="5"/>
        <v>Prior Code</v>
      </c>
      <c r="T74" s="1190">
        <f t="shared" si="6"/>
        <v>0.86439999999999995</v>
      </c>
      <c r="U74" s="1190" t="str">
        <f t="shared" si="7"/>
        <v/>
      </c>
      <c r="V74" s="1190">
        <f t="shared" si="8"/>
        <v>0.86439999999999995</v>
      </c>
      <c r="W74" s="1190" t="str">
        <f t="shared" si="9"/>
        <v/>
      </c>
      <c r="X74" s="257">
        <f t="shared" si="10"/>
        <v>2496.9953294135762</v>
      </c>
      <c r="Y74" s="257">
        <f t="shared" si="11"/>
        <v>2569.9859509465127</v>
      </c>
      <c r="Z74" s="257">
        <f t="shared" si="12"/>
        <v>2496.9953294135762</v>
      </c>
      <c r="AA74" s="257">
        <f t="shared" si="13"/>
        <v>2569.9859509465127</v>
      </c>
    </row>
    <row r="75" spans="2:27" ht="14.4">
      <c r="B75" s="1134">
        <v>8922951</v>
      </c>
      <c r="C75" s="1185"/>
      <c r="D75" s="1134">
        <v>8769972</v>
      </c>
      <c r="E75" s="1148">
        <v>41958</v>
      </c>
      <c r="F75" s="1186">
        <v>50</v>
      </c>
      <c r="G75" s="1186">
        <v>50</v>
      </c>
      <c r="H75" s="1187">
        <v>0.88</v>
      </c>
      <c r="I75" s="1187">
        <v>2.4500000000000002</v>
      </c>
      <c r="J75" s="1141">
        <v>2700</v>
      </c>
      <c r="K75" s="1188"/>
      <c r="L75" s="1188">
        <v>42213</v>
      </c>
      <c r="M75" s="269">
        <f t="shared" si="14"/>
        <v>3</v>
      </c>
      <c r="N75" s="258">
        <f t="shared" si="15"/>
        <v>175</v>
      </c>
      <c r="O75" s="257">
        <f t="shared" si="4"/>
        <v>1619.8351060851585</v>
      </c>
      <c r="P75" s="269">
        <f t="shared" si="16"/>
        <v>1</v>
      </c>
      <c r="Q75" s="269" t="str">
        <f t="shared" si="17"/>
        <v/>
      </c>
      <c r="R75" s="1166"/>
      <c r="S75" s="1166" t="str">
        <f t="shared" si="5"/>
        <v>Prior Code</v>
      </c>
      <c r="T75" s="1190">
        <f t="shared" si="6"/>
        <v>0.90399999999999991</v>
      </c>
      <c r="U75" s="1190" t="str">
        <f t="shared" si="7"/>
        <v/>
      </c>
      <c r="V75" s="1190">
        <f t="shared" si="8"/>
        <v>0.90399999999999991</v>
      </c>
      <c r="W75" s="1190" t="str">
        <f t="shared" si="9"/>
        <v/>
      </c>
      <c r="X75" s="257">
        <f t="shared" si="10"/>
        <v>1619.8351060851585</v>
      </c>
      <c r="Y75" s="257">
        <f t="shared" si="11"/>
        <v>1552.7262169034557</v>
      </c>
      <c r="Z75" s="257">
        <f t="shared" si="12"/>
        <v>1619.8351060851585</v>
      </c>
      <c r="AA75" s="257">
        <f t="shared" si="13"/>
        <v>1552.7262169034557</v>
      </c>
    </row>
    <row r="76" spans="2:27" ht="14.4">
      <c r="B76" s="1134">
        <v>8919428</v>
      </c>
      <c r="C76" s="1185"/>
      <c r="D76" s="1134">
        <v>106077</v>
      </c>
      <c r="E76" s="1148">
        <v>42156</v>
      </c>
      <c r="F76" s="1186">
        <v>40</v>
      </c>
      <c r="G76" s="1186">
        <v>50</v>
      </c>
      <c r="H76" s="1187">
        <v>0.88</v>
      </c>
      <c r="I76" s="1187">
        <v>3.25</v>
      </c>
      <c r="J76" s="1141">
        <v>97.75</v>
      </c>
      <c r="K76" s="1188"/>
      <c r="L76" s="1188">
        <v>42227</v>
      </c>
      <c r="M76" s="269">
        <f t="shared" si="14"/>
        <v>3</v>
      </c>
      <c r="N76" s="258">
        <f t="shared" si="15"/>
        <v>175</v>
      </c>
      <c r="O76" s="257">
        <f t="shared" si="4"/>
        <v>1337.7726873185411</v>
      </c>
      <c r="P76" s="269">
        <f t="shared" si="16"/>
        <v>1</v>
      </c>
      <c r="Q76" s="269" t="str">
        <f t="shared" si="17"/>
        <v/>
      </c>
      <c r="R76" s="1166"/>
      <c r="S76" s="1166" t="str">
        <f t="shared" si="5"/>
        <v>Current Code</v>
      </c>
      <c r="T76" s="1190" t="str">
        <f t="shared" si="6"/>
        <v/>
      </c>
      <c r="U76" s="1190">
        <f t="shared" si="7"/>
        <v>0.94799999999999995</v>
      </c>
      <c r="V76" s="1190" t="str">
        <f t="shared" si="8"/>
        <v/>
      </c>
      <c r="W76" s="1190">
        <f t="shared" si="9"/>
        <v>0.945</v>
      </c>
      <c r="X76" s="257">
        <f t="shared" si="10"/>
        <v>1337.7726873185411</v>
      </c>
      <c r="Y76" s="257">
        <f t="shared" si="11"/>
        <v>1192.7193245978085</v>
      </c>
      <c r="Z76" s="257">
        <f t="shared" si="12"/>
        <v>1843.3263191540366</v>
      </c>
      <c r="AA76" s="257">
        <f t="shared" si="13"/>
        <v>1662.0096157531207</v>
      </c>
    </row>
    <row r="77" spans="2:27" ht="14.4">
      <c r="B77" s="1134">
        <v>6084750</v>
      </c>
      <c r="C77" s="1185"/>
      <c r="D77" s="1134">
        <v>584954</v>
      </c>
      <c r="E77" s="1148">
        <v>42214</v>
      </c>
      <c r="F77" s="1186">
        <v>66</v>
      </c>
      <c r="G77" s="1186">
        <v>80</v>
      </c>
      <c r="H77" s="1187">
        <v>0.88</v>
      </c>
      <c r="I77" s="1187">
        <v>3.20</v>
      </c>
      <c r="J77" s="1141">
        <v>1900</v>
      </c>
      <c r="K77" s="1188"/>
      <c r="L77" s="1188">
        <v>42255</v>
      </c>
      <c r="M77" s="269">
        <f t="shared" si="14"/>
        <v>3</v>
      </c>
      <c r="N77" s="258">
        <f t="shared" si="15"/>
        <v>175</v>
      </c>
      <c r="O77" s="257">
        <f t="shared" si="4"/>
        <v>2224.435980076179</v>
      </c>
      <c r="P77" s="269">
        <f t="shared" si="16"/>
        <v>1</v>
      </c>
      <c r="Q77" s="269" t="str">
        <f t="shared" si="17"/>
        <v/>
      </c>
      <c r="R77" s="1166"/>
      <c r="S77" s="1166" t="str">
        <f t="shared" si="5"/>
        <v>Current Code</v>
      </c>
      <c r="T77" s="1190" t="str">
        <f t="shared" si="6"/>
        <v/>
      </c>
      <c r="U77" s="1190">
        <f t="shared" si="7"/>
        <v>1.9824199999999999</v>
      </c>
      <c r="V77" s="1190" t="str">
        <f t="shared" si="8"/>
        <v/>
      </c>
      <c r="W77" s="1190">
        <f t="shared" si="9"/>
        <v>1.9665999999999999</v>
      </c>
      <c r="X77" s="257">
        <f t="shared" si="10"/>
        <v>2224.435980076179</v>
      </c>
      <c r="Y77" s="257">
        <f t="shared" si="11"/>
        <v>368.92903919918427</v>
      </c>
      <c r="Z77" s="257">
        <f t="shared" si="12"/>
        <v>2932.2110646458723</v>
      </c>
      <c r="AA77" s="257">
        <f t="shared" si="13"/>
        <v>683.11174237072748</v>
      </c>
    </row>
    <row r="78" spans="2:27" ht="14.4">
      <c r="B78" s="1134">
        <v>8912149</v>
      </c>
      <c r="C78" s="1185"/>
      <c r="D78" s="1134">
        <v>198089</v>
      </c>
      <c r="E78" s="1148">
        <v>42152</v>
      </c>
      <c r="F78" s="1186">
        <v>40</v>
      </c>
      <c r="G78" s="1186">
        <v>50</v>
      </c>
      <c r="H78" s="1187">
        <v>0.88</v>
      </c>
      <c r="I78" s="1187">
        <v>3.25</v>
      </c>
      <c r="J78" s="1141">
        <v>1068.93</v>
      </c>
      <c r="K78" s="1188"/>
      <c r="L78" s="1188">
        <v>42227</v>
      </c>
      <c r="M78" s="269">
        <f t="shared" si="14"/>
        <v>3</v>
      </c>
      <c r="N78" s="258">
        <f t="shared" si="15"/>
        <v>175</v>
      </c>
      <c r="O78" s="257">
        <f t="shared" si="4"/>
        <v>1337.7726873185411</v>
      </c>
      <c r="P78" s="269">
        <f t="shared" si="16"/>
        <v>1</v>
      </c>
      <c r="Q78" s="269" t="str">
        <f t="shared" si="17"/>
        <v/>
      </c>
      <c r="R78" s="1166"/>
      <c r="S78" s="1166" t="str">
        <f t="shared" si="5"/>
        <v>Current Code</v>
      </c>
      <c r="T78" s="1190" t="str">
        <f t="shared" si="6"/>
        <v/>
      </c>
      <c r="U78" s="1190">
        <f t="shared" si="7"/>
        <v>0.94799999999999995</v>
      </c>
      <c r="V78" s="1190" t="str">
        <f t="shared" si="8"/>
        <v/>
      </c>
      <c r="W78" s="1190">
        <f t="shared" si="9"/>
        <v>0.945</v>
      </c>
      <c r="X78" s="257">
        <f t="shared" si="10"/>
        <v>1337.7726873185411</v>
      </c>
      <c r="Y78" s="257">
        <f t="shared" si="11"/>
        <v>1192.7193245978085</v>
      </c>
      <c r="Z78" s="257">
        <f t="shared" si="12"/>
        <v>1843.3263191540366</v>
      </c>
      <c r="AA78" s="257">
        <f t="shared" si="13"/>
        <v>1662.0096157531207</v>
      </c>
    </row>
    <row r="79" spans="2:27" ht="14.4">
      <c r="B79" s="1134">
        <v>8900564</v>
      </c>
      <c r="C79" s="1185"/>
      <c r="D79" s="1134">
        <v>280345</v>
      </c>
      <c r="E79" s="1148">
        <v>42095</v>
      </c>
      <c r="F79" s="1186">
        <v>50</v>
      </c>
      <c r="G79" s="1186">
        <v>69</v>
      </c>
      <c r="H79" s="1187">
        <v>0.88</v>
      </c>
      <c r="I79" s="1187">
        <v>3.25</v>
      </c>
      <c r="J79" s="1141">
        <v>1641.58</v>
      </c>
      <c r="K79" s="1188"/>
      <c r="L79" s="1188">
        <v>42241</v>
      </c>
      <c r="M79" s="269">
        <f t="shared" si="14"/>
        <v>3</v>
      </c>
      <c r="N79" s="258">
        <f t="shared" si="15"/>
        <v>175</v>
      </c>
      <c r="O79" s="257">
        <f t="shared" si="4"/>
        <v>1583.2384199451294</v>
      </c>
      <c r="P79" s="269">
        <f t="shared" si="16"/>
        <v>1</v>
      </c>
      <c r="Q79" s="269" t="str">
        <f t="shared" si="17"/>
        <v/>
      </c>
      <c r="R79" s="1166"/>
      <c r="S79" s="1166" t="str">
        <f t="shared" si="5"/>
        <v>Prior Code</v>
      </c>
      <c r="T79" s="1190">
        <f t="shared" si="6"/>
        <v>0.90399999999999991</v>
      </c>
      <c r="U79" s="1190" t="str">
        <f t="shared" si="7"/>
        <v/>
      </c>
      <c r="V79" s="1190">
        <f t="shared" si="8"/>
        <v>0.87891999999999992</v>
      </c>
      <c r="W79" s="1190" t="str">
        <f t="shared" si="9"/>
        <v/>
      </c>
      <c r="X79" s="257">
        <f t="shared" si="10"/>
        <v>1583.2384199451294</v>
      </c>
      <c r="Y79" s="257">
        <f t="shared" si="11"/>
        <v>1516.1295307634268</v>
      </c>
      <c r="Z79" s="257">
        <f t="shared" si="12"/>
        <v>2543.7903204325708</v>
      </c>
      <c r="AA79" s="257">
        <f t="shared" si="13"/>
        <v>2451.1800533618207</v>
      </c>
    </row>
    <row r="80" spans="2:27" ht="14.4">
      <c r="B80" s="1134">
        <v>8900564</v>
      </c>
      <c r="C80" s="1185"/>
      <c r="D80" s="1134">
        <v>280345</v>
      </c>
      <c r="E80" s="1148">
        <v>42095</v>
      </c>
      <c r="F80" s="1186">
        <v>50</v>
      </c>
      <c r="G80" s="1186">
        <v>65</v>
      </c>
      <c r="H80" s="1187">
        <v>0.88</v>
      </c>
      <c r="I80" s="1187">
        <v>2.40</v>
      </c>
      <c r="J80" s="1141">
        <v>1641.58</v>
      </c>
      <c r="K80" s="1188"/>
      <c r="L80" s="1188">
        <v>42258</v>
      </c>
      <c r="M80" s="269">
        <f t="shared" si="14"/>
        <v>3</v>
      </c>
      <c r="N80" s="258">
        <f t="shared" si="15"/>
        <v>175</v>
      </c>
      <c r="O80" s="257">
        <f t="shared" si="4"/>
        <v>1322.8653366362125</v>
      </c>
      <c r="P80" s="269">
        <f t="shared" si="16"/>
        <v>1</v>
      </c>
      <c r="Q80" s="269" t="str">
        <f t="shared" si="17"/>
        <v/>
      </c>
      <c r="R80" s="1166"/>
      <c r="S80" s="1166" t="str">
        <f t="shared" si="5"/>
        <v>Prior Code</v>
      </c>
      <c r="T80" s="1190">
        <f t="shared" si="6"/>
        <v>0.90399999999999991</v>
      </c>
      <c r="U80" s="1190" t="str">
        <f t="shared" si="7"/>
        <v/>
      </c>
      <c r="V80" s="1190">
        <f t="shared" si="8"/>
        <v>0.88419999999999999</v>
      </c>
      <c r="W80" s="1190" t="str">
        <f t="shared" si="9"/>
        <v/>
      </c>
      <c r="X80" s="257">
        <f t="shared" si="10"/>
        <v>1322.8653366362125</v>
      </c>
      <c r="Y80" s="257">
        <f t="shared" si="11"/>
        <v>1255.75644745451</v>
      </c>
      <c r="Z80" s="257">
        <f t="shared" si="12"/>
        <v>2081.1957843894552</v>
      </c>
      <c r="AA80" s="257">
        <f t="shared" si="13"/>
        <v>1993.954228453242</v>
      </c>
    </row>
    <row r="81" spans="2:27" ht="14.4">
      <c r="B81" s="1134">
        <v>7107972</v>
      </c>
      <c r="C81" s="1185"/>
      <c r="D81" s="1134">
        <v>142693</v>
      </c>
      <c r="E81" s="1148">
        <v>42219</v>
      </c>
      <c r="F81" s="1186">
        <v>57</v>
      </c>
      <c r="G81" s="1186">
        <v>65</v>
      </c>
      <c r="H81" s="1187">
        <v>0.88</v>
      </c>
      <c r="I81" s="1187">
        <v>2.40</v>
      </c>
      <c r="J81" s="1141">
        <v>8909.10</v>
      </c>
      <c r="K81" s="1188"/>
      <c r="L81" s="1188">
        <v>42319</v>
      </c>
      <c r="M81" s="269">
        <f t="shared" si="14"/>
        <v>4</v>
      </c>
      <c r="N81" s="258">
        <f t="shared" si="15"/>
        <v>175</v>
      </c>
      <c r="O81" s="257">
        <f t="shared" si="4"/>
        <v>1676.7528789210589</v>
      </c>
      <c r="P81" s="269">
        <f t="shared" si="16"/>
        <v>1</v>
      </c>
      <c r="Q81" s="269" t="str">
        <f t="shared" si="17"/>
        <v/>
      </c>
      <c r="R81" s="1166"/>
      <c r="S81" s="1166" t="str">
        <f t="shared" si="5"/>
        <v>Current Code</v>
      </c>
      <c r="T81" s="1190" t="str">
        <f t="shared" si="6"/>
        <v/>
      </c>
      <c r="U81" s="1190">
        <f t="shared" si="7"/>
        <v>1.9925899999999999</v>
      </c>
      <c r="V81" s="1190" t="str">
        <f t="shared" si="8"/>
        <v/>
      </c>
      <c r="W81" s="1190">
        <f t="shared" si="9"/>
        <v>1.9835499999999999</v>
      </c>
      <c r="X81" s="257">
        <f t="shared" si="10"/>
        <v>1676.7528789210589</v>
      </c>
      <c r="Y81" s="257">
        <f t="shared" si="11"/>
        <v>67.740830837928243</v>
      </c>
      <c r="Z81" s="257">
        <f t="shared" si="12"/>
        <v>2081.1957843894552</v>
      </c>
      <c r="AA81" s="257">
        <f t="shared" si="13"/>
        <v>246.3574839437797</v>
      </c>
    </row>
    <row r="82" spans="2:27" ht="14.4">
      <c r="B82" s="1134">
        <v>8789141</v>
      </c>
      <c r="C82" s="1185"/>
      <c r="D82" s="1134">
        <v>220006</v>
      </c>
      <c r="E82" s="1148">
        <v>42144</v>
      </c>
      <c r="F82" s="1186">
        <v>50</v>
      </c>
      <c r="G82" s="1186">
        <v>50</v>
      </c>
      <c r="H82" s="1187">
        <v>0.88</v>
      </c>
      <c r="I82" s="1187">
        <v>2.40</v>
      </c>
      <c r="J82" s="1141">
        <v>1599.95</v>
      </c>
      <c r="K82" s="1188"/>
      <c r="L82" s="1188">
        <v>42293</v>
      </c>
      <c r="M82" s="269">
        <f t="shared" si="14"/>
        <v>4</v>
      </c>
      <c r="N82" s="258">
        <f t="shared" si="15"/>
        <v>175</v>
      </c>
      <c r="O82" s="257">
        <f t="shared" si="4"/>
        <v>1600.919834145735</v>
      </c>
      <c r="P82" s="269">
        <f t="shared" si="16"/>
        <v>1</v>
      </c>
      <c r="Q82" s="269" t="str">
        <f t="shared" si="17"/>
        <v/>
      </c>
      <c r="R82" s="1166"/>
      <c r="S82" s="1166" t="str">
        <f t="shared" si="5"/>
        <v>Current Code</v>
      </c>
      <c r="T82" s="1190" t="str">
        <f t="shared" si="6"/>
        <v/>
      </c>
      <c r="U82" s="1190">
        <f t="shared" si="7"/>
        <v>0.945</v>
      </c>
      <c r="V82" s="1190" t="str">
        <f t="shared" si="8"/>
        <v/>
      </c>
      <c r="W82" s="1190">
        <f t="shared" si="9"/>
        <v>0.945</v>
      </c>
      <c r="X82" s="257">
        <f t="shared" si="10"/>
        <v>1600.919834145735</v>
      </c>
      <c r="Y82" s="257">
        <f t="shared" si="11"/>
        <v>1427.0521829853794</v>
      </c>
      <c r="Z82" s="257">
        <f t="shared" si="12"/>
        <v>1600.919834145735</v>
      </c>
      <c r="AA82" s="257">
        <f t="shared" si="13"/>
        <v>1427.0521829853794</v>
      </c>
    </row>
    <row r="83" spans="2:27" ht="14.4">
      <c r="B83" s="1134">
        <v>7046824</v>
      </c>
      <c r="C83" s="1185"/>
      <c r="D83" s="1134">
        <v>645587</v>
      </c>
      <c r="E83" s="1148">
        <v>42191</v>
      </c>
      <c r="F83" s="1186">
        <v>55</v>
      </c>
      <c r="G83" s="1186">
        <v>67</v>
      </c>
      <c r="H83" s="1187">
        <v>0.88</v>
      </c>
      <c r="I83" s="1187">
        <v>2.75</v>
      </c>
      <c r="J83" s="1141">
        <v>2650</v>
      </c>
      <c r="K83" s="1188"/>
      <c r="L83" s="1188">
        <v>42306</v>
      </c>
      <c r="M83" s="269">
        <f t="shared" si="14"/>
        <v>4</v>
      </c>
      <c r="N83" s="258">
        <f t="shared" si="15"/>
        <v>175</v>
      </c>
      <c r="O83" s="257">
        <f t="shared" si="4"/>
        <v>1696.6379884399223</v>
      </c>
      <c r="P83" s="269">
        <f t="shared" si="16"/>
        <v>1</v>
      </c>
      <c r="Q83" s="269" t="str">
        <f t="shared" si="17"/>
        <v/>
      </c>
      <c r="R83" s="1166"/>
      <c r="S83" s="1166" t="str">
        <f t="shared" si="5"/>
        <v>Current Code</v>
      </c>
      <c r="T83" s="1190" t="str">
        <f t="shared" si="6"/>
        <v/>
      </c>
      <c r="U83" s="1190">
        <f t="shared" si="7"/>
        <v>0.94350000000000001</v>
      </c>
      <c r="V83" s="1190" t="str">
        <f t="shared" si="8"/>
        <v/>
      </c>
      <c r="W83" s="1190">
        <f t="shared" si="9"/>
        <v>1.98129</v>
      </c>
      <c r="X83" s="257">
        <f t="shared" si="10"/>
        <v>1696.6379884399223</v>
      </c>
      <c r="Y83" s="257">
        <f t="shared" si="11"/>
        <v>1509.5000913349443</v>
      </c>
      <c r="Z83" s="257">
        <f t="shared" si="12"/>
        <v>2303.302346642517</v>
      </c>
      <c r="AA83" s="257">
        <f t="shared" si="13"/>
        <v>2075.3343628964526</v>
      </c>
    </row>
    <row r="84" spans="2:27" ht="14.4">
      <c r="B84" s="1134">
        <v>4450854</v>
      </c>
      <c r="C84" s="1185"/>
      <c r="D84" s="1134">
        <v>192820</v>
      </c>
      <c r="E84" s="1148">
        <v>42140</v>
      </c>
      <c r="F84" s="1186">
        <v>50</v>
      </c>
      <c r="G84" s="1186">
        <v>50</v>
      </c>
      <c r="H84" s="1187">
        <v>0.88</v>
      </c>
      <c r="I84" s="1187">
        <v>2.40</v>
      </c>
      <c r="J84" s="1141">
        <v>231</v>
      </c>
      <c r="K84" s="1188"/>
      <c r="L84" s="1188">
        <v>42306</v>
      </c>
      <c r="M84" s="269">
        <f t="shared" si="14"/>
        <v>4</v>
      </c>
      <c r="N84" s="258">
        <f t="shared" si="15"/>
        <v>175</v>
      </c>
      <c r="O84" s="257">
        <f t="shared" si="4"/>
        <v>1600.919834145735</v>
      </c>
      <c r="P84" s="269">
        <f t="shared" si="16"/>
        <v>1</v>
      </c>
      <c r="Q84" s="269" t="str">
        <f t="shared" si="17"/>
        <v/>
      </c>
      <c r="R84" s="1166"/>
      <c r="S84" s="1166" t="str">
        <f t="shared" si="5"/>
        <v>Current Code</v>
      </c>
      <c r="T84" s="1190" t="str">
        <f t="shared" si="6"/>
        <v/>
      </c>
      <c r="U84" s="1190">
        <f t="shared" si="7"/>
        <v>0.945</v>
      </c>
      <c r="V84" s="1190" t="str">
        <f t="shared" si="8"/>
        <v/>
      </c>
      <c r="W84" s="1190">
        <f t="shared" si="9"/>
        <v>0.945</v>
      </c>
      <c r="X84" s="257">
        <f t="shared" si="10"/>
        <v>1600.919834145735</v>
      </c>
      <c r="Y84" s="257">
        <f t="shared" si="11"/>
        <v>1427.0521829853794</v>
      </c>
      <c r="Z84" s="257">
        <f t="shared" si="12"/>
        <v>1600.919834145735</v>
      </c>
      <c r="AA84" s="257">
        <f t="shared" si="13"/>
        <v>1427.0521829853794</v>
      </c>
    </row>
    <row r="85" spans="2:27" ht="14.4">
      <c r="B85" s="1134">
        <v>8928071</v>
      </c>
      <c r="C85" s="1185"/>
      <c r="D85" s="1134">
        <v>145337</v>
      </c>
      <c r="E85" s="1148">
        <v>42282</v>
      </c>
      <c r="F85" s="1186">
        <v>50</v>
      </c>
      <c r="G85" s="1186">
        <v>50</v>
      </c>
      <c r="H85" s="1187">
        <v>0.88</v>
      </c>
      <c r="I85" s="1187">
        <v>2.90</v>
      </c>
      <c r="J85" s="1141">
        <v>1185</v>
      </c>
      <c r="K85" s="1188"/>
      <c r="L85" s="1188">
        <v>42325</v>
      </c>
      <c r="M85" s="269">
        <f t="shared" si="14"/>
        <v>4</v>
      </c>
      <c r="N85" s="258">
        <f t="shared" si="15"/>
        <v>175</v>
      </c>
      <c r="O85" s="257">
        <f t="shared" si="4"/>
        <v>1760.7212694960351</v>
      </c>
      <c r="P85" s="269">
        <f t="shared" si="16"/>
        <v>1</v>
      </c>
      <c r="Q85" s="269" t="str">
        <f t="shared" si="17"/>
        <v/>
      </c>
      <c r="R85" s="1166"/>
      <c r="S85" s="1166" t="str">
        <f t="shared" si="5"/>
        <v>Current Code</v>
      </c>
      <c r="T85" s="1190" t="str">
        <f t="shared" si="6"/>
        <v/>
      </c>
      <c r="U85" s="1190">
        <f t="shared" si="7"/>
        <v>0.945</v>
      </c>
      <c r="V85" s="1190" t="str">
        <f t="shared" si="8"/>
        <v/>
      </c>
      <c r="W85" s="1190">
        <f t="shared" si="9"/>
        <v>0.945</v>
      </c>
      <c r="X85" s="257">
        <f t="shared" si="10"/>
        <v>1760.7212694960351</v>
      </c>
      <c r="Y85" s="257">
        <f t="shared" si="11"/>
        <v>1586.8536183356798</v>
      </c>
      <c r="Z85" s="257">
        <f t="shared" si="12"/>
        <v>1760.7212694960351</v>
      </c>
      <c r="AA85" s="257">
        <f t="shared" si="13"/>
        <v>1586.8536183356798</v>
      </c>
    </row>
    <row r="86" spans="2:27" ht="14.4">
      <c r="B86" s="1134">
        <v>2375772</v>
      </c>
      <c r="C86" s="1185"/>
      <c r="D86" s="1134">
        <v>158083</v>
      </c>
      <c r="E86" s="1148">
        <v>42299</v>
      </c>
      <c r="F86" s="1186">
        <v>42</v>
      </c>
      <c r="G86" s="1186">
        <v>50</v>
      </c>
      <c r="H86" s="1187">
        <v>0.88</v>
      </c>
      <c r="I86" s="1187">
        <f>AVERAGEIFS($I$93:$I$116,G92:G115,G86)</f>
        <v>2.5628571428571432</v>
      </c>
      <c r="J86" s="1141">
        <v>792.50</v>
      </c>
      <c r="K86" s="1188"/>
      <c r="L86" s="1188">
        <v>42325</v>
      </c>
      <c r="M86" s="269">
        <f t="shared" si="14"/>
        <v>4</v>
      </c>
      <c r="N86" s="258">
        <f t="shared" si="15"/>
        <v>175</v>
      </c>
      <c r="O86" s="257">
        <f t="shared" si="4"/>
        <v>1255.3736449837038</v>
      </c>
      <c r="P86" s="269">
        <f t="shared" si="16"/>
        <v>1</v>
      </c>
      <c r="Q86" s="269" t="str">
        <f t="shared" si="17"/>
        <v/>
      </c>
      <c r="R86" s="1166"/>
      <c r="S86" s="1166" t="str">
        <f t="shared" si="5"/>
        <v>Current Code</v>
      </c>
      <c r="T86" s="1190" t="str">
        <f t="shared" si="6"/>
        <v/>
      </c>
      <c r="U86" s="1190">
        <f t="shared" si="7"/>
        <v>0.94740000000000002</v>
      </c>
      <c r="V86" s="1190" t="str">
        <f t="shared" si="8"/>
        <v/>
      </c>
      <c r="W86" s="1190">
        <f t="shared" si="9"/>
        <v>0.945</v>
      </c>
      <c r="X86" s="257">
        <f t="shared" si="10"/>
        <v>1255.3736449837038</v>
      </c>
      <c r="Y86" s="257">
        <f t="shared" si="11"/>
        <v>1104.3158846923886</v>
      </c>
      <c r="Z86" s="257">
        <f t="shared" si="12"/>
        <v>1659.8165504521001</v>
      </c>
      <c r="AA86" s="257">
        <f t="shared" si="13"/>
        <v>1479.9858834386296</v>
      </c>
    </row>
    <row r="87" spans="2:27" ht="14.4">
      <c r="B87" s="1134">
        <v>2756286</v>
      </c>
      <c r="C87" s="1185"/>
      <c r="D87" s="1134">
        <v>275628</v>
      </c>
      <c r="E87" s="1148">
        <v>42307</v>
      </c>
      <c r="F87" s="1186">
        <v>50</v>
      </c>
      <c r="G87" s="1186">
        <v>80</v>
      </c>
      <c r="H87" s="1187">
        <v>0.88</v>
      </c>
      <c r="I87" s="1187">
        <f>AVERAGEIFS($I$93:$I$116,G93:G116,G87)</f>
        <v>2.75</v>
      </c>
      <c r="J87" s="1141">
        <v>369</v>
      </c>
      <c r="K87" s="1188"/>
      <c r="L87" s="1188">
        <v>42325</v>
      </c>
      <c r="M87" s="269">
        <f t="shared" si="14"/>
        <v>4</v>
      </c>
      <c r="N87" s="258">
        <f t="shared" si="15"/>
        <v>175</v>
      </c>
      <c r="O87" s="257">
        <f t="shared" si="4"/>
        <v>1233.5508616786085</v>
      </c>
      <c r="P87" s="269">
        <f t="shared" si="16"/>
        <v>1</v>
      </c>
      <c r="Q87" s="269" t="str">
        <f t="shared" si="17"/>
        <v/>
      </c>
      <c r="R87" s="1166"/>
      <c r="S87" s="1166" t="str">
        <f t="shared" si="5"/>
        <v>Current Code</v>
      </c>
      <c r="T87" s="1190" t="str">
        <f t="shared" si="6"/>
        <v/>
      </c>
      <c r="U87" s="1190">
        <f t="shared" si="7"/>
        <v>0.945</v>
      </c>
      <c r="V87" s="1190" t="str">
        <f t="shared" si="8"/>
        <v/>
      </c>
      <c r="W87" s="1190">
        <f t="shared" si="9"/>
        <v>1.9665999999999999</v>
      </c>
      <c r="X87" s="257">
        <f t="shared" si="10"/>
        <v>1233.5508616786085</v>
      </c>
      <c r="Y87" s="257">
        <f t="shared" si="11"/>
        <v>1059.683210518253</v>
      </c>
      <c r="Z87" s="257">
        <f t="shared" si="12"/>
        <v>2750.211757185094</v>
      </c>
      <c r="AA87" s="257">
        <f t="shared" si="13"/>
        <v>2472.0235153285253</v>
      </c>
    </row>
    <row r="88" spans="2:27" ht="14.4">
      <c r="B88" s="1134">
        <v>1161645</v>
      </c>
      <c r="C88" s="1185"/>
      <c r="D88" s="1134">
        <v>116164</v>
      </c>
      <c r="E88" s="1148">
        <v>42283</v>
      </c>
      <c r="F88" s="1186">
        <v>52</v>
      </c>
      <c r="G88" s="1186">
        <v>50</v>
      </c>
      <c r="H88" s="1187">
        <v>0.88</v>
      </c>
      <c r="I88" s="1187">
        <v>2.40</v>
      </c>
      <c r="J88" s="1141">
        <v>275</v>
      </c>
      <c r="K88" s="1188"/>
      <c r="L88" s="1188">
        <v>42360</v>
      </c>
      <c r="M88" s="269">
        <f t="shared" si="14"/>
        <v>4</v>
      </c>
      <c r="N88" s="258">
        <f t="shared" si="15"/>
        <v>175</v>
      </c>
      <c r="O88" s="257">
        <f t="shared" si="4"/>
        <v>1702.0305605128342</v>
      </c>
      <c r="P88" s="269">
        <f t="shared" si="16"/>
        <v>1</v>
      </c>
      <c r="Q88" s="269" t="str">
        <f t="shared" si="17"/>
        <v/>
      </c>
      <c r="R88" s="1166"/>
      <c r="S88" s="1166" t="str">
        <f t="shared" si="5"/>
        <v>Current Code</v>
      </c>
      <c r="T88" s="1190" t="str">
        <f t="shared" si="6"/>
        <v/>
      </c>
      <c r="U88" s="1190">
        <f t="shared" si="7"/>
        <v>0.94440000000000002</v>
      </c>
      <c r="V88" s="1190" t="str">
        <f t="shared" si="8"/>
        <v/>
      </c>
      <c r="W88" s="1190">
        <f t="shared" si="9"/>
        <v>0.945</v>
      </c>
      <c r="X88" s="257">
        <f t="shared" si="10"/>
        <v>1702.0305605128342</v>
      </c>
      <c r="Y88" s="257">
        <f t="shared" si="11"/>
        <v>1522.7635124092014</v>
      </c>
      <c r="Z88" s="257">
        <f t="shared" si="12"/>
        <v>1600.919834145735</v>
      </c>
      <c r="AA88" s="257">
        <f t="shared" si="13"/>
        <v>1428.5476725076264</v>
      </c>
    </row>
    <row r="89" spans="2:27" ht="14.4">
      <c r="B89" s="1134">
        <v>2200251</v>
      </c>
      <c r="C89" s="1185"/>
      <c r="D89" s="1134">
        <v>220025</v>
      </c>
      <c r="E89" s="1148">
        <v>42262</v>
      </c>
      <c r="F89" s="1186">
        <v>50</v>
      </c>
      <c r="G89" s="1186">
        <v>50</v>
      </c>
      <c r="H89" s="1187">
        <v>0.88</v>
      </c>
      <c r="I89" s="1187">
        <v>2.33</v>
      </c>
      <c r="J89" s="1141">
        <v>2150</v>
      </c>
      <c r="K89" s="1188"/>
      <c r="L89" s="1188">
        <v>42339</v>
      </c>
      <c r="M89" s="269">
        <f t="shared" si="14"/>
        <v>4</v>
      </c>
      <c r="N89" s="258">
        <f t="shared" si="15"/>
        <v>175</v>
      </c>
      <c r="O89" s="257">
        <f t="shared" si="4"/>
        <v>1573.0746054967131</v>
      </c>
      <c r="P89" s="269">
        <f t="shared" si="16"/>
        <v>1</v>
      </c>
      <c r="Q89" s="269" t="str">
        <f t="shared" si="17"/>
        <v/>
      </c>
      <c r="R89" s="1166"/>
      <c r="S89" s="1166" t="str">
        <f t="shared" si="5"/>
        <v>Current Code</v>
      </c>
      <c r="T89" s="1190" t="str">
        <f t="shared" si="6"/>
        <v/>
      </c>
      <c r="U89" s="1190">
        <f t="shared" si="7"/>
        <v>0.945</v>
      </c>
      <c r="V89" s="1190" t="str">
        <f t="shared" si="8"/>
        <v/>
      </c>
      <c r="W89" s="1190">
        <f t="shared" si="9"/>
        <v>0.945</v>
      </c>
      <c r="X89" s="257">
        <f t="shared" si="10"/>
        <v>1573.0746054967131</v>
      </c>
      <c r="Y89" s="257">
        <f t="shared" si="11"/>
        <v>1399.2069543363573</v>
      </c>
      <c r="Z89" s="257">
        <f t="shared" si="12"/>
        <v>1573.0746054967131</v>
      </c>
      <c r="AA89" s="257">
        <f t="shared" si="13"/>
        <v>1399.2069543363573</v>
      </c>
    </row>
    <row r="90" spans="2:27" ht="14.4">
      <c r="B90" s="1134">
        <v>8468233</v>
      </c>
      <c r="C90" s="1185"/>
      <c r="D90" s="1134">
        <v>630469</v>
      </c>
      <c r="E90" s="1148">
        <v>42063</v>
      </c>
      <c r="F90" s="1186">
        <v>50</v>
      </c>
      <c r="G90" s="1186">
        <v>50</v>
      </c>
      <c r="H90" s="1187">
        <v>0.88</v>
      </c>
      <c r="I90" s="1187">
        <v>2.33</v>
      </c>
      <c r="J90" s="1141">
        <v>2150</v>
      </c>
      <c r="K90" s="1188"/>
      <c r="L90" s="1188">
        <v>42339</v>
      </c>
      <c r="M90" s="269">
        <f t="shared" si="14"/>
        <v>4</v>
      </c>
      <c r="N90" s="258">
        <f t="shared" si="15"/>
        <v>175</v>
      </c>
      <c r="O90" s="257">
        <f t="shared" si="4"/>
        <v>1573.0746054967131</v>
      </c>
      <c r="P90" s="269">
        <f t="shared" si="16"/>
        <v>1</v>
      </c>
      <c r="Q90" s="269" t="str">
        <f t="shared" si="17"/>
        <v/>
      </c>
      <c r="R90" s="1166"/>
      <c r="S90" s="1166" t="str">
        <f t="shared" si="5"/>
        <v>Prior Code</v>
      </c>
      <c r="T90" s="1190">
        <f t="shared" si="6"/>
        <v>0.90399999999999991</v>
      </c>
      <c r="U90" s="1190" t="str">
        <f t="shared" si="7"/>
        <v/>
      </c>
      <c r="V90" s="1190">
        <f t="shared" si="8"/>
        <v>0.90399999999999991</v>
      </c>
      <c r="W90" s="1190" t="str">
        <f t="shared" si="9"/>
        <v/>
      </c>
      <c r="X90" s="257">
        <f t="shared" si="10"/>
        <v>1573.0746054967131</v>
      </c>
      <c r="Y90" s="257">
        <f t="shared" si="11"/>
        <v>1505.9657163150105</v>
      </c>
      <c r="Z90" s="257">
        <f t="shared" si="12"/>
        <v>1573.0746054967131</v>
      </c>
      <c r="AA90" s="257">
        <f t="shared" si="13"/>
        <v>1505.9657163150105</v>
      </c>
    </row>
    <row r="91" ht="14.4"/>
    <row r="92" spans="6:9" ht="26.4">
      <c r="F92" s="587" t="s">
        <v>213</v>
      </c>
      <c r="G92" s="587" t="s">
        <v>212</v>
      </c>
      <c r="H92" s="587" t="s">
        <v>211</v>
      </c>
      <c r="I92" s="587" t="s">
        <v>210</v>
      </c>
    </row>
    <row r="93" spans="6:9" ht="14.4">
      <c r="F93" s="1186">
        <v>50</v>
      </c>
      <c r="G93" s="1186">
        <v>50</v>
      </c>
      <c r="H93" s="1187">
        <v>0.88</v>
      </c>
      <c r="I93" s="1187">
        <v>2.40</v>
      </c>
    </row>
    <row r="94" spans="6:9" ht="14.4">
      <c r="F94" s="1186">
        <v>50</v>
      </c>
      <c r="G94" s="1186">
        <v>50</v>
      </c>
      <c r="H94" s="1187">
        <v>0.88</v>
      </c>
      <c r="I94" s="1187">
        <v>1.92</v>
      </c>
    </row>
    <row r="95" spans="6:9" ht="14.4">
      <c r="F95" s="1186">
        <v>80</v>
      </c>
      <c r="G95" s="1186">
        <v>50</v>
      </c>
      <c r="H95" s="1187">
        <v>0.88</v>
      </c>
      <c r="I95" s="1187">
        <v>2.40</v>
      </c>
    </row>
    <row r="96" spans="6:9" ht="14.4">
      <c r="F96" s="1186">
        <v>40</v>
      </c>
      <c r="G96" s="1186">
        <v>50</v>
      </c>
      <c r="H96" s="1187">
        <v>0.88</v>
      </c>
      <c r="I96" s="1187">
        <v>2.40</v>
      </c>
    </row>
    <row r="97" spans="6:9" ht="14.4">
      <c r="F97" s="1186">
        <v>50</v>
      </c>
      <c r="G97" s="1186">
        <v>50</v>
      </c>
      <c r="H97" s="1187">
        <v>0.88</v>
      </c>
      <c r="I97" s="1187">
        <v>2.90</v>
      </c>
    </row>
    <row r="98" spans="6:9" ht="14.4">
      <c r="F98" s="1186">
        <v>50</v>
      </c>
      <c r="G98" s="1186">
        <v>65</v>
      </c>
      <c r="H98" s="1187">
        <v>0.88</v>
      </c>
      <c r="I98" s="1187">
        <v>2.40</v>
      </c>
    </row>
    <row r="99" spans="6:9" ht="14.4">
      <c r="F99" s="1186">
        <v>55</v>
      </c>
      <c r="G99" s="1186">
        <v>50</v>
      </c>
      <c r="H99" s="1187">
        <v>0.88</v>
      </c>
      <c r="I99" s="1187">
        <v>2.40</v>
      </c>
    </row>
    <row r="100" spans="6:9" ht="14.4">
      <c r="F100" s="1186">
        <v>75</v>
      </c>
      <c r="G100" s="1186">
        <v>50</v>
      </c>
      <c r="H100" s="1187">
        <v>0.88</v>
      </c>
      <c r="I100" s="1187">
        <v>2.90</v>
      </c>
    </row>
    <row r="101" spans="6:9" ht="14.4">
      <c r="F101" s="1186">
        <v>30</v>
      </c>
      <c r="G101" s="1186">
        <v>50</v>
      </c>
      <c r="H101" s="1187">
        <v>0.88</v>
      </c>
      <c r="I101" s="1187">
        <v>2.35</v>
      </c>
    </row>
    <row r="102" spans="6:9" ht="14.4">
      <c r="F102" s="1186">
        <v>55</v>
      </c>
      <c r="G102" s="1186">
        <v>50</v>
      </c>
      <c r="H102" s="1187">
        <v>0.88</v>
      </c>
      <c r="I102" s="1187">
        <v>2.90</v>
      </c>
    </row>
    <row r="103" spans="6:9" ht="14.4">
      <c r="F103" s="1186">
        <v>50</v>
      </c>
      <c r="G103" s="1186">
        <v>84</v>
      </c>
      <c r="H103" s="1187">
        <v>0.88</v>
      </c>
      <c r="I103" s="1187">
        <v>2.33</v>
      </c>
    </row>
    <row r="104" spans="6:9" ht="14.4">
      <c r="F104" s="1186">
        <v>50</v>
      </c>
      <c r="G104" s="1186">
        <v>50</v>
      </c>
      <c r="H104" s="1187">
        <v>0.88</v>
      </c>
      <c r="I104" s="1187">
        <v>2.75</v>
      </c>
    </row>
    <row r="105" spans="6:9" ht="14.4">
      <c r="F105" s="1186">
        <v>50</v>
      </c>
      <c r="G105" s="1186">
        <v>50</v>
      </c>
      <c r="H105" s="1187">
        <v>0.88</v>
      </c>
      <c r="I105" s="1187">
        <v>2.2999999999999998</v>
      </c>
    </row>
    <row r="106" spans="6:9" ht="14.4">
      <c r="F106" s="1186">
        <v>80</v>
      </c>
      <c r="G106" s="1186">
        <v>80</v>
      </c>
      <c r="H106" s="1187">
        <v>0.88</v>
      </c>
      <c r="I106" s="1187">
        <v>2.2999999999999998</v>
      </c>
    </row>
    <row r="107" spans="6:9" ht="14.4">
      <c r="F107" s="1186">
        <v>50</v>
      </c>
      <c r="G107" s="1186">
        <v>50</v>
      </c>
      <c r="H107" s="1187">
        <v>0.88</v>
      </c>
      <c r="I107" s="1187">
        <v>2.4500000000000002</v>
      </c>
    </row>
    <row r="108" spans="6:9" ht="14.4">
      <c r="F108" s="1186">
        <v>40</v>
      </c>
      <c r="G108" s="1186">
        <v>50</v>
      </c>
      <c r="H108" s="1187">
        <v>0.88</v>
      </c>
      <c r="I108" s="1187">
        <v>3.25</v>
      </c>
    </row>
    <row r="109" spans="6:9" ht="14.4">
      <c r="F109" s="1186">
        <v>66</v>
      </c>
      <c r="G109" s="1186">
        <v>80</v>
      </c>
      <c r="H109" s="1187">
        <v>0.88</v>
      </c>
      <c r="I109" s="1187">
        <v>3.20</v>
      </c>
    </row>
    <row r="110" spans="6:9" ht="14.4">
      <c r="F110" s="1186">
        <v>50</v>
      </c>
      <c r="G110" s="1186">
        <v>69</v>
      </c>
      <c r="H110" s="1187">
        <v>0.88</v>
      </c>
      <c r="I110" s="1187">
        <v>3.25</v>
      </c>
    </row>
    <row r="111" spans="6:9" ht="14.4">
      <c r="F111" s="1186">
        <v>57</v>
      </c>
      <c r="G111" s="1186">
        <v>65</v>
      </c>
      <c r="H111" s="1187">
        <v>0.88</v>
      </c>
      <c r="I111" s="1187">
        <v>2.40</v>
      </c>
    </row>
    <row r="112" spans="6:9" ht="14.4">
      <c r="F112" s="1186">
        <v>55</v>
      </c>
      <c r="G112" s="1186">
        <v>67</v>
      </c>
      <c r="H112" s="1187">
        <v>0.88</v>
      </c>
      <c r="I112" s="1187">
        <v>2.75</v>
      </c>
    </row>
    <row r="113" spans="6:9" ht="14.4">
      <c r="F113" s="1186">
        <v>42</v>
      </c>
      <c r="G113" s="1186">
        <v>50</v>
      </c>
      <c r="H113" s="1187">
        <v>0.88</v>
      </c>
      <c r="I113" s="1187" t="s">
        <v>259</v>
      </c>
    </row>
    <row r="114" spans="6:9" ht="14.4">
      <c r="F114" s="1186">
        <v>50</v>
      </c>
      <c r="G114" s="1186">
        <v>80</v>
      </c>
      <c r="H114" s="1187">
        <v>0.88</v>
      </c>
      <c r="I114" s="1187" t="s">
        <v>259</v>
      </c>
    </row>
    <row r="115" spans="6:9" ht="14.4">
      <c r="F115" s="1186">
        <v>52</v>
      </c>
      <c r="G115" s="1186">
        <v>50</v>
      </c>
      <c r="H115" s="1187">
        <v>0.88</v>
      </c>
      <c r="I115" s="1187">
        <v>2.40</v>
      </c>
    </row>
    <row r="116" spans="6:9" ht="14.4">
      <c r="F116" s="1186">
        <v>50</v>
      </c>
      <c r="G116" s="1186">
        <v>50</v>
      </c>
      <c r="H116" s="1187">
        <v>0.88</v>
      </c>
      <c r="I116" s="1187">
        <v>2.33</v>
      </c>
    </row>
    <row r="117" spans="6:9" ht="14.4">
      <c r="F117" s="865"/>
      <c r="G117" s="865"/>
      <c r="H117" s="865"/>
      <c r="I117" s="865"/>
    </row>
    <row r="118" spans="6:9" ht="14.4">
      <c r="F118" s="865"/>
      <c r="G118" s="865"/>
      <c r="H118" s="865"/>
      <c r="I118" s="865"/>
    </row>
    <row r="119" spans="6:9" ht="14.4">
      <c r="F119" s="865"/>
      <c r="G119" s="865"/>
      <c r="H119" s="865"/>
      <c r="I119" s="865"/>
    </row>
    <row r="120" spans="6:9" ht="14.4">
      <c r="F120" s="865"/>
      <c r="G120" s="865"/>
      <c r="H120" s="865"/>
      <c r="I120" s="865"/>
    </row>
    <row r="121" spans="6:9" ht="14.4">
      <c r="F121" s="865"/>
      <c r="G121" s="865"/>
      <c r="H121" s="865"/>
      <c r="I121" s="865"/>
    </row>
    <row r="122" spans="6:9" ht="14.4">
      <c r="F122" s="865"/>
      <c r="G122" s="865"/>
      <c r="H122" s="865"/>
      <c r="I122" s="865"/>
    </row>
    <row r="123" spans="6:9" ht="14.4">
      <c r="F123" s="865"/>
      <c r="G123" s="865"/>
      <c r="H123" s="865"/>
      <c r="I123" s="865"/>
    </row>
    <row r="124" spans="6:9" ht="14.4">
      <c r="F124" s="865"/>
      <c r="G124" s="865"/>
      <c r="H124" s="865"/>
      <c r="I124" s="865"/>
    </row>
    <row r="125" spans="6:9" ht="14.4">
      <c r="F125" s="865"/>
      <c r="G125" s="865"/>
      <c r="H125" s="865"/>
      <c r="I125" s="865"/>
    </row>
    <row r="126" spans="6:9" ht="14.4">
      <c r="F126" s="865"/>
      <c r="G126" s="865"/>
      <c r="H126" s="865"/>
      <c r="I126" s="865"/>
    </row>
    <row r="127" spans="6:9" ht="14.4">
      <c r="F127" s="865"/>
      <c r="G127" s="865"/>
      <c r="H127" s="865"/>
      <c r="I127" s="865"/>
    </row>
    <row r="128" spans="6:9" ht="14.4">
      <c r="F128" s="865"/>
      <c r="G128" s="865"/>
      <c r="H128" s="865"/>
      <c r="I128" s="865"/>
    </row>
    <row r="129" spans="6:9" ht="14.4">
      <c r="F129" s="865"/>
      <c r="G129" s="865"/>
      <c r="H129" s="865"/>
      <c r="I129" s="865"/>
    </row>
    <row r="130" spans="6:9" ht="14.4">
      <c r="F130" s="865"/>
      <c r="G130" s="865"/>
      <c r="H130" s="865"/>
      <c r="I130" s="865"/>
    </row>
    <row r="131" spans="6:9" ht="14.4">
      <c r="F131" s="865"/>
      <c r="G131" s="865"/>
      <c r="H131" s="865"/>
      <c r="I131" s="865"/>
    </row>
    <row r="132" spans="6:9" ht="14.4">
      <c r="F132" s="865"/>
      <c r="G132" s="865"/>
      <c r="H132" s="865"/>
      <c r="I132" s="865"/>
    </row>
    <row r="133" spans="6:9" ht="14.4">
      <c r="F133" s="865"/>
      <c r="G133" s="865"/>
      <c r="H133" s="865"/>
      <c r="I133" s="865"/>
    </row>
    <row r="134" spans="6:9" ht="14.4">
      <c r="F134" s="865"/>
      <c r="G134" s="865"/>
      <c r="H134" s="865"/>
      <c r="I134" s="865"/>
    </row>
    <row r="135" spans="6:9" ht="14.4">
      <c r="F135" s="865"/>
      <c r="G135" s="865"/>
      <c r="H135" s="865"/>
      <c r="I135" s="865"/>
    </row>
    <row r="136" spans="6:9" ht="14.4">
      <c r="F136" s="865"/>
      <c r="G136" s="865"/>
      <c r="H136" s="865"/>
      <c r="I136" s="865"/>
    </row>
    <row r="137" spans="6:9" ht="14.4">
      <c r="F137" s="865"/>
      <c r="G137" s="865"/>
      <c r="H137" s="865"/>
      <c r="I137" s="865"/>
    </row>
    <row r="138" spans="6:9" ht="14.4">
      <c r="F138" s="865"/>
      <c r="G138" s="865"/>
      <c r="H138" s="865"/>
      <c r="I138" s="865"/>
    </row>
    <row r="139" spans="6:9" ht="14.4">
      <c r="F139" s="865"/>
      <c r="G139" s="865"/>
      <c r="H139" s="865"/>
      <c r="I139" s="865"/>
    </row>
    <row r="140" spans="6:9" ht="14.4">
      <c r="F140" s="865"/>
      <c r="G140" s="865"/>
      <c r="H140" s="865"/>
      <c r="I140" s="865"/>
    </row>
    <row r="141" spans="6:9" ht="14.4">
      <c r="F141" s="865"/>
      <c r="G141" s="865"/>
      <c r="H141" s="865"/>
      <c r="I141" s="865"/>
    </row>
    <row r="142" spans="6:9" ht="14.4">
      <c r="F142" s="865"/>
      <c r="G142" s="865"/>
      <c r="H142" s="865"/>
      <c r="I142" s="865"/>
    </row>
  </sheetData>
  <mergeCells count="16">
    <mergeCell ref="B2:F2"/>
    <mergeCell ref="B38:R38"/>
    <mergeCell ref="B3:F3"/>
    <mergeCell ref="B12:F12"/>
    <mergeCell ref="B21:F21"/>
    <mergeCell ref="B30:F30"/>
    <mergeCell ref="B29:F29"/>
    <mergeCell ref="B20:F20"/>
    <mergeCell ref="B11:F11"/>
    <mergeCell ref="S38:S39"/>
    <mergeCell ref="X38:X39"/>
    <mergeCell ref="Y38:Y39"/>
    <mergeCell ref="Z38:Z39"/>
    <mergeCell ref="AA38:AA39"/>
    <mergeCell ref="T38:U38"/>
    <mergeCell ref="V38:W38"/>
  </mergeCells>
  <pageMargins left="0.7" right="0.7" top="0.75" bottom="0.75" header="0.3" footer="0.3"/>
  <pageSetup orientation="portrait" r:id="rId2"/>
  <ignoredErrors>
    <ignoredError sqref="D7:D8 D5:D6 D14:D17 D32:D35 D23:D26" formula="1"/>
    <ignoredError sqref="I86:I87" unlockedFormula="1"/>
  </ignoredErrors>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8" tint="0.39998"/>
  </sheetPr>
  <dimension ref="B1:Y37"/>
  <sheetViews>
    <sheetView zoomScale="70" zoomScaleNormal="70" workbookViewId="0" topLeftCell="A1"/>
  </sheetViews>
  <sheetFormatPr defaultColWidth="8.77734375" defaultRowHeight="14.4"/>
  <cols>
    <col min="1" max="1" width="4.55555555555556" style="1078" customWidth="1"/>
    <col min="2" max="2" width="7.77777777777778" style="1078" bestFit="1" customWidth="1"/>
    <col min="3" max="3" width="14.5555555555556" style="1078" bestFit="1" customWidth="1"/>
    <col min="4" max="4" width="8.22222222222222" style="1078" bestFit="1" customWidth="1"/>
    <col min="5" max="6" width="10.4444444444444" style="1078" bestFit="1" customWidth="1"/>
    <col min="7" max="7" width="11.7777777777778" style="1078" bestFit="1" customWidth="1"/>
    <col min="8" max="8" width="57.4444444444444" style="1078" bestFit="1" customWidth="1"/>
    <col min="9" max="9" width="48.2222222222222" style="1078" bestFit="1" customWidth="1"/>
    <col min="10" max="10" width="11.2222222222222" style="1078" bestFit="1" customWidth="1"/>
    <col min="11" max="11" width="29.7777777777778" style="1078" customWidth="1"/>
    <col min="12" max="12" width="7.44444444444444" style="1078" bestFit="1" customWidth="1"/>
    <col min="13" max="14" width="6.77777777777778" style="1078" bestFit="1" customWidth="1"/>
    <col min="15" max="15" width="9.22222222222222" style="1078" bestFit="1" customWidth="1"/>
    <col min="16" max="16" width="6.77777777777778" style="1078" bestFit="1" customWidth="1"/>
    <col min="17" max="17" width="9" style="1078" bestFit="1" customWidth="1"/>
    <col min="18" max="18" width="3.77777777777778" style="1078" bestFit="1" customWidth="1"/>
    <col min="19" max="19" width="48.5555555555556" style="1078" bestFit="1" customWidth="1"/>
    <col min="20" max="20" width="48.2222222222222" style="1078" bestFit="1" customWidth="1"/>
    <col min="21" max="21" width="11.7777777777778" style="1078" customWidth="1"/>
    <col min="22" max="22" width="22" style="1078" bestFit="1" customWidth="1"/>
    <col min="23" max="25" width="8.77777777777778" style="1078"/>
    <col min="26" max="16384" width="8.77777777777778" style="1078"/>
  </cols>
  <sheetData>
    <row r="1" spans="2:18" ht="15" thickBot="1">
      <c r="B1" s="1032" t="s">
        <v>1632</v>
      </c>
      <c r="R1" s="1167"/>
    </row>
    <row r="2" spans="2:18" ht="15.6" thickBot="1">
      <c r="B2" s="1838" t="s">
        <v>242</v>
      </c>
      <c r="C2" s="1839"/>
      <c r="D2" s="1839"/>
      <c r="E2" s="1839"/>
      <c r="F2" s="1840"/>
      <c r="H2" s="1197" t="s">
        <v>928</v>
      </c>
      <c r="I2" s="1197" t="s">
        <v>929</v>
      </c>
      <c r="R2" s="1167"/>
    </row>
    <row r="3" spans="2:18" ht="39.6">
      <c r="B3" s="1191" t="s">
        <v>206</v>
      </c>
      <c r="C3" s="1192" t="s">
        <v>205</v>
      </c>
      <c r="D3" s="1192" t="s">
        <v>233</v>
      </c>
      <c r="E3" s="1198" t="s">
        <v>203</v>
      </c>
      <c r="F3" s="1199" t="s">
        <v>202</v>
      </c>
      <c r="H3" s="1166" t="s">
        <v>933</v>
      </c>
      <c r="I3" s="1190">
        <f>AVERAGE('Clay Heat Pump Water Heaters'!$H$40:$H$90)</f>
        <v>0.88000000000000023</v>
      </c>
      <c r="N3" s="1093"/>
      <c r="O3" s="1093"/>
      <c r="P3" s="1075"/>
      <c r="Q3" s="1075"/>
      <c r="R3" s="1167"/>
    </row>
    <row r="4" spans="2:18" ht="14.4">
      <c r="B4" s="1193">
        <v>1</v>
      </c>
      <c r="C4" s="1086">
        <f>SUMIFS(M$22:M$37,$L$22:$L$37,$B4,$O$22:$O$37,1)</f>
        <v>688</v>
      </c>
      <c r="D4" s="1087">
        <f>SUMIFS(N$22:N$37,$L$22:$L$37,$B4,$O$22:$O$37,1)</f>
        <v>2719</v>
      </c>
      <c r="E4" s="1087">
        <f>SUMIF($L$22:$L$37,"=1",O$22:O$37)</f>
        <v>2</v>
      </c>
      <c r="F4" s="1200">
        <f>SUMIF($L$22:$L$37,"=1",P$22:P$37)</f>
        <v>0</v>
      </c>
      <c r="H4" s="1166" t="s">
        <v>932</v>
      </c>
      <c r="I4" s="1190">
        <f>AVERAGE('Clay Heat Pump Water Heaters'!$T$40:$U$90)</f>
        <v>0.96488254901960802</v>
      </c>
      <c r="O4" s="1093"/>
      <c r="P4" s="1075"/>
      <c r="Q4" s="1075"/>
      <c r="R4" s="1167"/>
    </row>
    <row r="5" spans="2:18" ht="14.4">
      <c r="B5" s="1193">
        <v>2</v>
      </c>
      <c r="C5" s="1086">
        <f t="shared" si="0" ref="C5:D7">SUMIFS(M$22:M$37,$L$22:$L$37,$B5,$O$22:$O$37,1)</f>
        <v>822</v>
      </c>
      <c r="D5" s="1087">
        <f t="shared" si="0"/>
        <v>2719</v>
      </c>
      <c r="E5" s="1087">
        <f>SUMIF($L$22:$L$37,"=2",O$22:O$37)</f>
        <v>2</v>
      </c>
      <c r="F5" s="1200">
        <f>SUMIF($L$22:$L$37,"=2",P$22:P$37)</f>
        <v>1</v>
      </c>
      <c r="G5" s="579"/>
      <c r="H5" s="1197" t="s">
        <v>161</v>
      </c>
      <c r="I5" s="1201">
        <f>AVERAGE(I3:I4)</f>
        <v>0.92244127450980407</v>
      </c>
      <c r="O5" s="1093"/>
      <c r="P5" s="1075"/>
      <c r="Q5" s="1075"/>
      <c r="R5" s="1075"/>
    </row>
    <row r="6" spans="2:18" ht="14.4">
      <c r="B6" s="1193">
        <v>3</v>
      </c>
      <c r="C6" s="1086">
        <f t="shared" si="0"/>
        <v>379</v>
      </c>
      <c r="D6" s="1087">
        <f t="shared" si="0"/>
        <v>1359.50</v>
      </c>
      <c r="E6" s="1087">
        <f>SUMIF($L$22:$L$37,"=3",O$22:O$37)</f>
        <v>1</v>
      </c>
      <c r="F6" s="1200">
        <f>SUMIF($L$22:$L$37,"=3",P$22:P$37)</f>
        <v>0</v>
      </c>
      <c r="G6" s="579"/>
      <c r="H6" s="1075"/>
      <c r="I6" s="1075"/>
      <c r="O6" s="1093"/>
      <c r="P6" s="1075"/>
      <c r="Q6" s="1075"/>
      <c r="R6" s="1075"/>
    </row>
    <row r="7" spans="2:18" ht="15" thickBot="1">
      <c r="B7" s="1194">
        <v>4</v>
      </c>
      <c r="C7" s="1086">
        <f t="shared" si="0"/>
        <v>4399</v>
      </c>
      <c r="D7" s="1087">
        <f t="shared" si="0"/>
        <v>13595</v>
      </c>
      <c r="E7" s="1087">
        <f>SUMIF($L$22:$L$37,"=4",O$22:O$37)</f>
        <v>10</v>
      </c>
      <c r="F7" s="1200">
        <f>SUMIF($L$22:$L$37,"=4",P$22:P$37)</f>
        <v>0</v>
      </c>
      <c r="G7" s="579"/>
      <c r="H7" s="1202" t="s">
        <v>934</v>
      </c>
      <c r="I7" s="1075"/>
      <c r="O7" s="1093"/>
      <c r="P7" s="1075"/>
      <c r="Q7" s="1075"/>
      <c r="R7" s="1075"/>
    </row>
    <row r="8" spans="2:18" ht="15" thickBot="1">
      <c r="B8" s="1195" t="s">
        <v>222</v>
      </c>
      <c r="C8" s="1203">
        <f>SUM(C4:C7)</f>
        <v>6288</v>
      </c>
      <c r="D8" s="1204">
        <f>SUM(D4:D7)</f>
        <v>20392.50</v>
      </c>
      <c r="E8" s="1205">
        <f>SUM(E4:E7)</f>
        <v>15</v>
      </c>
      <c r="F8" s="1206">
        <f>SUM(F4:F7)</f>
        <v>1</v>
      </c>
      <c r="G8" s="579"/>
      <c r="H8" s="1080" t="s">
        <v>742</v>
      </c>
      <c r="I8" s="1080" t="s">
        <v>1072</v>
      </c>
      <c r="J8" s="1080" t="s">
        <v>929</v>
      </c>
      <c r="K8" s="1080" t="s">
        <v>1073</v>
      </c>
      <c r="N8" s="1093"/>
      <c r="O8" s="1093"/>
      <c r="P8" s="1075"/>
      <c r="Q8" s="1075"/>
      <c r="R8" s="1075"/>
    </row>
    <row r="9" spans="7:25" ht="16.8" thickBot="1">
      <c r="G9" s="579"/>
      <c r="H9" s="1014" t="s">
        <v>1053</v>
      </c>
      <c r="I9" s="1014" t="s">
        <v>1774</v>
      </c>
      <c r="J9" s="1166">
        <v>0.90</v>
      </c>
      <c r="K9" s="1166">
        <f>'BEopt Results'!$C$18</f>
        <v>1365</v>
      </c>
      <c r="N9" s="1093"/>
      <c r="O9" s="1093"/>
      <c r="P9" s="1075"/>
      <c r="Q9" s="1075"/>
      <c r="R9" s="1075"/>
      <c r="W9" s="1075"/>
      <c r="X9" s="1075"/>
      <c r="Y9" s="1093"/>
    </row>
    <row r="10" spans="2:25" ht="16.8" thickBot="1">
      <c r="B10" s="1841" t="s">
        <v>244</v>
      </c>
      <c r="C10" s="1842"/>
      <c r="D10" s="1207">
        <v>0.01</v>
      </c>
      <c r="G10" s="579"/>
      <c r="H10" s="1014" t="s">
        <v>1070</v>
      </c>
      <c r="I10" s="1014" t="s">
        <v>1775</v>
      </c>
      <c r="J10" s="1166">
        <v>0.95</v>
      </c>
      <c r="K10" s="1166">
        <f>'BEopt Results'!$C$36</f>
        <v>1354</v>
      </c>
      <c r="N10" s="1093"/>
      <c r="O10" s="1093"/>
      <c r="P10" s="1075"/>
      <c r="Q10" s="1075"/>
      <c r="R10" s="1075"/>
      <c r="W10" s="1075"/>
      <c r="X10" s="579"/>
      <c r="Y10" s="1093"/>
    </row>
    <row r="11" spans="7:25" ht="14.4">
      <c r="G11" s="579"/>
      <c r="H11" s="1843" t="s">
        <v>161</v>
      </c>
      <c r="I11" s="1843"/>
      <c r="J11" s="1197">
        <f>AVERAGE(J9:J10)</f>
        <v>0.925</v>
      </c>
      <c r="K11" s="1197">
        <f>AVERAGE(K9:K10)</f>
        <v>1359.50</v>
      </c>
      <c r="N11" s="1093"/>
      <c r="O11" s="1093"/>
      <c r="P11" s="1075"/>
      <c r="Q11" s="1075"/>
      <c r="R11" s="1075"/>
      <c r="W11" s="1075"/>
      <c r="X11" s="1075"/>
      <c r="Y11" s="1093"/>
    </row>
    <row r="12" spans="7:25" ht="14.4">
      <c r="G12" s="579"/>
      <c r="H12" s="1075"/>
      <c r="I12" s="1075"/>
      <c r="N12" s="1093"/>
      <c r="O12" s="1093"/>
      <c r="P12" s="1075"/>
      <c r="Q12" s="1075"/>
      <c r="R12" s="1075"/>
      <c r="W12" s="1075"/>
      <c r="X12" s="1075"/>
      <c r="Y12" s="1093"/>
    </row>
    <row r="13" spans="7:18" ht="14.4">
      <c r="G13" s="579"/>
      <c r="H13" s="1078" t="s">
        <v>232</v>
      </c>
      <c r="I13" s="1078">
        <v>20</v>
      </c>
      <c r="J13" s="1093" t="s">
        <v>245</v>
      </c>
      <c r="K13" s="1093"/>
      <c r="N13" s="1093"/>
      <c r="O13" s="1093"/>
      <c r="P13" s="1075"/>
      <c r="Q13" s="1075"/>
      <c r="R13" s="1075"/>
    </row>
    <row r="14" spans="7:20" ht="14.4">
      <c r="G14" s="579"/>
      <c r="I14" s="1078">
        <v>38.299999999999997</v>
      </c>
      <c r="J14" s="1093" t="s">
        <v>243</v>
      </c>
      <c r="K14" s="1093"/>
      <c r="N14" s="1093"/>
      <c r="O14" s="1093"/>
      <c r="P14" s="1075"/>
      <c r="Q14" s="1075"/>
      <c r="R14" s="1075"/>
      <c r="S14" s="1075"/>
      <c r="T14" s="1075"/>
    </row>
    <row r="15" spans="7:20" ht="14.4">
      <c r="G15" s="579"/>
      <c r="H15" s="1078" t="s">
        <v>230</v>
      </c>
      <c r="I15" s="1078">
        <v>0.20</v>
      </c>
      <c r="J15" s="1093" t="s">
        <v>218</v>
      </c>
      <c r="K15" s="1093"/>
      <c r="N15" s="1093"/>
      <c r="O15" s="1093"/>
      <c r="P15" s="1075"/>
      <c r="Q15" s="1075"/>
      <c r="R15" s="1075"/>
      <c r="S15" s="1075"/>
      <c r="T15" s="1075"/>
    </row>
    <row r="16" spans="7:18" ht="14.4">
      <c r="G16" s="579"/>
      <c r="H16" s="1078" t="s">
        <v>1074</v>
      </c>
      <c r="I16" s="1078">
        <v>0.70</v>
      </c>
      <c r="J16" s="1093" t="s">
        <v>218</v>
      </c>
      <c r="K16" s="1093"/>
      <c r="N16" s="1093"/>
      <c r="O16" s="1093"/>
      <c r="P16" s="1075"/>
      <c r="Q16" s="1075"/>
      <c r="R16" s="1075"/>
    </row>
    <row r="17" spans="7:18" ht="14.4">
      <c r="G17" s="579"/>
      <c r="H17" s="1208"/>
      <c r="I17" s="1089"/>
      <c r="J17" s="1090"/>
      <c r="K17" s="1090"/>
      <c r="N17" s="1093"/>
      <c r="O17" s="1093"/>
      <c r="P17" s="1075"/>
      <c r="Q17" s="1075"/>
      <c r="R17" s="1075"/>
    </row>
    <row r="18" spans="7:18" ht="14.4">
      <c r="G18" s="579"/>
      <c r="H18" s="1208"/>
      <c r="I18" s="1089"/>
      <c r="J18" s="1090"/>
      <c r="K18" s="1090"/>
      <c r="N18" s="1093"/>
      <c r="O18" s="1093"/>
      <c r="P18" s="1075"/>
      <c r="Q18" s="1075"/>
      <c r="R18" s="1075"/>
    </row>
    <row r="19" spans="13:15" ht="14.4">
      <c r="M19" s="261"/>
      <c r="N19" s="1093"/>
      <c r="O19" s="1093"/>
    </row>
    <row r="20" spans="2:17" ht="15.6">
      <c r="B20" s="1836" t="s">
        <v>242</v>
      </c>
      <c r="C20" s="1836"/>
      <c r="D20" s="1836"/>
      <c r="E20" s="1836"/>
      <c r="F20" s="1836"/>
      <c r="G20" s="1836"/>
      <c r="H20" s="1836"/>
      <c r="I20" s="1836"/>
      <c r="J20" s="1836"/>
      <c r="K20" s="1836"/>
      <c r="L20" s="1836"/>
      <c r="M20" s="1836"/>
      <c r="N20" s="1836"/>
      <c r="O20" s="1836"/>
      <c r="P20" s="1836"/>
      <c r="Q20" s="1836"/>
    </row>
    <row r="21" spans="2:17" ht="52.8">
      <c r="B21" s="587" t="s">
        <v>217</v>
      </c>
      <c r="C21" s="587" t="s">
        <v>216</v>
      </c>
      <c r="D21" s="587" t="s">
        <v>215</v>
      </c>
      <c r="E21" s="587" t="s">
        <v>214</v>
      </c>
      <c r="F21" s="587" t="s">
        <v>241</v>
      </c>
      <c r="G21" s="587" t="s">
        <v>240</v>
      </c>
      <c r="H21" s="587" t="s">
        <v>239</v>
      </c>
      <c r="I21" s="587" t="s">
        <v>209</v>
      </c>
      <c r="J21" s="587" t="s">
        <v>208</v>
      </c>
      <c r="K21" s="587" t="s">
        <v>207</v>
      </c>
      <c r="L21" s="587" t="s">
        <v>206</v>
      </c>
      <c r="M21" s="587" t="s">
        <v>205</v>
      </c>
      <c r="N21" s="587" t="s">
        <v>204</v>
      </c>
      <c r="O21" s="587" t="s">
        <v>203</v>
      </c>
      <c r="P21" s="587" t="s">
        <v>202</v>
      </c>
      <c r="Q21" s="587" t="s">
        <v>201</v>
      </c>
    </row>
    <row r="22" spans="2:17" ht="14.4">
      <c r="B22" s="1134">
        <v>5151709</v>
      </c>
      <c r="C22" s="1185"/>
      <c r="D22" s="1134">
        <v>416573</v>
      </c>
      <c r="E22" s="1148">
        <v>41513</v>
      </c>
      <c r="F22" s="1186" t="s">
        <v>235</v>
      </c>
      <c r="G22" s="1186">
        <v>40</v>
      </c>
      <c r="H22" s="1137">
        <v>34400</v>
      </c>
      <c r="I22" s="1141">
        <v>8995</v>
      </c>
      <c r="J22" s="1188"/>
      <c r="K22" s="1188">
        <v>41688</v>
      </c>
      <c r="L22" s="269">
        <f t="shared" si="1" ref="L22:L37">IF(MAX(J22,K22)&lt;40000,"",ROUNDUP(MONTH(MAX(J22,K22))/3,0))</f>
        <v>1</v>
      </c>
      <c r="M22" s="258">
        <f t="shared" si="2" ref="M22:M37">IF(D22="","",MIN(600,$D$10*H22))</f>
        <v>344</v>
      </c>
      <c r="N22" s="263">
        <f t="shared" si="3" ref="N22:N37">$K$11</f>
        <v>1359.50</v>
      </c>
      <c r="O22" s="269">
        <f t="shared" si="4" ref="O22:O37">IF(K22&gt;0,1,"")</f>
        <v>1</v>
      </c>
      <c r="P22" s="269" t="str">
        <f t="shared" si="5" ref="P22:P37">IF(J22&gt;0,1,"")</f>
        <v/>
      </c>
      <c r="Q22" s="1196"/>
    </row>
    <row r="23" spans="2:17" ht="14.4">
      <c r="B23" s="1134">
        <v>8493231</v>
      </c>
      <c r="C23" s="1185"/>
      <c r="D23" s="1134">
        <v>600856</v>
      </c>
      <c r="E23" s="1148">
        <v>41536</v>
      </c>
      <c r="F23" s="1186" t="s">
        <v>238</v>
      </c>
      <c r="G23" s="1186">
        <v>40</v>
      </c>
      <c r="H23" s="1137">
        <v>34400</v>
      </c>
      <c r="I23" s="1141">
        <v>8860</v>
      </c>
      <c r="J23" s="1188"/>
      <c r="K23" s="1188">
        <v>41705</v>
      </c>
      <c r="L23" s="269">
        <f t="shared" si="1"/>
        <v>1</v>
      </c>
      <c r="M23" s="258">
        <f t="shared" si="2"/>
        <v>344</v>
      </c>
      <c r="N23" s="263">
        <f t="shared" si="3"/>
        <v>1359.50</v>
      </c>
      <c r="O23" s="269">
        <f t="shared" si="4"/>
        <v>1</v>
      </c>
      <c r="P23" s="269" t="str">
        <f t="shared" si="5"/>
        <v/>
      </c>
      <c r="Q23" s="1155"/>
    </row>
    <row r="24" spans="2:17" ht="14.4">
      <c r="B24" s="1134">
        <v>2016228</v>
      </c>
      <c r="C24" s="1185"/>
      <c r="D24" s="1134">
        <v>201622</v>
      </c>
      <c r="E24" s="1148">
        <v>41668</v>
      </c>
      <c r="F24" s="1186" t="s">
        <v>235</v>
      </c>
      <c r="G24" s="1186">
        <v>40</v>
      </c>
      <c r="H24" s="1137">
        <v>34400</v>
      </c>
      <c r="I24" s="1141">
        <v>11994</v>
      </c>
      <c r="J24" s="1188"/>
      <c r="K24" s="1188">
        <v>41740</v>
      </c>
      <c r="L24" s="269">
        <f t="shared" si="1"/>
        <v>2</v>
      </c>
      <c r="M24" s="258">
        <f t="shared" si="2"/>
        <v>344</v>
      </c>
      <c r="N24" s="263">
        <f t="shared" si="3"/>
        <v>1359.50</v>
      </c>
      <c r="O24" s="269">
        <f t="shared" si="4"/>
        <v>1</v>
      </c>
      <c r="P24" s="269" t="str">
        <f t="shared" si="5"/>
        <v/>
      </c>
      <c r="Q24" s="1155"/>
    </row>
    <row r="25" spans="2:17" ht="14.4">
      <c r="B25" s="1134">
        <v>6951388</v>
      </c>
      <c r="C25" s="1185"/>
      <c r="D25" s="1134">
        <v>113894</v>
      </c>
      <c r="E25" s="1148">
        <v>41578</v>
      </c>
      <c r="F25" s="1186">
        <v>98002</v>
      </c>
      <c r="G25" s="1186">
        <v>48.23</v>
      </c>
      <c r="H25" s="1137"/>
      <c r="I25" s="1141">
        <v>3950</v>
      </c>
      <c r="J25" s="1188">
        <v>41740</v>
      </c>
      <c r="K25" s="1188"/>
      <c r="L25" s="269">
        <f t="shared" si="1"/>
        <v>2</v>
      </c>
      <c r="M25" s="258">
        <f t="shared" si="2"/>
        <v>0</v>
      </c>
      <c r="N25" s="263">
        <f t="shared" si="3"/>
        <v>1359.50</v>
      </c>
      <c r="O25" s="269" t="str">
        <f t="shared" si="4"/>
        <v/>
      </c>
      <c r="P25" s="269">
        <f t="shared" si="5"/>
        <v>1</v>
      </c>
      <c r="Q25" s="1155"/>
    </row>
    <row r="26" spans="2:17" ht="14.4">
      <c r="B26" s="1134">
        <v>8865060</v>
      </c>
      <c r="C26" s="1185"/>
      <c r="D26" s="1134">
        <v>6766938</v>
      </c>
      <c r="E26" s="1148">
        <v>42004</v>
      </c>
      <c r="F26" s="1186" t="s">
        <v>237</v>
      </c>
      <c r="G26" s="1186">
        <v>40</v>
      </c>
      <c r="H26" s="1137">
        <v>47800</v>
      </c>
      <c r="I26" s="1141">
        <v>6000</v>
      </c>
      <c r="J26" s="1188"/>
      <c r="K26" s="1188">
        <v>41774</v>
      </c>
      <c r="L26" s="269">
        <f t="shared" si="1"/>
        <v>2</v>
      </c>
      <c r="M26" s="258">
        <f t="shared" si="2"/>
        <v>478</v>
      </c>
      <c r="N26" s="263">
        <f t="shared" si="3"/>
        <v>1359.50</v>
      </c>
      <c r="O26" s="269">
        <f t="shared" si="4"/>
        <v>1</v>
      </c>
      <c r="P26" s="269" t="str">
        <f t="shared" si="5"/>
        <v/>
      </c>
      <c r="Q26" s="1155"/>
    </row>
    <row r="27" spans="2:17" ht="14.4">
      <c r="B27" s="1134">
        <v>1429828</v>
      </c>
      <c r="C27" s="1185"/>
      <c r="D27" s="1134">
        <v>142982</v>
      </c>
      <c r="E27" s="1148">
        <v>41878</v>
      </c>
      <c r="F27" s="1186"/>
      <c r="G27" s="1186">
        <v>40</v>
      </c>
      <c r="H27" s="1137">
        <v>37900</v>
      </c>
      <c r="I27" s="1141">
        <v>11195</v>
      </c>
      <c r="J27" s="1188"/>
      <c r="K27" s="1188">
        <v>41911</v>
      </c>
      <c r="L27" s="269">
        <f t="shared" si="1"/>
        <v>3</v>
      </c>
      <c r="M27" s="258">
        <f t="shared" si="2"/>
        <v>379</v>
      </c>
      <c r="N27" s="263">
        <f t="shared" si="3"/>
        <v>1359.50</v>
      </c>
      <c r="O27" s="269">
        <f t="shared" si="4"/>
        <v>1</v>
      </c>
      <c r="P27" s="269" t="str">
        <f t="shared" si="5"/>
        <v/>
      </c>
      <c r="Q27" s="1155"/>
    </row>
    <row r="28" spans="2:17" ht="14.4">
      <c r="B28" s="1134">
        <v>6626276</v>
      </c>
      <c r="C28" s="1185"/>
      <c r="D28" s="1134">
        <v>662627</v>
      </c>
      <c r="E28" s="1148">
        <v>41832</v>
      </c>
      <c r="F28" s="1186" t="s">
        <v>236</v>
      </c>
      <c r="G28" s="1186">
        <v>40</v>
      </c>
      <c r="H28" s="1137">
        <v>45000</v>
      </c>
      <c r="I28" s="1141">
        <v>12995</v>
      </c>
      <c r="J28" s="1188"/>
      <c r="K28" s="1188">
        <v>41938</v>
      </c>
      <c r="L28" s="269">
        <f t="shared" si="1"/>
        <v>4</v>
      </c>
      <c r="M28" s="258">
        <f t="shared" si="2"/>
        <v>450</v>
      </c>
      <c r="N28" s="263">
        <f t="shared" si="3"/>
        <v>1359.50</v>
      </c>
      <c r="O28" s="269">
        <f t="shared" si="4"/>
        <v>1</v>
      </c>
      <c r="P28" s="269" t="str">
        <f t="shared" si="5"/>
        <v/>
      </c>
      <c r="Q28" s="1155"/>
    </row>
    <row r="29" spans="2:17" ht="14.4">
      <c r="B29" s="1134">
        <v>2947166</v>
      </c>
      <c r="C29" s="1185"/>
      <c r="D29" s="1134">
        <v>294716</v>
      </c>
      <c r="E29" s="1148">
        <v>41878</v>
      </c>
      <c r="F29" s="1186" t="s">
        <v>234</v>
      </c>
      <c r="G29" s="1186">
        <v>40</v>
      </c>
      <c r="H29" s="1137">
        <v>42400</v>
      </c>
      <c r="I29" s="1141">
        <v>8500</v>
      </c>
      <c r="J29" s="1188"/>
      <c r="K29" s="1188">
        <v>41940</v>
      </c>
      <c r="L29" s="269">
        <f t="shared" si="1"/>
        <v>4</v>
      </c>
      <c r="M29" s="258">
        <f t="shared" si="2"/>
        <v>424</v>
      </c>
      <c r="N29" s="263">
        <f t="shared" si="3"/>
        <v>1359.50</v>
      </c>
      <c r="O29" s="269">
        <f t="shared" si="4"/>
        <v>1</v>
      </c>
      <c r="P29" s="269" t="str">
        <f t="shared" si="5"/>
        <v/>
      </c>
      <c r="Q29" s="1155"/>
    </row>
    <row r="30" spans="2:17" ht="14.4">
      <c r="B30" s="1134">
        <v>1696657</v>
      </c>
      <c r="C30" s="1185"/>
      <c r="D30" s="1134">
        <v>169665</v>
      </c>
      <c r="E30" s="1148">
        <v>41874</v>
      </c>
      <c r="F30" s="1186" t="s">
        <v>235</v>
      </c>
      <c r="G30" s="1186">
        <v>40</v>
      </c>
      <c r="H30" s="1137">
        <v>44300</v>
      </c>
      <c r="I30" s="1141">
        <v>9995</v>
      </c>
      <c r="J30" s="1188"/>
      <c r="K30" s="1188">
        <v>41940</v>
      </c>
      <c r="L30" s="269">
        <f t="shared" si="1"/>
        <v>4</v>
      </c>
      <c r="M30" s="258">
        <f t="shared" si="2"/>
        <v>443</v>
      </c>
      <c r="N30" s="263">
        <f t="shared" si="3"/>
        <v>1359.50</v>
      </c>
      <c r="O30" s="269">
        <f t="shared" si="4"/>
        <v>1</v>
      </c>
      <c r="P30" s="269" t="str">
        <f t="shared" si="5"/>
        <v/>
      </c>
      <c r="Q30" s="1155"/>
    </row>
    <row r="31" spans="2:20" ht="14.4">
      <c r="B31" s="1134">
        <v>1521566</v>
      </c>
      <c r="C31" s="1185"/>
      <c r="D31" s="1134">
        <v>152156</v>
      </c>
      <c r="E31" s="1148">
        <v>41920</v>
      </c>
      <c r="F31" s="1186" t="s">
        <v>234</v>
      </c>
      <c r="G31" s="1186">
        <v>40</v>
      </c>
      <c r="H31" s="1137">
        <v>37900</v>
      </c>
      <c r="I31" s="1141">
        <v>10195</v>
      </c>
      <c r="J31" s="1188"/>
      <c r="K31" s="1188">
        <v>41975</v>
      </c>
      <c r="L31" s="269">
        <f t="shared" si="1"/>
        <v>4</v>
      </c>
      <c r="M31" s="258">
        <f t="shared" si="2"/>
        <v>379</v>
      </c>
      <c r="N31" s="263">
        <f t="shared" si="3"/>
        <v>1359.50</v>
      </c>
      <c r="O31" s="269">
        <f t="shared" si="4"/>
        <v>1</v>
      </c>
      <c r="P31" s="269" t="str">
        <f t="shared" si="5"/>
        <v/>
      </c>
      <c r="Q31" s="1155"/>
      <c r="S31" s="1075"/>
      <c r="T31" s="1075"/>
    </row>
    <row r="32" spans="2:17" ht="14.4">
      <c r="B32" s="1134">
        <v>857193</v>
      </c>
      <c r="C32" s="1185"/>
      <c r="D32" s="1134">
        <v>85719</v>
      </c>
      <c r="E32" s="1148">
        <v>41892</v>
      </c>
      <c r="F32" s="1186" t="s">
        <v>234</v>
      </c>
      <c r="G32" s="1186">
        <v>40</v>
      </c>
      <c r="H32" s="1137">
        <v>37900</v>
      </c>
      <c r="I32" s="1141">
        <v>9995</v>
      </c>
      <c r="J32" s="1188"/>
      <c r="K32" s="1188">
        <v>41983</v>
      </c>
      <c r="L32" s="269">
        <f t="shared" si="1"/>
        <v>4</v>
      </c>
      <c r="M32" s="258">
        <f t="shared" si="2"/>
        <v>379</v>
      </c>
      <c r="N32" s="263">
        <f t="shared" si="3"/>
        <v>1359.50</v>
      </c>
      <c r="O32" s="269">
        <f t="shared" si="4"/>
        <v>1</v>
      </c>
      <c r="P32" s="269" t="str">
        <f t="shared" si="5"/>
        <v/>
      </c>
      <c r="Q32" s="1155"/>
    </row>
    <row r="33" spans="2:17" ht="14.4">
      <c r="B33" s="1134">
        <v>5451166</v>
      </c>
      <c r="C33" s="1185"/>
      <c r="D33" s="1134">
        <v>198423</v>
      </c>
      <c r="E33" s="1148">
        <v>41971</v>
      </c>
      <c r="F33" s="1186" t="s">
        <v>234</v>
      </c>
      <c r="G33" s="1186">
        <v>40</v>
      </c>
      <c r="H33" s="1137">
        <v>37000</v>
      </c>
      <c r="I33" s="1141">
        <v>10430</v>
      </c>
      <c r="J33" s="1188"/>
      <c r="K33" s="1188">
        <v>42002</v>
      </c>
      <c r="L33" s="269">
        <f t="shared" si="1"/>
        <v>4</v>
      </c>
      <c r="M33" s="258">
        <f t="shared" si="2"/>
        <v>370</v>
      </c>
      <c r="N33" s="263">
        <f t="shared" si="3"/>
        <v>1359.50</v>
      </c>
      <c r="O33" s="269">
        <f t="shared" si="4"/>
        <v>1</v>
      </c>
      <c r="P33" s="269" t="str">
        <f t="shared" si="5"/>
        <v/>
      </c>
      <c r="Q33" s="1155"/>
    </row>
    <row r="34" spans="2:17" ht="14.4">
      <c r="B34" s="1134">
        <v>992040</v>
      </c>
      <c r="C34" s="1185"/>
      <c r="D34" s="1134">
        <v>99204</v>
      </c>
      <c r="E34" s="1148">
        <v>41977</v>
      </c>
      <c r="F34" s="1186" t="s">
        <v>234</v>
      </c>
      <c r="G34" s="1186">
        <v>40</v>
      </c>
      <c r="H34" s="1137">
        <v>37900</v>
      </c>
      <c r="I34" s="1141">
        <v>13695</v>
      </c>
      <c r="J34" s="1188"/>
      <c r="K34" s="1188">
        <v>42002</v>
      </c>
      <c r="L34" s="269">
        <f t="shared" si="1"/>
        <v>4</v>
      </c>
      <c r="M34" s="258">
        <f t="shared" si="2"/>
        <v>379</v>
      </c>
      <c r="N34" s="263">
        <f t="shared" si="3"/>
        <v>1359.50</v>
      </c>
      <c r="O34" s="269">
        <f t="shared" si="4"/>
        <v>1</v>
      </c>
      <c r="P34" s="269" t="str">
        <f t="shared" si="5"/>
        <v/>
      </c>
      <c r="Q34" s="1155"/>
    </row>
    <row r="35" spans="2:17" ht="14.4">
      <c r="B35" s="1134">
        <v>8751125</v>
      </c>
      <c r="C35" s="1185"/>
      <c r="D35" s="1134">
        <v>197898</v>
      </c>
      <c r="E35" s="1148">
        <v>42256</v>
      </c>
      <c r="F35" s="1186" t="s">
        <v>235</v>
      </c>
      <c r="G35" s="1186">
        <v>40</v>
      </c>
      <c r="H35" s="1137">
        <v>59600</v>
      </c>
      <c r="I35" s="1141">
        <v>11000</v>
      </c>
      <c r="J35" s="1188"/>
      <c r="K35" s="1188">
        <v>42297</v>
      </c>
      <c r="L35" s="269">
        <f t="shared" si="1"/>
        <v>4</v>
      </c>
      <c r="M35" s="258">
        <f t="shared" si="2"/>
        <v>596</v>
      </c>
      <c r="N35" s="263">
        <f t="shared" si="3"/>
        <v>1359.50</v>
      </c>
      <c r="O35" s="269">
        <f t="shared" si="4"/>
        <v>1</v>
      </c>
      <c r="P35" s="269" t="str">
        <f t="shared" si="5"/>
        <v/>
      </c>
      <c r="Q35" s="1155"/>
    </row>
    <row r="36" spans="2:17" ht="14.4">
      <c r="B36" s="1134">
        <v>5919766</v>
      </c>
      <c r="C36" s="1185"/>
      <c r="D36" s="1134">
        <v>189493</v>
      </c>
      <c r="E36" s="1148">
        <v>42151</v>
      </c>
      <c r="F36" s="1186" t="s">
        <v>234</v>
      </c>
      <c r="G36" s="1186">
        <v>40</v>
      </c>
      <c r="H36" s="1137">
        <v>69000</v>
      </c>
      <c r="I36" s="1141">
        <v>10695</v>
      </c>
      <c r="J36" s="1188"/>
      <c r="K36" s="1188">
        <v>42352</v>
      </c>
      <c r="L36" s="269">
        <f t="shared" si="1"/>
        <v>4</v>
      </c>
      <c r="M36" s="258">
        <f t="shared" si="2"/>
        <v>600</v>
      </c>
      <c r="N36" s="263">
        <f t="shared" si="3"/>
        <v>1359.50</v>
      </c>
      <c r="O36" s="269">
        <f t="shared" si="4"/>
        <v>1</v>
      </c>
      <c r="P36" s="269" t="str">
        <f t="shared" si="5"/>
        <v/>
      </c>
      <c r="Q36" s="1155"/>
    </row>
    <row r="37" spans="2:17" ht="14.4">
      <c r="B37" s="1134">
        <v>7928252</v>
      </c>
      <c r="C37" s="1185"/>
      <c r="D37" s="1134">
        <v>209119</v>
      </c>
      <c r="E37" s="1148">
        <v>42325</v>
      </c>
      <c r="F37" s="1186" t="s">
        <v>234</v>
      </c>
      <c r="G37" s="1186">
        <v>40</v>
      </c>
      <c r="H37" s="1137">
        <v>37900</v>
      </c>
      <c r="I37" s="1141">
        <v>13438</v>
      </c>
      <c r="J37" s="1188"/>
      <c r="K37" s="1188">
        <v>42360</v>
      </c>
      <c r="L37" s="269">
        <f t="shared" si="1"/>
        <v>4</v>
      </c>
      <c r="M37" s="258">
        <f t="shared" si="2"/>
        <v>379</v>
      </c>
      <c r="N37" s="263">
        <f t="shared" si="3"/>
        <v>1359.50</v>
      </c>
      <c r="O37" s="269">
        <f t="shared" si="4"/>
        <v>1</v>
      </c>
      <c r="P37" s="269" t="str">
        <f t="shared" si="5"/>
        <v/>
      </c>
      <c r="Q37" s="1155"/>
    </row>
  </sheetData>
  <mergeCells count="4">
    <mergeCell ref="B2:F2"/>
    <mergeCell ref="B10:C10"/>
    <mergeCell ref="B20:Q20"/>
    <mergeCell ref="H11:I1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7" tint="0.39998"/>
  </sheetPr>
  <dimension ref="A1:T111"/>
  <sheetViews>
    <sheetView zoomScale="70" zoomScaleNormal="70" workbookViewId="0" topLeftCell="A99">
      <selection pane="topLeft" activeCell="A1" sqref="A1"/>
    </sheetView>
  </sheetViews>
  <sheetFormatPr defaultColWidth="9.21875" defaultRowHeight="14.4"/>
  <cols>
    <col min="1" max="1" width="4.55555555555556" style="865" customWidth="1"/>
    <col min="2" max="8" width="14.7777777777778" style="865" customWidth="1"/>
    <col min="9" max="9" width="9.22222222222222" style="865" bestFit="1" customWidth="1"/>
    <col min="10" max="11" width="9.55555555555556" style="865" bestFit="1" customWidth="1"/>
    <col min="12" max="16" width="15.7777777777778" style="865" customWidth="1"/>
    <col min="17" max="17" width="6.77777777777778" style="865" bestFit="1" customWidth="1"/>
    <col min="18" max="18" width="12.5555555555556" style="865" bestFit="1" customWidth="1"/>
    <col min="19" max="20" width="9.22222222222222" style="865" bestFit="1" customWidth="1"/>
    <col min="21" max="16384" width="9.22222222222222" style="865"/>
  </cols>
  <sheetData>
    <row r="1" spans="1:17" ht="14.4">
      <c r="A1" s="1090"/>
      <c r="B1" s="1032" t="s">
        <v>1632</v>
      </c>
      <c r="C1" s="1090"/>
      <c r="D1" s="1090"/>
      <c r="E1" s="1090"/>
      <c r="F1" s="1090"/>
      <c r="G1" s="1090"/>
      <c r="H1" s="1090"/>
      <c r="I1" s="1090"/>
      <c r="J1" s="1090"/>
      <c r="K1" s="1209"/>
      <c r="L1" s="1090"/>
      <c r="M1" s="1090"/>
      <c r="N1" s="1075"/>
      <c r="O1" s="1075"/>
      <c r="P1" s="1090"/>
      <c r="Q1" s="1075"/>
    </row>
    <row r="2" spans="1:16" ht="14.4">
      <c r="A2" s="1075"/>
      <c r="B2" s="1844" t="s">
        <v>1094</v>
      </c>
      <c r="C2" s="1845"/>
      <c r="D2" s="1845"/>
      <c r="E2" s="1845"/>
      <c r="F2" s="1845"/>
      <c r="G2" s="1846"/>
      <c r="H2" s="1090"/>
      <c r="K2" s="1209"/>
      <c r="L2" s="1210"/>
      <c r="M2" s="1843" t="s">
        <v>1091</v>
      </c>
      <c r="N2" s="1843"/>
      <c r="O2" s="1843" t="s">
        <v>1092</v>
      </c>
      <c r="P2" s="1843"/>
    </row>
    <row r="3" spans="1:16" ht="43.2">
      <c r="A3" s="1075"/>
      <c r="B3" s="587" t="s">
        <v>206</v>
      </c>
      <c r="C3" s="587" t="s">
        <v>328</v>
      </c>
      <c r="D3" s="587" t="s">
        <v>327</v>
      </c>
      <c r="E3" s="1079" t="s">
        <v>203</v>
      </c>
      <c r="F3" s="1079" t="s">
        <v>202</v>
      </c>
      <c r="G3" s="587" t="s">
        <v>105</v>
      </c>
      <c r="K3" s="1209"/>
      <c r="L3" s="587" t="s">
        <v>331</v>
      </c>
      <c r="M3" s="587" t="s">
        <v>330</v>
      </c>
      <c r="N3" s="1211" t="s">
        <v>329</v>
      </c>
      <c r="O3" s="587" t="s">
        <v>1093</v>
      </c>
      <c r="P3" s="1211" t="s">
        <v>1681</v>
      </c>
    </row>
    <row r="4" spans="1:16" ht="14.4">
      <c r="A4" s="1075"/>
      <c r="B4" s="1169">
        <v>1</v>
      </c>
      <c r="C4" s="1086">
        <f>SUMIF($L$20:$L$1002,"=1",M$20:M$1002)</f>
        <v>2567.5100000000002</v>
      </c>
      <c r="D4" s="1087">
        <f>SUMIF($L$20:$L$1002,"=1",O$20:O$1002)</f>
        <v>56566.340000000004</v>
      </c>
      <c r="E4" s="1087">
        <f>SUMIF($L$20:$L$1002,"=1",P$20:P$1002)</f>
        <v>13</v>
      </c>
      <c r="F4" s="1087">
        <f>SUMIF($L$20:$L$1002,"=1",Q$20:Q$1002)</f>
        <v>0</v>
      </c>
      <c r="G4" s="1212">
        <f>SUMIF($L$20:$L$1002,$B4,H$20:H$1002)</f>
        <v>23341</v>
      </c>
      <c r="K4" s="1209"/>
      <c r="L4" s="1169" t="s">
        <v>324</v>
      </c>
      <c r="M4" s="1213">
        <f>418/0.08/1500</f>
        <v>3.4833333333333334</v>
      </c>
      <c r="N4" s="1214">
        <f>'Insulation Demand Review'!D4</f>
        <v>0.0012107660692679274</v>
      </c>
      <c r="O4" s="1212">
        <f>'BEopt Demand Results'!C26</f>
        <v>3663</v>
      </c>
      <c r="P4" s="1214">
        <f>'BEopt Demand Results'!D26</f>
        <v>2.608635</v>
      </c>
    </row>
    <row r="5" spans="1:16" ht="14.4">
      <c r="A5" s="1075"/>
      <c r="B5" s="1169">
        <v>2</v>
      </c>
      <c r="C5" s="1086">
        <f>SUMIF($L$20:$L$1002,"=2",M$20:M$1002)</f>
        <v>5548.8400000000011</v>
      </c>
      <c r="D5" s="1087">
        <f>SUMIF($L$20:$L$1002,"=2",O$20:O$1002)</f>
        <v>124501.79999999999</v>
      </c>
      <c r="E5" s="1087">
        <f>SUMIF($L$20:$L$1002,"=2",P$20:P$1002)</f>
        <v>28</v>
      </c>
      <c r="F5" s="1087">
        <f>SUMIF($L$20:$L$1002,"=2",Q$20:Q$1002)</f>
        <v>1</v>
      </c>
      <c r="G5" s="1212">
        <f>SUMIF($L$20:$L$1002,$B5,H$20:H$1002)</f>
        <v>50444</v>
      </c>
      <c r="K5" s="1209"/>
      <c r="L5" s="1169" t="s">
        <v>323</v>
      </c>
      <c r="M5" s="269">
        <v>3.22</v>
      </c>
      <c r="N5" s="1214">
        <f>'Insulation Demand Review'!D5</f>
        <v>0.0011192344716869072</v>
      </c>
      <c r="O5" s="1212">
        <f>'BEopt Demand Results'!C27</f>
        <v>597</v>
      </c>
      <c r="P5" s="1214">
        <f>'BEopt Demand Results'!D27</f>
        <v>0.57469500000000018</v>
      </c>
    </row>
    <row r="6" spans="1:16" ht="14.4">
      <c r="A6" s="1075"/>
      <c r="B6" s="1169">
        <v>3</v>
      </c>
      <c r="C6" s="1086">
        <f>SUMIF($L$20:$L$1002,"=3",M$20:M$1002)</f>
        <v>2903.23</v>
      </c>
      <c r="D6" s="1087">
        <f>SUMIF($L$20:$L$1002,"=3",O$20:O$1002)</f>
        <v>65991.31666666668</v>
      </c>
      <c r="E6" s="1087">
        <f>SUMIF($L$20:$L$1002,"=3",P$20:P$1002)</f>
        <v>12</v>
      </c>
      <c r="F6" s="1087">
        <f>SUMIF($L$20:$L$1002,"=3",Q$20:Q$1002)</f>
        <v>0</v>
      </c>
      <c r="G6" s="1212">
        <f>SUMIF($L$20:$L$1002,$B6,H$20:H$1002)</f>
        <v>28143</v>
      </c>
      <c r="K6" s="1209"/>
      <c r="L6" s="1169" t="s">
        <v>322</v>
      </c>
      <c r="M6" s="269">
        <v>2.17</v>
      </c>
      <c r="N6" s="1214">
        <f>'Insulation Demand Review'!D6</f>
        <v>0.00075426670918030689</v>
      </c>
      <c r="O6" s="1212">
        <f>'BEopt Demand Results'!C28</f>
        <v>439</v>
      </c>
      <c r="P6" s="1214">
        <f>'BEopt Demand Results'!D28</f>
        <v>0.39206999999999992</v>
      </c>
    </row>
    <row r="7" spans="1:16" ht="14.4">
      <c r="A7" s="1075"/>
      <c r="B7" s="1169">
        <v>4</v>
      </c>
      <c r="C7" s="1086">
        <f>SUMIF($L$20:$L$1002,"=4",M$20:M$1002)</f>
        <v>7523.9999999999991</v>
      </c>
      <c r="D7" s="1087">
        <f>SUMIF($L$20:$L$1002,"=4",O$20:O$1002)</f>
        <v>163482.80000000002</v>
      </c>
      <c r="E7" s="1087">
        <f>SUMIF($L$20:$L$1002,"=4",P$20:P$1002)</f>
        <v>38</v>
      </c>
      <c r="F7" s="1087">
        <f>SUMIF($L$20:$L$1002,"=4",Q$20:Q$1002)</f>
        <v>0</v>
      </c>
      <c r="G7" s="1212">
        <f>SUMIF($L$20:$L$1002,$B7,H$20:H$1002)</f>
        <v>68400</v>
      </c>
      <c r="K7" s="1209"/>
      <c r="L7" s="1169" t="s">
        <v>321</v>
      </c>
      <c r="M7" s="269">
        <v>1.04</v>
      </c>
      <c r="N7" s="1214">
        <f>'Insulation Demand Review'!D7</f>
        <v>0.00036149187905415632</v>
      </c>
      <c r="O7" s="1212">
        <f>'BEopt Demand Results'!C29</f>
        <v>158</v>
      </c>
      <c r="P7" s="1214">
        <f>'BEopt Demand Results'!D29</f>
        <v>0.18262500000000026</v>
      </c>
    </row>
    <row r="8" spans="1:17" ht="14.4">
      <c r="A8" s="1075"/>
      <c r="B8" s="1169" t="s">
        <v>222</v>
      </c>
      <c r="C8" s="1086">
        <f>SUM(C4:C7)</f>
        <v>18543.580000000002</v>
      </c>
      <c r="D8" s="1087">
        <f>SUM(D4:D7)</f>
        <v>410542.25666666671</v>
      </c>
      <c r="E8" s="269">
        <f>SUM(E4:E7)</f>
        <v>91</v>
      </c>
      <c r="F8" s="269">
        <f>SUM(F4:F7)</f>
        <v>1</v>
      </c>
      <c r="G8" s="1087">
        <f>SUM(G4:G7)</f>
        <v>170328</v>
      </c>
      <c r="K8" s="1209"/>
      <c r="L8" s="579"/>
      <c r="M8" s="1090"/>
      <c r="N8" s="1215"/>
      <c r="O8" s="1216"/>
      <c r="P8" s="1090"/>
      <c r="Q8" s="1075"/>
    </row>
    <row r="9" spans="1:17" ht="14.4">
      <c r="A9" s="1090"/>
      <c r="L9" s="1169" t="s">
        <v>333</v>
      </c>
      <c r="M9" s="1086">
        <v>0.11</v>
      </c>
      <c r="N9" s="1217" t="s">
        <v>332</v>
      </c>
      <c r="O9" s="1090"/>
      <c r="P9" s="1218"/>
      <c r="Q9" s="1218"/>
    </row>
    <row r="10" spans="1:17" ht="14.4">
      <c r="A10" s="1090"/>
      <c r="B10" s="1850" t="s">
        <v>1097</v>
      </c>
      <c r="C10" s="1851"/>
      <c r="D10" s="1851"/>
      <c r="E10" s="1851"/>
      <c r="F10" s="1851"/>
      <c r="G10" s="1851"/>
      <c r="H10" s="1851"/>
      <c r="I10" s="1851"/>
      <c r="L10" s="579"/>
      <c r="M10" s="1208"/>
      <c r="N10" s="1219"/>
      <c r="O10" s="1090"/>
      <c r="Q10" s="1075"/>
    </row>
    <row r="11" spans="1:17" ht="52.8">
      <c r="A11" s="1090"/>
      <c r="B11" s="587" t="s">
        <v>206</v>
      </c>
      <c r="C11" s="587" t="s">
        <v>328</v>
      </c>
      <c r="D11" s="587" t="s">
        <v>327</v>
      </c>
      <c r="E11" s="1079" t="s">
        <v>203</v>
      </c>
      <c r="F11" s="1079" t="s">
        <v>202</v>
      </c>
      <c r="G11" s="587" t="s">
        <v>105</v>
      </c>
      <c r="H11" s="587" t="s">
        <v>1096</v>
      </c>
      <c r="I11" s="587" t="s">
        <v>1682</v>
      </c>
      <c r="L11" s="1095" t="s">
        <v>232</v>
      </c>
      <c r="M11" s="1220">
        <v>20</v>
      </c>
      <c r="N11" s="1220" t="s">
        <v>325</v>
      </c>
      <c r="O11" s="579"/>
      <c r="P11" s="1090"/>
      <c r="Q11" s="1075"/>
    </row>
    <row r="12" spans="1:17" ht="14.4">
      <c r="A12" s="579"/>
      <c r="B12" s="1169">
        <v>1</v>
      </c>
      <c r="C12" s="1086">
        <f>SUMIF($L$20:$L$1002,"=1",M$20:M$1002)</f>
        <v>2567.5100000000002</v>
      </c>
      <c r="D12" s="1087">
        <f>SUMIF($L$20:$L$1002,$B12,S$20:S$1002)</f>
        <v>9071</v>
      </c>
      <c r="E12" s="1087">
        <f>SUMIF($L$20:$L$1002,"=1",P$20:P$1002)</f>
        <v>13</v>
      </c>
      <c r="F12" s="1087">
        <f>SUMIF($L$20:$L$1002,"=1",Q$20:Q$1002)</f>
        <v>0</v>
      </c>
      <c r="G12" s="1212">
        <f>SUMIF($L$20:$L$1002,$B12,H$20:H$1002)</f>
        <v>23341</v>
      </c>
      <c r="H12" s="1166">
        <f>IFERROR(AVERAGEIFS(T$20:T$1002,$L$20:$L$1002,$B12,P$20:P$1002,1),"")</f>
        <v>0.61051500000000014</v>
      </c>
      <c r="I12" s="1014">
        <f>SUMIFS(T$20:T$1002,$L$20:$L$1002,$B12,P$20:P$1002,1)</f>
        <v>7.9366950000000021</v>
      </c>
      <c r="M12" s="1090"/>
      <c r="N12" s="1075"/>
      <c r="O12" s="1075"/>
      <c r="P12" s="1090"/>
      <c r="Q12" s="1075"/>
    </row>
    <row r="13" spans="1:17" ht="14.4">
      <c r="A13" s="579"/>
      <c r="B13" s="1169">
        <v>2</v>
      </c>
      <c r="C13" s="1086">
        <f>SUMIF($L$20:$L$1002,"=2",M$20:M$1002)</f>
        <v>5548.8400000000011</v>
      </c>
      <c r="D13" s="1087">
        <f>SUMIF($L$20:$L$1002,$B13,S$20:S$1002)</f>
        <v>15831</v>
      </c>
      <c r="E13" s="1087">
        <f>SUMIF($L$20:$L$1002,"=2",P$20:P$1002)</f>
        <v>28</v>
      </c>
      <c r="F13" s="1087">
        <f>SUMIF($L$20:$L$1002,"=2",Q$20:Q$1002)</f>
        <v>1</v>
      </c>
      <c r="G13" s="1212">
        <f>SUMIF($L$20:$L$1002,$B13,H$20:H$1002)</f>
        <v>50444</v>
      </c>
      <c r="H13" s="1166">
        <f>IFERROR(AVERAGEIFS(T$20:T$1002,$L$20:$L$1002,$B13,P$20:P$1002,1),"")</f>
        <v>0.52131321428571442</v>
      </c>
      <c r="I13" s="1014">
        <f>SUMIFS(T$20:T$1002,$L$20:$L$1002,$B13,P$20:P$1002,1)</f>
        <v>14.596770000000003</v>
      </c>
      <c r="M13" s="1090"/>
      <c r="N13" s="1075"/>
      <c r="O13" s="1075"/>
      <c r="P13" s="1090"/>
      <c r="Q13" s="1075"/>
    </row>
    <row r="14" spans="1:17" ht="14.4">
      <c r="A14" s="579"/>
      <c r="B14" s="1169">
        <v>3</v>
      </c>
      <c r="C14" s="1086">
        <f>SUMIF($L$20:$L$1002,"=3",M$20:M$1002)</f>
        <v>2903.23</v>
      </c>
      <c r="D14" s="1087">
        <f>SUMIF($L$20:$L$1002,$B14,S$20:S$1002)</f>
        <v>10504</v>
      </c>
      <c r="E14" s="1087">
        <f>SUMIF($L$20:$L$1002,"=3",P$20:P$1002)</f>
        <v>12</v>
      </c>
      <c r="F14" s="1087">
        <f>SUMIF($L$20:$L$1002,"=3",Q$20:Q$1002)</f>
        <v>0</v>
      </c>
      <c r="G14" s="1212">
        <f>SUMIF($L$20:$L$1002,$B14,H$20:H$1002)</f>
        <v>28143</v>
      </c>
      <c r="H14" s="1166">
        <f>IFERROR(AVERAGEIFS(T$20:T$1002,$L$20:$L$1002,$B14,P$20:P$1002,1),"")</f>
        <v>0.76628863636363642</v>
      </c>
      <c r="I14" s="1014">
        <f>SUMIFS(T$20:T$1002,$L$20:$L$1002,$B14,P$20:P$1002,1)</f>
        <v>8.4291750000000008</v>
      </c>
      <c r="M14" s="1090"/>
      <c r="N14" s="1075"/>
      <c r="O14" s="1075"/>
      <c r="P14" s="1090"/>
      <c r="Q14" s="1075"/>
    </row>
    <row r="15" spans="1:17" ht="14.4">
      <c r="A15" s="579"/>
      <c r="B15" s="1169">
        <v>4</v>
      </c>
      <c r="C15" s="1086">
        <f>SUMIF($L$20:$L$1002,"=4",M$20:M$1002)</f>
        <v>7523.9999999999991</v>
      </c>
      <c r="D15" s="1087">
        <f>SUMIF($L$20:$L$1002,$B15,S$20:S$1002)</f>
        <v>22514</v>
      </c>
      <c r="E15" s="1087">
        <f>SUMIF($L$20:$L$1002,"=4",P$20:P$1002)</f>
        <v>38</v>
      </c>
      <c r="F15" s="1087">
        <f>SUMIF($L$20:$L$1002,"=4",Q$20:Q$1002)</f>
        <v>0</v>
      </c>
      <c r="G15" s="1212">
        <f>SUMIF($L$20:$L$1002,$B15,H$20:H$1002)</f>
        <v>68400</v>
      </c>
      <c r="H15" s="1166">
        <f>IFERROR(AVERAGEIFS(T$20:T$1002,$L$20:$L$1002,$B15,P$20:P$1002,1),"")</f>
        <v>0.53249171052631572</v>
      </c>
      <c r="I15" s="1014">
        <f>SUMIFS(T$20:T$1002,$L$20:$L$1002,$B15,P$20:P$1002,1)</f>
        <v>20.234684999999999</v>
      </c>
      <c r="M15" s="1090"/>
      <c r="N15" s="1075"/>
      <c r="O15" s="1075"/>
      <c r="P15" s="1090"/>
      <c r="Q15" s="1075"/>
    </row>
    <row r="16" spans="1:17" ht="14.4">
      <c r="A16" s="579"/>
      <c r="B16" s="1169" t="s">
        <v>222</v>
      </c>
      <c r="C16" s="1086">
        <f>SUM(C12:C15)</f>
        <v>18543.580000000002</v>
      </c>
      <c r="D16" s="1087">
        <f>SUM(D12:D15)</f>
        <v>57920</v>
      </c>
      <c r="E16" s="269">
        <f>SUM(E12:E15)</f>
        <v>91</v>
      </c>
      <c r="F16" s="269">
        <f>SUM(F12:F15)</f>
        <v>1</v>
      </c>
      <c r="G16" s="1087">
        <f>SUM(G12:G15)</f>
        <v>170328</v>
      </c>
      <c r="H16" s="1166">
        <f>AVERAGE(H12:H15)</f>
        <v>0.60765214029391668</v>
      </c>
      <c r="I16" s="1166">
        <f>SUM(I12:I15)</f>
        <v>51.197325000000006</v>
      </c>
      <c r="M16" s="1090"/>
      <c r="N16" s="1075"/>
      <c r="O16" s="1075"/>
      <c r="P16" s="1090"/>
      <c r="Q16" s="1075"/>
    </row>
    <row r="17" spans="2:18" ht="15">
      <c r="B17" s="1090"/>
      <c r="C17" s="266"/>
      <c r="D17" s="1221"/>
      <c r="E17" s="266"/>
      <c r="F17" s="266"/>
      <c r="G17" s="1222"/>
      <c r="H17" s="1222"/>
      <c r="I17" s="1222"/>
      <c r="J17" s="1222"/>
      <c r="K17" s="1222"/>
      <c r="L17" s="266"/>
      <c r="M17" s="266"/>
      <c r="N17" s="1075"/>
      <c r="O17" s="1075"/>
      <c r="P17" s="1075"/>
      <c r="Q17" s="1090"/>
      <c r="R17" s="1075"/>
    </row>
    <row r="18" spans="2:20" ht="15.6">
      <c r="B18" s="1847" t="s">
        <v>320</v>
      </c>
      <c r="C18" s="1848"/>
      <c r="D18" s="1848"/>
      <c r="E18" s="1848"/>
      <c r="F18" s="1848"/>
      <c r="G18" s="1848"/>
      <c r="H18" s="1848"/>
      <c r="I18" s="1848"/>
      <c r="J18" s="1848"/>
      <c r="K18" s="1848"/>
      <c r="L18" s="1848"/>
      <c r="M18" s="1848"/>
      <c r="N18" s="1848"/>
      <c r="O18" s="1848"/>
      <c r="P18" s="1848"/>
      <c r="Q18" s="1848"/>
      <c r="R18" s="1849"/>
      <c r="S18" s="1636" t="s">
        <v>1099</v>
      </c>
      <c r="T18" s="1636"/>
    </row>
    <row r="19" spans="2:20" ht="72">
      <c r="B19" s="587" t="s">
        <v>217</v>
      </c>
      <c r="C19" s="587" t="s">
        <v>216</v>
      </c>
      <c r="D19" s="587" t="s">
        <v>215</v>
      </c>
      <c r="E19" s="587" t="s">
        <v>214</v>
      </c>
      <c r="F19" s="587" t="s">
        <v>319</v>
      </c>
      <c r="G19" s="587" t="s">
        <v>318</v>
      </c>
      <c r="H19" s="587" t="s">
        <v>317</v>
      </c>
      <c r="I19" s="587" t="s">
        <v>249</v>
      </c>
      <c r="J19" s="587" t="s">
        <v>208</v>
      </c>
      <c r="K19" s="587" t="s">
        <v>207</v>
      </c>
      <c r="L19" s="587" t="s">
        <v>206</v>
      </c>
      <c r="M19" s="587" t="s">
        <v>205</v>
      </c>
      <c r="N19" s="587" t="s">
        <v>316</v>
      </c>
      <c r="O19" s="587" t="s">
        <v>248</v>
      </c>
      <c r="P19" s="587" t="s">
        <v>203</v>
      </c>
      <c r="Q19" s="587" t="s">
        <v>202</v>
      </c>
      <c r="R19" s="587" t="s">
        <v>247</v>
      </c>
      <c r="S19" s="1211" t="str">
        <f>"Updated "&amp;O19</f>
        <v>Updated Est. Annual kWh Savings</v>
      </c>
      <c r="T19" s="587" t="s">
        <v>315</v>
      </c>
    </row>
    <row r="20" spans="2:20" ht="14.4">
      <c r="B20" s="1134">
        <v>7597552</v>
      </c>
      <c r="C20" s="1223"/>
      <c r="D20" s="1134">
        <v>746243</v>
      </c>
      <c r="E20" s="1148">
        <v>42009</v>
      </c>
      <c r="F20" s="1134">
        <v>15</v>
      </c>
      <c r="G20" s="1134">
        <v>38</v>
      </c>
      <c r="H20" s="1137">
        <v>2666</v>
      </c>
      <c r="I20" s="1141">
        <v>1599</v>
      </c>
      <c r="J20" s="1148"/>
      <c r="K20" s="1148">
        <v>42009</v>
      </c>
      <c r="L20" s="269">
        <f t="shared" si="0" ref="L20:L51">IF(MAX(J20,K20)&lt;40000,"",ROUNDUP(MONTH(MAX(J20,K20))/3,0))</f>
        <v>1</v>
      </c>
      <c r="M20" s="1224">
        <f t="shared" si="1" ref="M20:M51">IF(B20="","",$M$9*H20)</f>
        <v>293.26</v>
      </c>
      <c r="N20" s="269" t="str">
        <f t="shared" si="2" ref="N20:N51">IF(B20="","",IF(J20&gt;0,"Denied",IF(AND(F20&lt;=1,G20&gt;=19),"R0 to R19",IF(AND(F20&lt;=11,G20&gt;=30),"R11 to R30",IF(AND(F20&lt;=11,G20&gt;=19),"R11 to R19",IF(AND(F20&lt;=19,G20&gt;=30),"R19 to R30","R19 to R30"))))))</f>
        <v>R19 to R30</v>
      </c>
      <c r="O20" s="1087">
        <f t="shared" si="3" ref="O20:O51">IF($B20="","",IFERROR($H20*VLOOKUP($N20,$L$4:$M$7,2,FALSE),0))</f>
        <v>2772.64</v>
      </c>
      <c r="P20" s="269">
        <f t="shared" si="4" ref="P20:P51">IF(K20&gt;0,1,"")</f>
        <v>1</v>
      </c>
      <c r="Q20" s="269" t="str">
        <f t="shared" si="5" ref="Q20:Q51">IF(J20&gt;0,1,"")</f>
        <v/>
      </c>
      <c r="R20" s="1155"/>
      <c r="S20" s="1087">
        <f t="shared" si="6" ref="S20:S51">IF($B20="","",IFERROR(VLOOKUP($N20,$L$4:$P$7,4,FALSE),0))</f>
        <v>158</v>
      </c>
      <c r="T20" s="1014">
        <f>IF(B20="","",IFERROR(VLOOKUP(N20,$L$4:$P$7,5,FALSE),0))</f>
        <v>0.18262500000000026</v>
      </c>
    </row>
    <row r="21" spans="2:20" ht="14.4">
      <c r="B21" s="1134">
        <v>3072287</v>
      </c>
      <c r="C21" s="1223"/>
      <c r="D21" s="1134">
        <v>194021</v>
      </c>
      <c r="E21" s="1148">
        <v>42010</v>
      </c>
      <c r="F21" s="1134">
        <v>10</v>
      </c>
      <c r="G21" s="1134">
        <v>38</v>
      </c>
      <c r="H21" s="1137">
        <v>3895</v>
      </c>
      <c r="I21" s="1141">
        <v>3745</v>
      </c>
      <c r="J21" s="1148"/>
      <c r="K21" s="1148">
        <v>42010</v>
      </c>
      <c r="L21" s="269">
        <f t="shared" si="0"/>
        <v>1</v>
      </c>
      <c r="M21" s="1224">
        <f t="shared" si="1"/>
        <v>428.45</v>
      </c>
      <c r="N21" s="269" t="str">
        <f t="shared" si="2"/>
        <v>R11 to R30</v>
      </c>
      <c r="O21" s="1087">
        <f t="shared" si="3"/>
        <v>12541.900000000002</v>
      </c>
      <c r="P21" s="269">
        <f t="shared" si="4"/>
        <v>1</v>
      </c>
      <c r="Q21" s="269" t="str">
        <f t="shared" si="5"/>
        <v/>
      </c>
      <c r="R21" s="1155"/>
      <c r="S21" s="1087">
        <f t="shared" si="6"/>
        <v>597</v>
      </c>
      <c r="T21" s="1014">
        <f t="shared" si="7" ref="T21:T84">IF(B21="","",IFERROR(VLOOKUP(N21,$L$4:$P$7,5,FALSE),0))</f>
        <v>0.57469500000000018</v>
      </c>
    </row>
    <row r="22" spans="2:20" ht="14.4">
      <c r="B22" s="1134">
        <v>2548014</v>
      </c>
      <c r="C22" s="1223"/>
      <c r="D22" s="1134">
        <v>254801</v>
      </c>
      <c r="E22" s="1148">
        <v>42051</v>
      </c>
      <c r="F22" s="1134">
        <v>11</v>
      </c>
      <c r="G22" s="1134">
        <v>30</v>
      </c>
      <c r="H22" s="1137">
        <v>2000</v>
      </c>
      <c r="I22" s="1141">
        <v>1000</v>
      </c>
      <c r="J22" s="1148"/>
      <c r="K22" s="1148">
        <v>42051</v>
      </c>
      <c r="L22" s="269">
        <f t="shared" si="0"/>
        <v>1</v>
      </c>
      <c r="M22" s="1224">
        <f t="shared" si="1"/>
        <v>220</v>
      </c>
      <c r="N22" s="269" t="str">
        <f t="shared" si="2"/>
        <v>R11 to R30</v>
      </c>
      <c r="O22" s="1087">
        <f t="shared" si="3"/>
        <v>6440</v>
      </c>
      <c r="P22" s="269">
        <f t="shared" si="4"/>
        <v>1</v>
      </c>
      <c r="Q22" s="269" t="str">
        <f t="shared" si="5"/>
        <v/>
      </c>
      <c r="R22" s="1155"/>
      <c r="S22" s="1087">
        <f t="shared" si="6"/>
        <v>597</v>
      </c>
      <c r="T22" s="1014">
        <f t="shared" si="7"/>
        <v>0.57469500000000018</v>
      </c>
    </row>
    <row r="23" spans="2:20" ht="14.4">
      <c r="B23" s="1134">
        <v>1141407</v>
      </c>
      <c r="C23" s="1223"/>
      <c r="D23" s="1134">
        <v>114140</v>
      </c>
      <c r="E23" s="1148">
        <v>42024</v>
      </c>
      <c r="F23" s="1134">
        <v>18</v>
      </c>
      <c r="G23" s="1134">
        <v>22</v>
      </c>
      <c r="H23" s="1137">
        <v>2200</v>
      </c>
      <c r="I23" s="1141">
        <v>1100</v>
      </c>
      <c r="J23" s="1148"/>
      <c r="K23" s="1148">
        <v>42024</v>
      </c>
      <c r="L23" s="269">
        <f t="shared" si="0"/>
        <v>1</v>
      </c>
      <c r="M23" s="1224">
        <f t="shared" si="1"/>
        <v>242</v>
      </c>
      <c r="N23" s="269" t="str">
        <f t="shared" si="2"/>
        <v>R19 to R30</v>
      </c>
      <c r="O23" s="1087">
        <f t="shared" si="3"/>
        <v>2288</v>
      </c>
      <c r="P23" s="269">
        <f t="shared" si="4"/>
        <v>1</v>
      </c>
      <c r="Q23" s="269" t="str">
        <f t="shared" si="5"/>
        <v/>
      </c>
      <c r="R23" s="1155"/>
      <c r="S23" s="1087">
        <f t="shared" si="6"/>
        <v>158</v>
      </c>
      <c r="T23" s="1014">
        <f t="shared" si="7"/>
        <v>0.18262500000000026</v>
      </c>
    </row>
    <row r="24" spans="2:20" ht="14.4">
      <c r="B24" s="1134">
        <v>3855582</v>
      </c>
      <c r="C24" s="1223"/>
      <c r="D24" s="1134">
        <v>200350</v>
      </c>
      <c r="E24" s="1148">
        <v>42059</v>
      </c>
      <c r="F24" s="1134">
        <v>11</v>
      </c>
      <c r="G24" s="1134">
        <v>38</v>
      </c>
      <c r="H24" s="1137">
        <v>2372</v>
      </c>
      <c r="I24" s="1141">
        <v>1375</v>
      </c>
      <c r="J24" s="1148"/>
      <c r="K24" s="1148">
        <v>42059</v>
      </c>
      <c r="L24" s="269">
        <f t="shared" si="0"/>
        <v>1</v>
      </c>
      <c r="M24" s="1224">
        <f t="shared" si="1"/>
        <v>260.92</v>
      </c>
      <c r="N24" s="269" t="str">
        <f t="shared" si="2"/>
        <v>R11 to R30</v>
      </c>
      <c r="O24" s="1087">
        <f t="shared" si="3"/>
        <v>7637.84</v>
      </c>
      <c r="P24" s="269">
        <f t="shared" si="4"/>
        <v>1</v>
      </c>
      <c r="Q24" s="269" t="str">
        <f t="shared" si="5"/>
        <v/>
      </c>
      <c r="R24" s="1155"/>
      <c r="S24" s="1087">
        <f t="shared" si="6"/>
        <v>597</v>
      </c>
      <c r="T24" s="1014">
        <f t="shared" si="7"/>
        <v>0.57469500000000018</v>
      </c>
    </row>
    <row r="25" spans="2:20" ht="14.4">
      <c r="B25" s="1134">
        <v>2691194</v>
      </c>
      <c r="C25" s="1223"/>
      <c r="D25" s="1134">
        <v>269119</v>
      </c>
      <c r="E25" s="1148">
        <v>42073</v>
      </c>
      <c r="F25" s="1134">
        <v>15</v>
      </c>
      <c r="G25" s="1134">
        <v>38</v>
      </c>
      <c r="H25" s="1137">
        <v>2100</v>
      </c>
      <c r="I25" s="1141">
        <v>1260</v>
      </c>
      <c r="J25" s="1148"/>
      <c r="K25" s="1148">
        <v>42073</v>
      </c>
      <c r="L25" s="269">
        <f t="shared" si="0"/>
        <v>1</v>
      </c>
      <c r="M25" s="1224">
        <f t="shared" si="1"/>
        <v>231</v>
      </c>
      <c r="N25" s="269" t="str">
        <f t="shared" si="2"/>
        <v>R19 to R30</v>
      </c>
      <c r="O25" s="1087">
        <f t="shared" si="3"/>
        <v>2184</v>
      </c>
      <c r="P25" s="269">
        <f t="shared" si="4"/>
        <v>1</v>
      </c>
      <c r="Q25" s="269" t="str">
        <f t="shared" si="5"/>
        <v/>
      </c>
      <c r="R25" s="1155"/>
      <c r="S25" s="1087">
        <f t="shared" si="6"/>
        <v>158</v>
      </c>
      <c r="T25" s="1014">
        <f t="shared" si="7"/>
        <v>0.18262500000000026</v>
      </c>
    </row>
    <row r="26" spans="2:20" ht="14.4">
      <c r="B26" s="1134">
        <v>1906270</v>
      </c>
      <c r="C26" s="1223"/>
      <c r="D26" s="1134">
        <v>190627</v>
      </c>
      <c r="E26" s="1148">
        <v>42081</v>
      </c>
      <c r="F26" s="1134">
        <v>17</v>
      </c>
      <c r="G26" s="1134">
        <v>38</v>
      </c>
      <c r="H26" s="1137">
        <v>1700</v>
      </c>
      <c r="I26" s="1141">
        <v>1870</v>
      </c>
      <c r="J26" s="1148"/>
      <c r="K26" s="1148">
        <v>42081</v>
      </c>
      <c r="L26" s="269">
        <f t="shared" si="0"/>
        <v>1</v>
      </c>
      <c r="M26" s="1224">
        <f t="shared" si="1"/>
        <v>187</v>
      </c>
      <c r="N26" s="269" t="str">
        <f t="shared" si="2"/>
        <v>R19 to R30</v>
      </c>
      <c r="O26" s="1087">
        <f t="shared" si="3"/>
        <v>1768</v>
      </c>
      <c r="P26" s="269">
        <f t="shared" si="4"/>
        <v>1</v>
      </c>
      <c r="Q26" s="269" t="str">
        <f t="shared" si="5"/>
        <v/>
      </c>
      <c r="R26" s="1155"/>
      <c r="S26" s="1087">
        <f t="shared" si="6"/>
        <v>158</v>
      </c>
      <c r="T26" s="1014">
        <f t="shared" si="7"/>
        <v>0.18262500000000026</v>
      </c>
    </row>
    <row r="27" spans="2:20" ht="14.4">
      <c r="B27" s="1134">
        <v>2642452</v>
      </c>
      <c r="C27" s="1223"/>
      <c r="D27" s="1134">
        <v>149311</v>
      </c>
      <c r="E27" s="1148">
        <v>42056</v>
      </c>
      <c r="F27" s="1134">
        <v>11</v>
      </c>
      <c r="G27" s="1134">
        <v>30</v>
      </c>
      <c r="H27" s="1137">
        <v>400</v>
      </c>
      <c r="I27" s="1141">
        <v>4500</v>
      </c>
      <c r="J27" s="1148"/>
      <c r="K27" s="1148">
        <v>42056</v>
      </c>
      <c r="L27" s="269">
        <f t="shared" si="0"/>
        <v>1</v>
      </c>
      <c r="M27" s="1224">
        <f t="shared" si="1"/>
        <v>44</v>
      </c>
      <c r="N27" s="269" t="str">
        <f t="shared" si="2"/>
        <v>R11 to R30</v>
      </c>
      <c r="O27" s="1087">
        <f t="shared" si="3"/>
        <v>1288</v>
      </c>
      <c r="P27" s="269">
        <f t="shared" si="4"/>
        <v>1</v>
      </c>
      <c r="Q27" s="269" t="str">
        <f t="shared" si="5"/>
        <v/>
      </c>
      <c r="R27" s="1155"/>
      <c r="S27" s="1087">
        <f t="shared" si="6"/>
        <v>597</v>
      </c>
      <c r="T27" s="1014">
        <f t="shared" si="7"/>
        <v>0.57469500000000018</v>
      </c>
    </row>
    <row r="28" spans="2:20" ht="14.4">
      <c r="B28" s="1134">
        <v>7481628</v>
      </c>
      <c r="C28" s="1223"/>
      <c r="D28" s="1134">
        <v>87520</v>
      </c>
      <c r="E28" s="1148">
        <v>42081</v>
      </c>
      <c r="F28" s="1134">
        <v>11</v>
      </c>
      <c r="G28" s="1134">
        <v>30</v>
      </c>
      <c r="H28" s="1137">
        <v>1000</v>
      </c>
      <c r="I28" s="1141">
        <v>550</v>
      </c>
      <c r="J28" s="1148"/>
      <c r="K28" s="1148">
        <v>42081</v>
      </c>
      <c r="L28" s="269">
        <f t="shared" si="0"/>
        <v>1</v>
      </c>
      <c r="M28" s="1224">
        <f t="shared" si="1"/>
        <v>110</v>
      </c>
      <c r="N28" s="269" t="str">
        <f t="shared" si="2"/>
        <v>R11 to R30</v>
      </c>
      <c r="O28" s="1087">
        <f t="shared" si="3"/>
        <v>3220</v>
      </c>
      <c r="P28" s="269">
        <f t="shared" si="4"/>
        <v>1</v>
      </c>
      <c r="Q28" s="269" t="str">
        <f t="shared" si="5"/>
        <v/>
      </c>
      <c r="R28" s="1155"/>
      <c r="S28" s="1087">
        <f t="shared" si="6"/>
        <v>597</v>
      </c>
      <c r="T28" s="1014">
        <f t="shared" si="7"/>
        <v>0.57469500000000018</v>
      </c>
    </row>
    <row r="29" spans="2:20" ht="14.4">
      <c r="B29" s="1134">
        <v>8858614</v>
      </c>
      <c r="C29" s="1223"/>
      <c r="D29" s="1134">
        <v>391752</v>
      </c>
      <c r="E29" s="1148">
        <v>41710</v>
      </c>
      <c r="F29" s="1134"/>
      <c r="G29" s="1134"/>
      <c r="H29" s="1137"/>
      <c r="I29" s="1141"/>
      <c r="J29" s="1148">
        <v>42146</v>
      </c>
      <c r="K29" s="1148"/>
      <c r="L29" s="269">
        <f t="shared" si="0"/>
        <v>2</v>
      </c>
      <c r="M29" s="1224">
        <f t="shared" si="1"/>
        <v>0</v>
      </c>
      <c r="N29" s="269" t="str">
        <f t="shared" si="2"/>
        <v>Denied</v>
      </c>
      <c r="O29" s="1087">
        <f t="shared" si="3"/>
        <v>0</v>
      </c>
      <c r="P29" s="269" t="str">
        <f t="shared" si="4"/>
        <v/>
      </c>
      <c r="Q29" s="269">
        <f t="shared" si="5"/>
        <v>1</v>
      </c>
      <c r="R29" s="1225" t="s">
        <v>314</v>
      </c>
      <c r="S29" s="1087">
        <f t="shared" si="6"/>
        <v>0</v>
      </c>
      <c r="T29" s="1014">
        <f t="shared" si="7"/>
        <v>0</v>
      </c>
    </row>
    <row r="30" spans="2:20" ht="14.4">
      <c r="B30" s="1134">
        <v>1547736</v>
      </c>
      <c r="C30" s="1223"/>
      <c r="D30" s="1134">
        <v>1547736</v>
      </c>
      <c r="E30" s="1148" t="s">
        <v>313</v>
      </c>
      <c r="F30" s="1134">
        <v>5</v>
      </c>
      <c r="G30" s="1134">
        <v>30</v>
      </c>
      <c r="H30" s="1137">
        <v>1000</v>
      </c>
      <c r="I30" s="1141">
        <v>600</v>
      </c>
      <c r="J30" s="1148"/>
      <c r="K30" s="1148">
        <v>42090</v>
      </c>
      <c r="L30" s="269">
        <f t="shared" si="0"/>
        <v>1</v>
      </c>
      <c r="M30" s="1224">
        <f t="shared" si="1"/>
        <v>110</v>
      </c>
      <c r="N30" s="269" t="str">
        <f t="shared" si="2"/>
        <v>R11 to R30</v>
      </c>
      <c r="O30" s="1087">
        <f t="shared" si="3"/>
        <v>3220</v>
      </c>
      <c r="P30" s="269">
        <f t="shared" si="4"/>
        <v>1</v>
      </c>
      <c r="Q30" s="269" t="str">
        <f t="shared" si="5"/>
        <v/>
      </c>
      <c r="R30" s="1155"/>
      <c r="S30" s="1087">
        <f t="shared" si="6"/>
        <v>597</v>
      </c>
      <c r="T30" s="1014">
        <f t="shared" si="7"/>
        <v>0.57469500000000018</v>
      </c>
    </row>
    <row r="31" spans="2:20" ht="14.4">
      <c r="B31" s="1134">
        <v>4252987</v>
      </c>
      <c r="C31" s="1223"/>
      <c r="D31" s="1134">
        <v>83669</v>
      </c>
      <c r="E31" s="1148">
        <v>42091</v>
      </c>
      <c r="F31" s="1134">
        <v>11</v>
      </c>
      <c r="G31" s="1134">
        <v>38</v>
      </c>
      <c r="H31" s="1137">
        <v>1468</v>
      </c>
      <c r="I31" s="1141">
        <v>997</v>
      </c>
      <c r="J31" s="1148"/>
      <c r="K31" s="1148">
        <v>42091</v>
      </c>
      <c r="L31" s="269">
        <f t="shared" si="0"/>
        <v>1</v>
      </c>
      <c r="M31" s="1224">
        <f t="shared" si="1"/>
        <v>161.47999999999999</v>
      </c>
      <c r="N31" s="269" t="str">
        <f t="shared" si="2"/>
        <v>R11 to R30</v>
      </c>
      <c r="O31" s="1087">
        <f t="shared" si="3"/>
        <v>4726.96</v>
      </c>
      <c r="P31" s="269">
        <f t="shared" si="4"/>
        <v>1</v>
      </c>
      <c r="Q31" s="269" t="str">
        <f t="shared" si="5"/>
        <v/>
      </c>
      <c r="R31" s="1155"/>
      <c r="S31" s="1087">
        <f t="shared" si="6"/>
        <v>597</v>
      </c>
      <c r="T31" s="1014">
        <f t="shared" si="7"/>
        <v>0.57469500000000018</v>
      </c>
    </row>
    <row r="32" spans="2:20" ht="14.4">
      <c r="B32" s="1134">
        <v>1840453</v>
      </c>
      <c r="C32" s="1223"/>
      <c r="D32" s="1134">
        <v>184045</v>
      </c>
      <c r="E32" s="1148">
        <v>42059</v>
      </c>
      <c r="F32" s="1134">
        <v>2</v>
      </c>
      <c r="G32" s="1134">
        <v>30</v>
      </c>
      <c r="H32" s="1137">
        <v>1400</v>
      </c>
      <c r="I32" s="1141">
        <v>840</v>
      </c>
      <c r="J32" s="1148"/>
      <c r="K32" s="1148">
        <v>42059</v>
      </c>
      <c r="L32" s="269">
        <f t="shared" si="0"/>
        <v>1</v>
      </c>
      <c r="M32" s="1224">
        <f t="shared" si="1"/>
        <v>154</v>
      </c>
      <c r="N32" s="269" t="str">
        <f t="shared" si="2"/>
        <v>R11 to R30</v>
      </c>
      <c r="O32" s="1087">
        <f t="shared" si="3"/>
        <v>4508</v>
      </c>
      <c r="P32" s="269">
        <f t="shared" si="4"/>
        <v>1</v>
      </c>
      <c r="Q32" s="269" t="str">
        <f t="shared" si="5"/>
        <v/>
      </c>
      <c r="R32" s="1155"/>
      <c r="S32" s="1087">
        <f t="shared" si="6"/>
        <v>597</v>
      </c>
      <c r="T32" s="1014">
        <f t="shared" si="7"/>
        <v>0.57469500000000018</v>
      </c>
    </row>
    <row r="33" spans="2:20" ht="14.4">
      <c r="B33" s="1134">
        <v>1881168</v>
      </c>
      <c r="C33" s="1223"/>
      <c r="D33" s="1134">
        <v>188116</v>
      </c>
      <c r="E33" s="1148">
        <v>42097</v>
      </c>
      <c r="F33" s="1134">
        <v>11</v>
      </c>
      <c r="G33" s="1134">
        <v>30</v>
      </c>
      <c r="H33" s="1137">
        <v>1750</v>
      </c>
      <c r="I33" s="1141">
        <v>1030</v>
      </c>
      <c r="J33" s="1148"/>
      <c r="K33" s="1148">
        <v>42097</v>
      </c>
      <c r="L33" s="269">
        <f t="shared" si="0"/>
        <v>2</v>
      </c>
      <c r="M33" s="1224">
        <f t="shared" si="1"/>
        <v>192.50</v>
      </c>
      <c r="N33" s="269" t="str">
        <f t="shared" si="2"/>
        <v>R11 to R30</v>
      </c>
      <c r="O33" s="1087">
        <f t="shared" si="3"/>
        <v>5635</v>
      </c>
      <c r="P33" s="269">
        <f t="shared" si="4"/>
        <v>1</v>
      </c>
      <c r="Q33" s="269" t="str">
        <f t="shared" si="5"/>
        <v/>
      </c>
      <c r="R33" s="1155"/>
      <c r="S33" s="1087">
        <f t="shared" si="6"/>
        <v>597</v>
      </c>
      <c r="T33" s="1014">
        <f t="shared" si="7"/>
        <v>0.57469500000000018</v>
      </c>
    </row>
    <row r="34" spans="2:20" ht="14.4">
      <c r="B34" s="1134">
        <v>5230727</v>
      </c>
      <c r="C34" s="1223"/>
      <c r="D34" s="1134">
        <v>509681</v>
      </c>
      <c r="E34" s="1148">
        <v>42102</v>
      </c>
      <c r="F34" s="1134">
        <v>13</v>
      </c>
      <c r="G34" s="1134">
        <v>38</v>
      </c>
      <c r="H34" s="1137">
        <v>2063</v>
      </c>
      <c r="I34" s="1141">
        <v>1072</v>
      </c>
      <c r="J34" s="1148"/>
      <c r="K34" s="1148">
        <v>42102</v>
      </c>
      <c r="L34" s="269">
        <f t="shared" si="0"/>
        <v>2</v>
      </c>
      <c r="M34" s="1224">
        <f t="shared" si="1"/>
        <v>226.93</v>
      </c>
      <c r="N34" s="269" t="str">
        <f t="shared" si="2"/>
        <v>R19 to R30</v>
      </c>
      <c r="O34" s="1087">
        <f t="shared" si="3"/>
        <v>2145.52</v>
      </c>
      <c r="P34" s="269">
        <f t="shared" si="4"/>
        <v>1</v>
      </c>
      <c r="Q34" s="269" t="str">
        <f t="shared" si="5"/>
        <v/>
      </c>
      <c r="R34" s="1155"/>
      <c r="S34" s="1087">
        <f t="shared" si="6"/>
        <v>158</v>
      </c>
      <c r="T34" s="1014">
        <f t="shared" si="7"/>
        <v>0.18262500000000026</v>
      </c>
    </row>
    <row r="35" spans="2:20" ht="14.4">
      <c r="B35" s="1134">
        <v>4918058</v>
      </c>
      <c r="C35" s="1185"/>
      <c r="D35" s="1134">
        <v>154301</v>
      </c>
      <c r="E35" s="1148">
        <v>42102</v>
      </c>
      <c r="F35" s="1134">
        <v>17</v>
      </c>
      <c r="G35" s="1134">
        <v>38</v>
      </c>
      <c r="H35" s="1137">
        <v>1960</v>
      </c>
      <c r="I35" s="1141">
        <v>1900</v>
      </c>
      <c r="J35" s="1148"/>
      <c r="K35" s="1148">
        <v>42102</v>
      </c>
      <c r="L35" s="269">
        <f t="shared" si="0"/>
        <v>2</v>
      </c>
      <c r="M35" s="1224">
        <f t="shared" si="1"/>
        <v>215.60</v>
      </c>
      <c r="N35" s="269" t="str">
        <f t="shared" si="2"/>
        <v>R19 to R30</v>
      </c>
      <c r="O35" s="1087">
        <f t="shared" si="3"/>
        <v>2038.40</v>
      </c>
      <c r="P35" s="269">
        <f t="shared" si="4"/>
        <v>1</v>
      </c>
      <c r="Q35" s="269" t="str">
        <f t="shared" si="5"/>
        <v/>
      </c>
      <c r="R35" s="1155"/>
      <c r="S35" s="1087">
        <f t="shared" si="6"/>
        <v>158</v>
      </c>
      <c r="T35" s="1014">
        <f t="shared" si="7"/>
        <v>0.18262500000000026</v>
      </c>
    </row>
    <row r="36" spans="2:20" ht="14.4">
      <c r="B36" s="1134">
        <v>3180262</v>
      </c>
      <c r="C36" s="1223"/>
      <c r="D36" s="1134">
        <v>197529</v>
      </c>
      <c r="E36" s="1148">
        <v>42108</v>
      </c>
      <c r="F36" s="1134">
        <v>11</v>
      </c>
      <c r="G36" s="1134">
        <v>30</v>
      </c>
      <c r="H36" s="1137">
        <v>1500</v>
      </c>
      <c r="I36" s="1141">
        <v>750</v>
      </c>
      <c r="J36" s="1148"/>
      <c r="K36" s="1148">
        <v>42108</v>
      </c>
      <c r="L36" s="269">
        <f t="shared" si="0"/>
        <v>2</v>
      </c>
      <c r="M36" s="1224">
        <f t="shared" si="1"/>
        <v>165</v>
      </c>
      <c r="N36" s="269" t="str">
        <f t="shared" si="2"/>
        <v>R11 to R30</v>
      </c>
      <c r="O36" s="1087">
        <f t="shared" si="3"/>
        <v>4830</v>
      </c>
      <c r="P36" s="269">
        <f t="shared" si="4"/>
        <v>1</v>
      </c>
      <c r="Q36" s="269" t="str">
        <f t="shared" si="5"/>
        <v/>
      </c>
      <c r="R36" s="1155"/>
      <c r="S36" s="1087">
        <f t="shared" si="6"/>
        <v>597</v>
      </c>
      <c r="T36" s="1014">
        <f t="shared" si="7"/>
        <v>0.57469500000000018</v>
      </c>
    </row>
    <row r="37" spans="2:20" ht="14.4">
      <c r="B37" s="1134">
        <v>4099677</v>
      </c>
      <c r="C37" s="1223"/>
      <c r="D37" s="1134">
        <v>82619</v>
      </c>
      <c r="E37" s="1148">
        <v>42121</v>
      </c>
      <c r="F37" s="1134">
        <v>11</v>
      </c>
      <c r="G37" s="1134">
        <v>41</v>
      </c>
      <c r="H37" s="1137">
        <v>1250</v>
      </c>
      <c r="I37" s="1141">
        <v>757</v>
      </c>
      <c r="J37" s="1148"/>
      <c r="K37" s="1148">
        <v>42121</v>
      </c>
      <c r="L37" s="269">
        <f t="shared" si="0"/>
        <v>2</v>
      </c>
      <c r="M37" s="1224">
        <f t="shared" si="1"/>
        <v>137.50</v>
      </c>
      <c r="N37" s="269" t="str">
        <f t="shared" si="2"/>
        <v>R11 to R30</v>
      </c>
      <c r="O37" s="1087">
        <f t="shared" si="3"/>
        <v>4025.0000000000005</v>
      </c>
      <c r="P37" s="269">
        <f t="shared" si="4"/>
        <v>1</v>
      </c>
      <c r="Q37" s="269" t="str">
        <f t="shared" si="5"/>
        <v/>
      </c>
      <c r="R37" s="1155"/>
      <c r="S37" s="1087">
        <f t="shared" si="6"/>
        <v>597</v>
      </c>
      <c r="T37" s="1014">
        <f t="shared" si="7"/>
        <v>0.57469500000000018</v>
      </c>
    </row>
    <row r="38" spans="2:20" ht="14.4">
      <c r="B38" s="1134">
        <v>3549698</v>
      </c>
      <c r="C38" s="1223"/>
      <c r="D38" s="1134">
        <v>118967</v>
      </c>
      <c r="E38" s="1148">
        <v>42103</v>
      </c>
      <c r="F38" s="1134">
        <v>9</v>
      </c>
      <c r="G38" s="1134">
        <v>30</v>
      </c>
      <c r="H38" s="1137">
        <v>1800</v>
      </c>
      <c r="I38" s="1141">
        <v>1170</v>
      </c>
      <c r="J38" s="1148"/>
      <c r="K38" s="1148">
        <v>42103</v>
      </c>
      <c r="L38" s="269">
        <f t="shared" si="0"/>
        <v>2</v>
      </c>
      <c r="M38" s="1224">
        <f t="shared" si="1"/>
        <v>198</v>
      </c>
      <c r="N38" s="269" t="str">
        <f t="shared" si="2"/>
        <v>R11 to R30</v>
      </c>
      <c r="O38" s="1087">
        <f t="shared" si="3"/>
        <v>5796</v>
      </c>
      <c r="P38" s="269">
        <f t="shared" si="4"/>
        <v>1</v>
      </c>
      <c r="Q38" s="269" t="str">
        <f t="shared" si="5"/>
        <v/>
      </c>
      <c r="R38" s="1155"/>
      <c r="S38" s="1087">
        <f t="shared" si="6"/>
        <v>597</v>
      </c>
      <c r="T38" s="1014">
        <f t="shared" si="7"/>
        <v>0.57469500000000018</v>
      </c>
    </row>
    <row r="39" spans="2:20" ht="14.4">
      <c r="B39" s="1134">
        <v>7938673</v>
      </c>
      <c r="C39" s="1223"/>
      <c r="D39" s="1134">
        <v>101148</v>
      </c>
      <c r="E39" s="1148">
        <v>42130</v>
      </c>
      <c r="F39" s="1134">
        <v>11</v>
      </c>
      <c r="G39" s="1134">
        <v>30</v>
      </c>
      <c r="H39" s="1137">
        <v>1800</v>
      </c>
      <c r="I39" s="1141">
        <v>900</v>
      </c>
      <c r="J39" s="1148"/>
      <c r="K39" s="1148">
        <v>42130</v>
      </c>
      <c r="L39" s="269">
        <f t="shared" si="0"/>
        <v>2</v>
      </c>
      <c r="M39" s="1224">
        <f t="shared" si="1"/>
        <v>198</v>
      </c>
      <c r="N39" s="269" t="str">
        <f t="shared" si="2"/>
        <v>R11 to R30</v>
      </c>
      <c r="O39" s="1087">
        <f t="shared" si="3"/>
        <v>5796</v>
      </c>
      <c r="P39" s="269">
        <f t="shared" si="4"/>
        <v>1</v>
      </c>
      <c r="Q39" s="269" t="str">
        <f t="shared" si="5"/>
        <v/>
      </c>
      <c r="R39" s="1155"/>
      <c r="S39" s="1087">
        <f t="shared" si="6"/>
        <v>597</v>
      </c>
      <c r="T39" s="1014">
        <f t="shared" si="7"/>
        <v>0.57469500000000018</v>
      </c>
    </row>
    <row r="40" spans="2:20" ht="14.4">
      <c r="B40" s="1134">
        <v>4703997</v>
      </c>
      <c r="C40" s="1223"/>
      <c r="D40" s="1134">
        <v>356756</v>
      </c>
      <c r="E40" s="1148">
        <v>42126</v>
      </c>
      <c r="F40" s="1134">
        <v>12</v>
      </c>
      <c r="G40" s="1134">
        <v>30</v>
      </c>
      <c r="H40" s="1137">
        <v>2000</v>
      </c>
      <c r="I40" s="1141">
        <v>1600</v>
      </c>
      <c r="J40" s="1148"/>
      <c r="K40" s="1148">
        <v>42126</v>
      </c>
      <c r="L40" s="269">
        <f t="shared" si="0"/>
        <v>2</v>
      </c>
      <c r="M40" s="1224">
        <f t="shared" si="1"/>
        <v>220</v>
      </c>
      <c r="N40" s="269" t="str">
        <f t="shared" si="2"/>
        <v>R19 to R30</v>
      </c>
      <c r="O40" s="1087">
        <f t="shared" si="3"/>
        <v>2080</v>
      </c>
      <c r="P40" s="269">
        <f t="shared" si="4"/>
        <v>1</v>
      </c>
      <c r="Q40" s="269" t="str">
        <f t="shared" si="5"/>
        <v/>
      </c>
      <c r="R40" s="1155"/>
      <c r="S40" s="1087">
        <f t="shared" si="6"/>
        <v>158</v>
      </c>
      <c r="T40" s="1014">
        <f t="shared" si="7"/>
        <v>0.18262500000000026</v>
      </c>
    </row>
    <row r="41" spans="2:20" ht="14.4">
      <c r="B41" s="1134">
        <v>8914628</v>
      </c>
      <c r="C41" s="1223"/>
      <c r="D41" s="1134">
        <v>87912</v>
      </c>
      <c r="E41" s="1148">
        <v>42125</v>
      </c>
      <c r="F41" s="1134">
        <v>6</v>
      </c>
      <c r="G41" s="1134">
        <v>38</v>
      </c>
      <c r="H41" s="1137">
        <v>920</v>
      </c>
      <c r="I41" s="1141">
        <v>598</v>
      </c>
      <c r="J41" s="1148"/>
      <c r="K41" s="1148">
        <v>42125</v>
      </c>
      <c r="L41" s="269">
        <f t="shared" si="0"/>
        <v>2</v>
      </c>
      <c r="M41" s="1224">
        <f t="shared" si="1"/>
        <v>101.20</v>
      </c>
      <c r="N41" s="269" t="str">
        <f t="shared" si="2"/>
        <v>R11 to R30</v>
      </c>
      <c r="O41" s="1087">
        <f t="shared" si="3"/>
        <v>2962.40</v>
      </c>
      <c r="P41" s="269">
        <f t="shared" si="4"/>
        <v>1</v>
      </c>
      <c r="Q41" s="269" t="str">
        <f t="shared" si="5"/>
        <v/>
      </c>
      <c r="R41" s="1155"/>
      <c r="S41" s="1087">
        <f t="shared" si="6"/>
        <v>597</v>
      </c>
      <c r="T41" s="1014">
        <f t="shared" si="7"/>
        <v>0.57469500000000018</v>
      </c>
    </row>
    <row r="42" spans="2:20" ht="14.4">
      <c r="B42" s="1134">
        <v>8853916</v>
      </c>
      <c r="C42" s="1223"/>
      <c r="D42" s="1134">
        <v>220568</v>
      </c>
      <c r="E42" s="1148">
        <v>42123</v>
      </c>
      <c r="F42" s="1134">
        <v>11</v>
      </c>
      <c r="G42" s="1134">
        <v>38</v>
      </c>
      <c r="H42" s="1137">
        <v>2200</v>
      </c>
      <c r="I42" s="1141">
        <v>1650</v>
      </c>
      <c r="J42" s="1148"/>
      <c r="K42" s="1148">
        <v>42123</v>
      </c>
      <c r="L42" s="269">
        <f t="shared" si="0"/>
        <v>2</v>
      </c>
      <c r="M42" s="1224">
        <f t="shared" si="1"/>
        <v>242</v>
      </c>
      <c r="N42" s="269" t="str">
        <f t="shared" si="2"/>
        <v>R11 to R30</v>
      </c>
      <c r="O42" s="1087">
        <f t="shared" si="3"/>
        <v>7084</v>
      </c>
      <c r="P42" s="269">
        <f t="shared" si="4"/>
        <v>1</v>
      </c>
      <c r="Q42" s="269" t="str">
        <f t="shared" si="5"/>
        <v/>
      </c>
      <c r="R42" s="1155"/>
      <c r="S42" s="1087">
        <f t="shared" si="6"/>
        <v>597</v>
      </c>
      <c r="T42" s="1014">
        <f t="shared" si="7"/>
        <v>0.57469500000000018</v>
      </c>
    </row>
    <row r="43" spans="2:20" ht="14.4">
      <c r="B43" s="1134">
        <v>8906979</v>
      </c>
      <c r="C43" s="1223"/>
      <c r="D43" s="1134">
        <v>111470</v>
      </c>
      <c r="E43" s="1148">
        <v>42162</v>
      </c>
      <c r="F43" s="1134">
        <v>0</v>
      </c>
      <c r="G43" s="1134">
        <v>30</v>
      </c>
      <c r="H43" s="1137">
        <v>264</v>
      </c>
      <c r="I43" s="1141">
        <v>160.50</v>
      </c>
      <c r="J43" s="1148"/>
      <c r="K43" s="1148">
        <v>42162</v>
      </c>
      <c r="L43" s="269">
        <f t="shared" si="0"/>
        <v>2</v>
      </c>
      <c r="M43" s="1224">
        <f t="shared" si="1"/>
        <v>29.04</v>
      </c>
      <c r="N43" s="269" t="str">
        <f t="shared" si="2"/>
        <v>R0 to R19</v>
      </c>
      <c r="O43" s="1087">
        <f t="shared" si="3"/>
        <v>919.60</v>
      </c>
      <c r="P43" s="269">
        <f t="shared" si="4"/>
        <v>1</v>
      </c>
      <c r="Q43" s="269" t="str">
        <f t="shared" si="5"/>
        <v/>
      </c>
      <c r="R43" s="1155"/>
      <c r="S43" s="1087">
        <f t="shared" si="6"/>
        <v>3663</v>
      </c>
      <c r="T43" s="1014">
        <f t="shared" si="7"/>
        <v>2.608635</v>
      </c>
    </row>
    <row r="44" spans="2:20" ht="14.4">
      <c r="B44" s="1134">
        <v>5845904</v>
      </c>
      <c r="C44" s="1223"/>
      <c r="D44" s="1134">
        <v>84668</v>
      </c>
      <c r="E44" s="1148">
        <v>42141</v>
      </c>
      <c r="F44" s="1134">
        <v>9</v>
      </c>
      <c r="G44" s="1134">
        <v>38</v>
      </c>
      <c r="H44" s="1137">
        <v>4256</v>
      </c>
      <c r="I44" s="1141">
        <v>4517</v>
      </c>
      <c r="J44" s="1148"/>
      <c r="K44" s="1148">
        <v>42141</v>
      </c>
      <c r="L44" s="269">
        <f t="shared" si="0"/>
        <v>2</v>
      </c>
      <c r="M44" s="1224">
        <f t="shared" si="1"/>
        <v>468.16</v>
      </c>
      <c r="N44" s="269" t="str">
        <f t="shared" si="2"/>
        <v>R11 to R30</v>
      </c>
      <c r="O44" s="1087">
        <f t="shared" si="3"/>
        <v>13704.320000000002</v>
      </c>
      <c r="P44" s="269">
        <f t="shared" si="4"/>
        <v>1</v>
      </c>
      <c r="Q44" s="269" t="str">
        <f t="shared" si="5"/>
        <v/>
      </c>
      <c r="R44" s="1155"/>
      <c r="S44" s="1087">
        <f t="shared" si="6"/>
        <v>597</v>
      </c>
      <c r="T44" s="1014">
        <f t="shared" si="7"/>
        <v>0.57469500000000018</v>
      </c>
    </row>
    <row r="45" spans="2:20" ht="14.4">
      <c r="B45" s="1134">
        <v>1351642</v>
      </c>
      <c r="C45" s="1223"/>
      <c r="D45" s="1134">
        <v>135164</v>
      </c>
      <c r="E45" s="1148">
        <v>42150</v>
      </c>
      <c r="F45" s="1134">
        <v>11</v>
      </c>
      <c r="G45" s="1134">
        <v>30</v>
      </c>
      <c r="H45" s="1137">
        <v>1100</v>
      </c>
      <c r="I45" s="1141">
        <v>680</v>
      </c>
      <c r="J45" s="1148"/>
      <c r="K45" s="1148">
        <v>42150</v>
      </c>
      <c r="L45" s="269">
        <f t="shared" si="0"/>
        <v>2</v>
      </c>
      <c r="M45" s="1224">
        <f t="shared" si="1"/>
        <v>121</v>
      </c>
      <c r="N45" s="269" t="str">
        <f t="shared" si="2"/>
        <v>R11 to R30</v>
      </c>
      <c r="O45" s="1087">
        <f t="shared" si="3"/>
        <v>3542</v>
      </c>
      <c r="P45" s="269">
        <f t="shared" si="4"/>
        <v>1</v>
      </c>
      <c r="Q45" s="269" t="str">
        <f t="shared" si="5"/>
        <v/>
      </c>
      <c r="R45" s="1155"/>
      <c r="S45" s="1087">
        <f t="shared" si="6"/>
        <v>597</v>
      </c>
      <c r="T45" s="1014">
        <f t="shared" si="7"/>
        <v>0.57469500000000018</v>
      </c>
    </row>
    <row r="46" spans="2:20" ht="14.4">
      <c r="B46" s="1134">
        <v>8914788</v>
      </c>
      <c r="C46" s="1223"/>
      <c r="D46" s="1134">
        <v>390676</v>
      </c>
      <c r="E46" s="1148">
        <v>42145</v>
      </c>
      <c r="F46" s="1134">
        <v>8</v>
      </c>
      <c r="G46" s="1134">
        <v>30</v>
      </c>
      <c r="H46" s="1137">
        <v>1433</v>
      </c>
      <c r="I46" s="1141">
        <v>931</v>
      </c>
      <c r="J46" s="1148"/>
      <c r="K46" s="1148">
        <v>42145</v>
      </c>
      <c r="L46" s="269">
        <f t="shared" si="0"/>
        <v>2</v>
      </c>
      <c r="M46" s="1224">
        <f t="shared" si="1"/>
        <v>157.63</v>
      </c>
      <c r="N46" s="269" t="str">
        <f t="shared" si="2"/>
        <v>R11 to R30</v>
      </c>
      <c r="O46" s="1087">
        <f t="shared" si="3"/>
        <v>4614.26</v>
      </c>
      <c r="P46" s="269">
        <f t="shared" si="4"/>
        <v>1</v>
      </c>
      <c r="Q46" s="269" t="str">
        <f t="shared" si="5"/>
        <v/>
      </c>
      <c r="R46" s="1155"/>
      <c r="S46" s="1087">
        <f t="shared" si="6"/>
        <v>597</v>
      </c>
      <c r="T46" s="1014">
        <f t="shared" si="7"/>
        <v>0.57469500000000018</v>
      </c>
    </row>
    <row r="47" spans="2:20" ht="14.4">
      <c r="B47" s="1134">
        <v>7687924</v>
      </c>
      <c r="C47" s="1223"/>
      <c r="D47" s="1134">
        <v>90297</v>
      </c>
      <c r="E47" s="1148">
        <v>42098</v>
      </c>
      <c r="F47" s="1134">
        <v>11</v>
      </c>
      <c r="G47" s="1134">
        <v>38</v>
      </c>
      <c r="H47" s="1137">
        <v>1812</v>
      </c>
      <c r="I47" s="1141">
        <v>1888</v>
      </c>
      <c r="J47" s="1148"/>
      <c r="K47" s="1148">
        <v>42098</v>
      </c>
      <c r="L47" s="269">
        <f t="shared" si="0"/>
        <v>2</v>
      </c>
      <c r="M47" s="1224">
        <f t="shared" si="1"/>
        <v>199.32</v>
      </c>
      <c r="N47" s="269" t="str">
        <f t="shared" si="2"/>
        <v>R11 to R30</v>
      </c>
      <c r="O47" s="1087">
        <f t="shared" si="3"/>
        <v>5834.64</v>
      </c>
      <c r="P47" s="269">
        <f t="shared" si="4"/>
        <v>1</v>
      </c>
      <c r="Q47" s="269" t="str">
        <f t="shared" si="5"/>
        <v/>
      </c>
      <c r="R47" s="1155"/>
      <c r="S47" s="1087">
        <f t="shared" si="6"/>
        <v>597</v>
      </c>
      <c r="T47" s="1014">
        <f t="shared" si="7"/>
        <v>0.57469500000000018</v>
      </c>
    </row>
    <row r="48" spans="2:20" ht="14.4">
      <c r="B48" s="1134">
        <v>8882187</v>
      </c>
      <c r="C48" s="1223"/>
      <c r="D48" s="1134">
        <v>158213</v>
      </c>
      <c r="E48" s="1148">
        <v>42122</v>
      </c>
      <c r="F48" s="1134">
        <v>11</v>
      </c>
      <c r="G48" s="1134">
        <v>30</v>
      </c>
      <c r="H48" s="1137">
        <v>2457</v>
      </c>
      <c r="I48" s="1141">
        <v>1350</v>
      </c>
      <c r="J48" s="1148"/>
      <c r="K48" s="1148">
        <v>42122</v>
      </c>
      <c r="L48" s="269">
        <f t="shared" si="0"/>
        <v>2</v>
      </c>
      <c r="M48" s="1224">
        <f t="shared" si="1"/>
        <v>270.27</v>
      </c>
      <c r="N48" s="269" t="str">
        <f t="shared" si="2"/>
        <v>R11 to R30</v>
      </c>
      <c r="O48" s="1087">
        <f t="shared" si="3"/>
        <v>7911.5400000000009</v>
      </c>
      <c r="P48" s="269">
        <f t="shared" si="4"/>
        <v>1</v>
      </c>
      <c r="Q48" s="269" t="str">
        <f t="shared" si="5"/>
        <v/>
      </c>
      <c r="R48" s="1155"/>
      <c r="S48" s="1087">
        <f t="shared" si="6"/>
        <v>597</v>
      </c>
      <c r="T48" s="1014">
        <f t="shared" si="7"/>
        <v>0.57469500000000018</v>
      </c>
    </row>
    <row r="49" spans="2:20" ht="14.4">
      <c r="B49" s="1134">
        <v>2143618</v>
      </c>
      <c r="C49" s="1223"/>
      <c r="D49" s="1134">
        <v>99164</v>
      </c>
      <c r="E49" s="1148">
        <v>42173</v>
      </c>
      <c r="F49" s="1134">
        <v>11</v>
      </c>
      <c r="G49" s="1134">
        <v>30</v>
      </c>
      <c r="H49" s="1137">
        <v>1400</v>
      </c>
      <c r="I49" s="1141">
        <v>825</v>
      </c>
      <c r="J49" s="1148"/>
      <c r="K49" s="1148">
        <v>42173</v>
      </c>
      <c r="L49" s="269">
        <f t="shared" si="0"/>
        <v>2</v>
      </c>
      <c r="M49" s="1224">
        <f t="shared" si="1"/>
        <v>154</v>
      </c>
      <c r="N49" s="269" t="str">
        <f t="shared" si="2"/>
        <v>R11 to R30</v>
      </c>
      <c r="O49" s="1087">
        <f t="shared" si="3"/>
        <v>4508</v>
      </c>
      <c r="P49" s="269">
        <f t="shared" si="4"/>
        <v>1</v>
      </c>
      <c r="Q49" s="269" t="str">
        <f t="shared" si="5"/>
        <v/>
      </c>
      <c r="R49" s="1155"/>
      <c r="S49" s="1087">
        <f t="shared" si="6"/>
        <v>597</v>
      </c>
      <c r="T49" s="1014">
        <f t="shared" si="7"/>
        <v>0.57469500000000018</v>
      </c>
    </row>
    <row r="50" spans="2:20" ht="14.4">
      <c r="B50" s="1134">
        <v>1622287</v>
      </c>
      <c r="C50" s="1223"/>
      <c r="D50" s="1134">
        <v>162428</v>
      </c>
      <c r="E50" s="1148">
        <v>42163</v>
      </c>
      <c r="F50" s="1134">
        <v>11</v>
      </c>
      <c r="G50" s="1134">
        <v>38</v>
      </c>
      <c r="H50" s="1137">
        <v>1500</v>
      </c>
      <c r="I50" s="1141">
        <v>1005</v>
      </c>
      <c r="J50" s="1148"/>
      <c r="K50" s="1148">
        <v>42163</v>
      </c>
      <c r="L50" s="269">
        <f t="shared" si="0"/>
        <v>2</v>
      </c>
      <c r="M50" s="1224">
        <f t="shared" si="1"/>
        <v>165</v>
      </c>
      <c r="N50" s="269" t="str">
        <f t="shared" si="2"/>
        <v>R11 to R30</v>
      </c>
      <c r="O50" s="1087">
        <f t="shared" si="3"/>
        <v>4830</v>
      </c>
      <c r="P50" s="269">
        <f t="shared" si="4"/>
        <v>1</v>
      </c>
      <c r="Q50" s="269" t="str">
        <f t="shared" si="5"/>
        <v/>
      </c>
      <c r="R50" s="1155"/>
      <c r="S50" s="1087">
        <f t="shared" si="6"/>
        <v>597</v>
      </c>
      <c r="T50" s="1014">
        <f t="shared" si="7"/>
        <v>0.57469500000000018</v>
      </c>
    </row>
    <row r="51" spans="2:20" ht="14.4">
      <c r="B51" s="1134">
        <v>8919064</v>
      </c>
      <c r="C51" s="1223"/>
      <c r="D51" s="1134">
        <v>189896</v>
      </c>
      <c r="E51" s="1148">
        <v>42174</v>
      </c>
      <c r="F51" s="1134">
        <v>3</v>
      </c>
      <c r="G51" s="1134">
        <v>30</v>
      </c>
      <c r="H51" s="1137">
        <v>1790</v>
      </c>
      <c r="I51" s="1141">
        <v>1342</v>
      </c>
      <c r="J51" s="1148"/>
      <c r="K51" s="1148">
        <v>42174</v>
      </c>
      <c r="L51" s="269">
        <f t="shared" si="0"/>
        <v>2</v>
      </c>
      <c r="M51" s="1224">
        <f t="shared" si="1"/>
        <v>196.90</v>
      </c>
      <c r="N51" s="269" t="str">
        <f t="shared" si="2"/>
        <v>R11 to R30</v>
      </c>
      <c r="O51" s="1087">
        <f t="shared" si="3"/>
        <v>5763.80</v>
      </c>
      <c r="P51" s="269">
        <f t="shared" si="4"/>
        <v>1</v>
      </c>
      <c r="Q51" s="269" t="str">
        <f t="shared" si="5"/>
        <v/>
      </c>
      <c r="R51" s="1155"/>
      <c r="S51" s="1087">
        <f t="shared" si="6"/>
        <v>597</v>
      </c>
      <c r="T51" s="1014">
        <f t="shared" si="7"/>
        <v>0.57469500000000018</v>
      </c>
    </row>
    <row r="52" spans="2:20" ht="14.4">
      <c r="B52" s="1134">
        <v>915199</v>
      </c>
      <c r="C52" s="1223"/>
      <c r="D52" s="1134">
        <v>91519</v>
      </c>
      <c r="E52" s="1148">
        <v>42144</v>
      </c>
      <c r="F52" s="1134">
        <v>15</v>
      </c>
      <c r="G52" s="1134">
        <v>34</v>
      </c>
      <c r="H52" s="1137">
        <v>2048</v>
      </c>
      <c r="I52" s="1141">
        <v>1330</v>
      </c>
      <c r="J52" s="1148"/>
      <c r="K52" s="1148">
        <v>42144</v>
      </c>
      <c r="L52" s="269">
        <f t="shared" si="8" ref="L52:L83">IF(MAX(J52,K52)&lt;40000,"",ROUNDUP(MONTH(MAX(J52,K52))/3,0))</f>
        <v>2</v>
      </c>
      <c r="M52" s="1224">
        <f t="shared" si="9" ref="M52:M83">IF(B52="","",$M$9*H52)</f>
        <v>225.28</v>
      </c>
      <c r="N52" s="269" t="str">
        <f t="shared" si="10" ref="N52:N83">IF(B52="","",IF(J52&gt;0,"Denied",IF(AND(F52&lt;=1,G52&gt;=19),"R0 to R19",IF(AND(F52&lt;=11,G52&gt;=30),"R11 to R30",IF(AND(F52&lt;=11,G52&gt;=19),"R11 to R19",IF(AND(F52&lt;=19,G52&gt;=30),"R19 to R30","R19 to R30"))))))</f>
        <v>R19 to R30</v>
      </c>
      <c r="O52" s="1087">
        <f t="shared" si="11" ref="O52:O83">IF($B52="","",IFERROR($H52*VLOOKUP($N52,$L$4:$M$7,2,FALSE),0))</f>
        <v>2129.92</v>
      </c>
      <c r="P52" s="269">
        <f t="shared" si="12" ref="P52:P83">IF(K52&gt;0,1,"")</f>
        <v>1</v>
      </c>
      <c r="Q52" s="269" t="str">
        <f t="shared" si="13" ref="Q52:Q83">IF(J52&gt;0,1,"")</f>
        <v/>
      </c>
      <c r="R52" s="1155"/>
      <c r="S52" s="1087">
        <f t="shared" si="14" ref="S52:S83">IF($B52="","",IFERROR(VLOOKUP($N52,$L$4:$P$7,4,FALSE),0))</f>
        <v>158</v>
      </c>
      <c r="T52" s="1014">
        <f t="shared" si="7"/>
        <v>0.18262500000000026</v>
      </c>
    </row>
    <row r="53" spans="2:20" ht="14.4">
      <c r="B53" s="1134">
        <v>7830417</v>
      </c>
      <c r="C53" s="1223"/>
      <c r="D53" s="1134">
        <v>185616</v>
      </c>
      <c r="E53" s="1148">
        <v>41786</v>
      </c>
      <c r="F53" s="1134">
        <v>11</v>
      </c>
      <c r="G53" s="1134">
        <v>38</v>
      </c>
      <c r="H53" s="1137">
        <v>2432</v>
      </c>
      <c r="I53" s="1141">
        <v>1824</v>
      </c>
      <c r="J53" s="1148"/>
      <c r="K53" s="1148">
        <v>41786</v>
      </c>
      <c r="L53" s="269">
        <f t="shared" si="8"/>
        <v>2</v>
      </c>
      <c r="M53" s="1224">
        <f t="shared" si="9"/>
        <v>267.52</v>
      </c>
      <c r="N53" s="269" t="str">
        <f t="shared" si="10"/>
        <v>R11 to R30</v>
      </c>
      <c r="O53" s="1087">
        <f t="shared" si="11"/>
        <v>7831.0400000000009</v>
      </c>
      <c r="P53" s="269">
        <f t="shared" si="12"/>
        <v>1</v>
      </c>
      <c r="Q53" s="269" t="str">
        <f t="shared" si="13"/>
        <v/>
      </c>
      <c r="R53" s="1155"/>
      <c r="S53" s="1087">
        <f t="shared" si="14"/>
        <v>597</v>
      </c>
      <c r="T53" s="1014">
        <f t="shared" si="7"/>
        <v>0.57469500000000018</v>
      </c>
    </row>
    <row r="54" spans="2:20" ht="14.4">
      <c r="B54" s="1134">
        <v>8725525</v>
      </c>
      <c r="C54" s="1223"/>
      <c r="D54" s="1134">
        <v>95330</v>
      </c>
      <c r="E54" s="1148">
        <v>42194</v>
      </c>
      <c r="F54" s="1134">
        <v>16</v>
      </c>
      <c r="G54" s="1134">
        <v>30</v>
      </c>
      <c r="H54" s="1137">
        <v>2650</v>
      </c>
      <c r="I54" s="1141">
        <v>877</v>
      </c>
      <c r="J54" s="1148"/>
      <c r="K54" s="1148">
        <v>42194</v>
      </c>
      <c r="L54" s="269">
        <f t="shared" si="8"/>
        <v>3</v>
      </c>
      <c r="M54" s="1224">
        <f t="shared" si="9"/>
        <v>291.50</v>
      </c>
      <c r="N54" s="269" t="str">
        <f t="shared" si="10"/>
        <v>R19 to R30</v>
      </c>
      <c r="O54" s="1087">
        <f t="shared" si="11"/>
        <v>2756</v>
      </c>
      <c r="P54" s="269">
        <f t="shared" si="12"/>
        <v>1</v>
      </c>
      <c r="Q54" s="269" t="str">
        <f t="shared" si="13"/>
        <v/>
      </c>
      <c r="R54" s="1155"/>
      <c r="S54" s="1087">
        <f t="shared" si="14"/>
        <v>158</v>
      </c>
      <c r="T54" s="1014">
        <f t="shared" si="7"/>
        <v>0.18262500000000026</v>
      </c>
    </row>
    <row r="55" spans="2:20" ht="14.4">
      <c r="B55" s="1134"/>
      <c r="C55" s="1185"/>
      <c r="D55" s="1134">
        <v>730278</v>
      </c>
      <c r="E55" s="1148">
        <v>42187</v>
      </c>
      <c r="F55" s="1134">
        <v>6</v>
      </c>
      <c r="G55" s="1134">
        <v>30</v>
      </c>
      <c r="H55" s="1137">
        <v>1750</v>
      </c>
      <c r="I55" s="1141">
        <v>3678.21</v>
      </c>
      <c r="J55" s="1148"/>
      <c r="K55" s="1148">
        <v>42187</v>
      </c>
      <c r="L55" s="269">
        <f t="shared" si="8"/>
        <v>3</v>
      </c>
      <c r="M55" s="1224" t="str">
        <f t="shared" si="9"/>
        <v/>
      </c>
      <c r="N55" s="269" t="str">
        <f t="shared" si="10"/>
        <v/>
      </c>
      <c r="O55" s="1087" t="str">
        <f t="shared" si="11"/>
        <v/>
      </c>
      <c r="P55" s="269">
        <f t="shared" si="12"/>
        <v>1</v>
      </c>
      <c r="Q55" s="269" t="str">
        <f t="shared" si="13"/>
        <v/>
      </c>
      <c r="R55" s="1155"/>
      <c r="S55" s="1087" t="str">
        <f t="shared" si="14"/>
        <v/>
      </c>
      <c r="T55" s="1014" t="str">
        <f t="shared" si="7"/>
        <v/>
      </c>
    </row>
    <row r="56" spans="2:20" ht="14.4">
      <c r="B56" s="1134">
        <v>4099677</v>
      </c>
      <c r="C56" s="1185"/>
      <c r="D56" s="1134">
        <v>82619</v>
      </c>
      <c r="E56" s="1148">
        <v>42108</v>
      </c>
      <c r="F56" s="1134">
        <v>17</v>
      </c>
      <c r="G56" s="1134">
        <v>30</v>
      </c>
      <c r="H56" s="1137">
        <v>1378</v>
      </c>
      <c r="I56" s="1141">
        <v>757</v>
      </c>
      <c r="J56" s="1148"/>
      <c r="K56" s="1148">
        <v>42108</v>
      </c>
      <c r="L56" s="269">
        <f t="shared" si="8"/>
        <v>2</v>
      </c>
      <c r="M56" s="1224">
        <f t="shared" si="9"/>
        <v>151.58000000000001</v>
      </c>
      <c r="N56" s="269" t="str">
        <f t="shared" si="10"/>
        <v>R19 to R30</v>
      </c>
      <c r="O56" s="1087">
        <f t="shared" si="11"/>
        <v>1433.12</v>
      </c>
      <c r="P56" s="269">
        <f t="shared" si="12"/>
        <v>1</v>
      </c>
      <c r="Q56" s="269" t="str">
        <f t="shared" si="13"/>
        <v/>
      </c>
      <c r="R56" s="1155"/>
      <c r="S56" s="1087">
        <f t="shared" si="14"/>
        <v>158</v>
      </c>
      <c r="T56" s="1014">
        <f t="shared" si="7"/>
        <v>0.18262500000000026</v>
      </c>
    </row>
    <row r="57" spans="2:20" ht="14.4">
      <c r="B57" s="1134">
        <v>8900564</v>
      </c>
      <c r="C57" s="1185"/>
      <c r="D57" s="1134">
        <v>280345</v>
      </c>
      <c r="E57" s="1148">
        <v>42198</v>
      </c>
      <c r="F57" s="1134">
        <v>0</v>
      </c>
      <c r="G57" s="1134">
        <v>38</v>
      </c>
      <c r="H57" s="1137">
        <v>4000</v>
      </c>
      <c r="I57" s="1141">
        <v>5985</v>
      </c>
      <c r="J57" s="1148"/>
      <c r="K57" s="1148">
        <v>42198</v>
      </c>
      <c r="L57" s="269">
        <f t="shared" si="8"/>
        <v>3</v>
      </c>
      <c r="M57" s="1224">
        <f t="shared" si="9"/>
        <v>440</v>
      </c>
      <c r="N57" s="269" t="str">
        <f t="shared" si="10"/>
        <v>R0 to R19</v>
      </c>
      <c r="O57" s="1087">
        <f t="shared" si="11"/>
        <v>13933.333333333334</v>
      </c>
      <c r="P57" s="269">
        <f t="shared" si="12"/>
        <v>1</v>
      </c>
      <c r="Q57" s="269" t="str">
        <f t="shared" si="13"/>
        <v/>
      </c>
      <c r="R57" s="1155"/>
      <c r="S57" s="1087">
        <f t="shared" si="14"/>
        <v>3663</v>
      </c>
      <c r="T57" s="1014">
        <f t="shared" si="7"/>
        <v>2.608635</v>
      </c>
    </row>
    <row r="58" spans="2:20" ht="14.4">
      <c r="B58" s="1134">
        <v>1525070</v>
      </c>
      <c r="C58" s="1185"/>
      <c r="D58" s="1134">
        <v>152507</v>
      </c>
      <c r="E58" s="1148">
        <v>42018</v>
      </c>
      <c r="F58" s="1134">
        <v>0</v>
      </c>
      <c r="G58" s="1134">
        <v>30</v>
      </c>
      <c r="H58" s="1137">
        <v>1140</v>
      </c>
      <c r="I58" s="1141">
        <v>1445</v>
      </c>
      <c r="J58" s="1148"/>
      <c r="K58" s="1148">
        <v>42018</v>
      </c>
      <c r="L58" s="269">
        <f t="shared" si="8"/>
        <v>1</v>
      </c>
      <c r="M58" s="1224">
        <f t="shared" si="9"/>
        <v>125.40</v>
      </c>
      <c r="N58" s="269" t="str">
        <f t="shared" si="10"/>
        <v>R0 to R19</v>
      </c>
      <c r="O58" s="1087">
        <f t="shared" si="11"/>
        <v>3971</v>
      </c>
      <c r="P58" s="269">
        <f t="shared" si="12"/>
        <v>1</v>
      </c>
      <c r="Q58" s="269" t="str">
        <f t="shared" si="13"/>
        <v/>
      </c>
      <c r="R58" s="1155"/>
      <c r="S58" s="1087">
        <f t="shared" si="14"/>
        <v>3663</v>
      </c>
      <c r="T58" s="1014">
        <f t="shared" si="7"/>
        <v>2.608635</v>
      </c>
    </row>
    <row r="59" spans="2:20" ht="14.4">
      <c r="B59" s="1134">
        <v>1078187</v>
      </c>
      <c r="C59" s="1185"/>
      <c r="D59" s="1134">
        <v>107818</v>
      </c>
      <c r="E59" s="1148">
        <v>42201</v>
      </c>
      <c r="F59" s="1134">
        <v>18</v>
      </c>
      <c r="G59" s="1134">
        <v>30</v>
      </c>
      <c r="H59" s="1137">
        <v>2316</v>
      </c>
      <c r="I59" s="1141">
        <v>1158</v>
      </c>
      <c r="J59" s="1148"/>
      <c r="K59" s="1148">
        <v>42201</v>
      </c>
      <c r="L59" s="269">
        <f t="shared" si="8"/>
        <v>3</v>
      </c>
      <c r="M59" s="1224">
        <f t="shared" si="9"/>
        <v>254.76</v>
      </c>
      <c r="N59" s="269" t="str">
        <f t="shared" si="10"/>
        <v>R19 to R30</v>
      </c>
      <c r="O59" s="1087">
        <f t="shared" si="11"/>
        <v>2408.64</v>
      </c>
      <c r="P59" s="269">
        <f t="shared" si="12"/>
        <v>1</v>
      </c>
      <c r="Q59" s="269" t="str">
        <f t="shared" si="13"/>
        <v/>
      </c>
      <c r="R59" s="1155"/>
      <c r="S59" s="1087">
        <f t="shared" si="14"/>
        <v>158</v>
      </c>
      <c r="T59" s="1014">
        <f t="shared" si="7"/>
        <v>0.18262500000000026</v>
      </c>
    </row>
    <row r="60" spans="2:20" ht="14.4">
      <c r="B60" s="1134">
        <v>3782398</v>
      </c>
      <c r="C60" s="1223"/>
      <c r="D60" s="1134">
        <v>378239</v>
      </c>
      <c r="E60" s="1148">
        <v>42160</v>
      </c>
      <c r="F60" s="1134">
        <v>16</v>
      </c>
      <c r="G60" s="1134">
        <v>38</v>
      </c>
      <c r="H60" s="1137">
        <v>2000</v>
      </c>
      <c r="I60" s="1141">
        <v>20645</v>
      </c>
      <c r="J60" s="1148"/>
      <c r="K60" s="1148">
        <v>42160</v>
      </c>
      <c r="L60" s="269">
        <f t="shared" si="8"/>
        <v>2</v>
      </c>
      <c r="M60" s="1224">
        <f t="shared" si="9"/>
        <v>220</v>
      </c>
      <c r="N60" s="269" t="str">
        <f t="shared" si="10"/>
        <v>R19 to R30</v>
      </c>
      <c r="O60" s="1087">
        <f t="shared" si="11"/>
        <v>2080</v>
      </c>
      <c r="P60" s="269">
        <f t="shared" si="12"/>
        <v>1</v>
      </c>
      <c r="Q60" s="269" t="str">
        <f t="shared" si="13"/>
        <v/>
      </c>
      <c r="R60" s="1155"/>
      <c r="S60" s="1087">
        <f t="shared" si="14"/>
        <v>158</v>
      </c>
      <c r="T60" s="1014">
        <f t="shared" si="7"/>
        <v>0.18262500000000026</v>
      </c>
    </row>
    <row r="61" spans="2:20" ht="14.4">
      <c r="B61" s="1134">
        <v>8840827</v>
      </c>
      <c r="C61" s="1223"/>
      <c r="D61" s="1134">
        <v>153614</v>
      </c>
      <c r="E61" s="1148">
        <v>42213</v>
      </c>
      <c r="F61" s="1134">
        <v>11</v>
      </c>
      <c r="G61" s="1134">
        <v>38</v>
      </c>
      <c r="H61" s="1137">
        <v>2400</v>
      </c>
      <c r="I61" s="1141">
        <v>1500</v>
      </c>
      <c r="J61" s="1148"/>
      <c r="K61" s="1148">
        <v>42213</v>
      </c>
      <c r="L61" s="269">
        <f t="shared" si="8"/>
        <v>3</v>
      </c>
      <c r="M61" s="1224">
        <f t="shared" si="9"/>
        <v>264</v>
      </c>
      <c r="N61" s="269" t="str">
        <f t="shared" si="10"/>
        <v>R11 to R30</v>
      </c>
      <c r="O61" s="1087">
        <f t="shared" si="11"/>
        <v>7728.0000000000009</v>
      </c>
      <c r="P61" s="269">
        <f t="shared" si="12"/>
        <v>1</v>
      </c>
      <c r="Q61" s="269" t="str">
        <f t="shared" si="13"/>
        <v/>
      </c>
      <c r="R61" s="1155"/>
      <c r="S61" s="1087">
        <f t="shared" si="14"/>
        <v>597</v>
      </c>
      <c r="T61" s="1014">
        <f t="shared" si="7"/>
        <v>0.57469500000000018</v>
      </c>
    </row>
    <row r="62" spans="2:20" ht="14.4">
      <c r="B62" s="1134">
        <v>8883565</v>
      </c>
      <c r="C62" s="1223"/>
      <c r="D62" s="1134">
        <v>172816</v>
      </c>
      <c r="E62" s="1148">
        <v>42202</v>
      </c>
      <c r="F62" s="1134">
        <v>10</v>
      </c>
      <c r="G62" s="1134">
        <v>35</v>
      </c>
      <c r="H62" s="1137">
        <v>3000</v>
      </c>
      <c r="I62" s="1141">
        <v>875</v>
      </c>
      <c r="J62" s="1148"/>
      <c r="K62" s="1148">
        <v>42202</v>
      </c>
      <c r="L62" s="269">
        <f t="shared" si="8"/>
        <v>3</v>
      </c>
      <c r="M62" s="1224">
        <f t="shared" si="9"/>
        <v>330</v>
      </c>
      <c r="N62" s="269" t="str">
        <f t="shared" si="10"/>
        <v>R11 to R30</v>
      </c>
      <c r="O62" s="1087">
        <f t="shared" si="11"/>
        <v>9660</v>
      </c>
      <c r="P62" s="269">
        <f t="shared" si="12"/>
        <v>1</v>
      </c>
      <c r="Q62" s="269" t="str">
        <f t="shared" si="13"/>
        <v/>
      </c>
      <c r="R62" s="1155"/>
      <c r="S62" s="1087">
        <f t="shared" si="14"/>
        <v>597</v>
      </c>
      <c r="T62" s="1014">
        <f t="shared" si="7"/>
        <v>0.57469500000000018</v>
      </c>
    </row>
    <row r="63" spans="2:20" ht="14.4">
      <c r="B63" s="1134">
        <v>1469444</v>
      </c>
      <c r="C63" s="1223"/>
      <c r="D63" s="1134">
        <v>146944</v>
      </c>
      <c r="E63" s="1148">
        <v>42160</v>
      </c>
      <c r="F63" s="1134">
        <v>11</v>
      </c>
      <c r="G63" s="1134">
        <v>30</v>
      </c>
      <c r="H63" s="1137">
        <v>2000</v>
      </c>
      <c r="I63" s="1141">
        <v>1000</v>
      </c>
      <c r="J63" s="1148"/>
      <c r="K63" s="1148">
        <v>42160</v>
      </c>
      <c r="L63" s="269">
        <f t="shared" si="8"/>
        <v>2</v>
      </c>
      <c r="M63" s="1224">
        <f t="shared" si="9"/>
        <v>220</v>
      </c>
      <c r="N63" s="269" t="str">
        <f t="shared" si="10"/>
        <v>R11 to R30</v>
      </c>
      <c r="O63" s="1087">
        <f t="shared" si="11"/>
        <v>6440</v>
      </c>
      <c r="P63" s="269">
        <f t="shared" si="12"/>
        <v>1</v>
      </c>
      <c r="Q63" s="269" t="str">
        <f t="shared" si="13"/>
        <v/>
      </c>
      <c r="R63" s="1155"/>
      <c r="S63" s="1087">
        <f t="shared" si="14"/>
        <v>597</v>
      </c>
      <c r="T63" s="1014">
        <f t="shared" si="7"/>
        <v>0.57469500000000018</v>
      </c>
    </row>
    <row r="64" spans="2:20" ht="14.4">
      <c r="B64" s="1134">
        <v>8825646</v>
      </c>
      <c r="C64" s="1223"/>
      <c r="D64" s="1134">
        <v>574966</v>
      </c>
      <c r="E64" s="1148">
        <v>42179</v>
      </c>
      <c r="F64" s="1134">
        <v>19</v>
      </c>
      <c r="G64" s="1134">
        <v>30</v>
      </c>
      <c r="H64" s="1137">
        <v>1971</v>
      </c>
      <c r="I64" s="1141">
        <v>1400</v>
      </c>
      <c r="J64" s="1148"/>
      <c r="K64" s="1148">
        <v>42179</v>
      </c>
      <c r="L64" s="269">
        <f t="shared" si="8"/>
        <v>2</v>
      </c>
      <c r="M64" s="1224">
        <f t="shared" si="9"/>
        <v>216.81</v>
      </c>
      <c r="N64" s="269" t="str">
        <f t="shared" si="10"/>
        <v>R19 to R30</v>
      </c>
      <c r="O64" s="1087">
        <f t="shared" si="11"/>
        <v>2049.84</v>
      </c>
      <c r="P64" s="269">
        <f t="shared" si="12"/>
        <v>1</v>
      </c>
      <c r="Q64" s="269" t="str">
        <f t="shared" si="13"/>
        <v/>
      </c>
      <c r="R64" s="1155"/>
      <c r="S64" s="1087">
        <f t="shared" si="14"/>
        <v>158</v>
      </c>
      <c r="T64" s="1014">
        <f t="shared" si="7"/>
        <v>0.18262500000000026</v>
      </c>
    </row>
    <row r="65" spans="2:20" ht="14.4">
      <c r="B65" s="1134">
        <v>1013572</v>
      </c>
      <c r="C65" s="1223"/>
      <c r="D65" s="1134">
        <v>101357</v>
      </c>
      <c r="E65" s="1148">
        <v>41770</v>
      </c>
      <c r="F65" s="1134">
        <v>4</v>
      </c>
      <c r="G65" s="1134">
        <v>30</v>
      </c>
      <c r="H65" s="1137">
        <v>1350</v>
      </c>
      <c r="I65" s="1141">
        <v>1800</v>
      </c>
      <c r="J65" s="1148"/>
      <c r="K65" s="1148">
        <v>41770</v>
      </c>
      <c r="L65" s="269">
        <f t="shared" si="8"/>
        <v>2</v>
      </c>
      <c r="M65" s="1224">
        <f t="shared" si="9"/>
        <v>148.50</v>
      </c>
      <c r="N65" s="269" t="str">
        <f t="shared" si="10"/>
        <v>R11 to R30</v>
      </c>
      <c r="O65" s="1087">
        <f t="shared" si="11"/>
        <v>4347</v>
      </c>
      <c r="P65" s="269">
        <f t="shared" si="12"/>
        <v>1</v>
      </c>
      <c r="Q65" s="269" t="str">
        <f t="shared" si="13"/>
        <v/>
      </c>
      <c r="R65" s="1155"/>
      <c r="S65" s="1087">
        <f t="shared" si="14"/>
        <v>597</v>
      </c>
      <c r="T65" s="1014">
        <f t="shared" si="7"/>
        <v>0.57469500000000018</v>
      </c>
    </row>
    <row r="66" spans="2:20" ht="14.4">
      <c r="B66" s="1134">
        <v>5785167</v>
      </c>
      <c r="C66" s="1223"/>
      <c r="D66" s="1134">
        <v>191171</v>
      </c>
      <c r="E66" s="1148">
        <v>42267</v>
      </c>
      <c r="F66" s="1134">
        <v>0</v>
      </c>
      <c r="G66" s="1134">
        <v>38</v>
      </c>
      <c r="H66" s="1137">
        <v>3559</v>
      </c>
      <c r="I66" s="1141">
        <v>3342.55</v>
      </c>
      <c r="J66" s="1148"/>
      <c r="K66" s="1148">
        <v>42267</v>
      </c>
      <c r="L66" s="269">
        <f t="shared" si="8"/>
        <v>3</v>
      </c>
      <c r="M66" s="1224">
        <f t="shared" si="9"/>
        <v>391.49</v>
      </c>
      <c r="N66" s="269" t="str">
        <f t="shared" si="10"/>
        <v>R0 to R19</v>
      </c>
      <c r="O66" s="1087">
        <f t="shared" si="11"/>
        <v>12397.183333333334</v>
      </c>
      <c r="P66" s="269">
        <f t="shared" si="12"/>
        <v>1</v>
      </c>
      <c r="Q66" s="269" t="str">
        <f t="shared" si="13"/>
        <v/>
      </c>
      <c r="R66" s="1155"/>
      <c r="S66" s="1087">
        <f t="shared" si="14"/>
        <v>3663</v>
      </c>
      <c r="T66" s="1014">
        <f t="shared" si="7"/>
        <v>2.608635</v>
      </c>
    </row>
    <row r="67" spans="2:20" ht="14.4">
      <c r="B67" s="1134">
        <v>6488027</v>
      </c>
      <c r="C67" s="1223"/>
      <c r="D67" s="1134">
        <v>197680</v>
      </c>
      <c r="E67" s="1148">
        <v>42229</v>
      </c>
      <c r="F67" s="1134">
        <v>11</v>
      </c>
      <c r="G67" s="1134">
        <v>30</v>
      </c>
      <c r="H67" s="1137">
        <v>1715</v>
      </c>
      <c r="I67" s="1141">
        <v>857</v>
      </c>
      <c r="J67" s="1148"/>
      <c r="K67" s="1148">
        <v>42229</v>
      </c>
      <c r="L67" s="269">
        <f t="shared" si="8"/>
        <v>3</v>
      </c>
      <c r="M67" s="1224">
        <f t="shared" si="9"/>
        <v>188.65</v>
      </c>
      <c r="N67" s="269" t="str">
        <f t="shared" si="10"/>
        <v>R11 to R30</v>
      </c>
      <c r="O67" s="1087">
        <f t="shared" si="11"/>
        <v>5522.30</v>
      </c>
      <c r="P67" s="269">
        <f t="shared" si="12"/>
        <v>1</v>
      </c>
      <c r="Q67" s="269" t="str">
        <f t="shared" si="13"/>
        <v/>
      </c>
      <c r="R67" s="1155"/>
      <c r="S67" s="1087">
        <f t="shared" si="14"/>
        <v>597</v>
      </c>
      <c r="T67" s="1014">
        <f t="shared" si="7"/>
        <v>0.57469500000000018</v>
      </c>
    </row>
    <row r="68" spans="2:20" ht="14.4">
      <c r="B68" s="1134">
        <v>5509260</v>
      </c>
      <c r="C68" s="1223"/>
      <c r="D68" s="1134">
        <v>117385</v>
      </c>
      <c r="E68" s="1148">
        <v>42209</v>
      </c>
      <c r="F68" s="1134">
        <v>13</v>
      </c>
      <c r="G68" s="1134">
        <v>34</v>
      </c>
      <c r="H68" s="1137">
        <v>2000</v>
      </c>
      <c r="I68" s="1141">
        <v>885</v>
      </c>
      <c r="J68" s="1148"/>
      <c r="K68" s="1148">
        <v>42209</v>
      </c>
      <c r="L68" s="269">
        <f t="shared" si="8"/>
        <v>3</v>
      </c>
      <c r="M68" s="1224">
        <f t="shared" si="9"/>
        <v>220</v>
      </c>
      <c r="N68" s="269" t="str">
        <f t="shared" si="10"/>
        <v>R19 to R30</v>
      </c>
      <c r="O68" s="1087">
        <f t="shared" si="11"/>
        <v>2080</v>
      </c>
      <c r="P68" s="269">
        <f t="shared" si="12"/>
        <v>1</v>
      </c>
      <c r="Q68" s="269" t="str">
        <f t="shared" si="13"/>
        <v/>
      </c>
      <c r="R68" s="1155"/>
      <c r="S68" s="1087">
        <f t="shared" si="14"/>
        <v>158</v>
      </c>
      <c r="T68" s="1014">
        <f t="shared" si="7"/>
        <v>0.18262500000000026</v>
      </c>
    </row>
    <row r="69" spans="2:20" ht="14.4">
      <c r="B69" s="1134">
        <v>1816313</v>
      </c>
      <c r="C69" s="1223"/>
      <c r="D69" s="1134">
        <v>181631</v>
      </c>
      <c r="E69" s="1148">
        <v>42142</v>
      </c>
      <c r="F69" s="1134">
        <v>14</v>
      </c>
      <c r="G69" s="1134">
        <v>44</v>
      </c>
      <c r="H69" s="1137">
        <v>2150</v>
      </c>
      <c r="I69" s="1141">
        <v>1175</v>
      </c>
      <c r="J69" s="1148"/>
      <c r="K69" s="1148">
        <v>42142</v>
      </c>
      <c r="L69" s="269">
        <f t="shared" si="8"/>
        <v>2</v>
      </c>
      <c r="M69" s="1224">
        <f t="shared" si="9"/>
        <v>236.50</v>
      </c>
      <c r="N69" s="269" t="str">
        <f t="shared" si="10"/>
        <v>R19 to R30</v>
      </c>
      <c r="O69" s="1087">
        <f t="shared" si="11"/>
        <v>2236</v>
      </c>
      <c r="P69" s="269">
        <f t="shared" si="12"/>
        <v>1</v>
      </c>
      <c r="Q69" s="269" t="str">
        <f t="shared" si="13"/>
        <v/>
      </c>
      <c r="R69" s="1155"/>
      <c r="S69" s="1087">
        <f t="shared" si="14"/>
        <v>158</v>
      </c>
      <c r="T69" s="1014">
        <f t="shared" si="7"/>
        <v>0.18262500000000026</v>
      </c>
    </row>
    <row r="70" spans="2:20" ht="14.4">
      <c r="B70" s="1134">
        <v>8882878</v>
      </c>
      <c r="C70" s="1223"/>
      <c r="D70" s="1134">
        <v>94209</v>
      </c>
      <c r="E70" s="1148">
        <v>42221</v>
      </c>
      <c r="F70" s="1134">
        <v>19</v>
      </c>
      <c r="G70" s="1134">
        <v>38</v>
      </c>
      <c r="H70" s="1137">
        <v>260</v>
      </c>
      <c r="I70" s="1141">
        <v>200</v>
      </c>
      <c r="J70" s="1148"/>
      <c r="K70" s="1148">
        <v>42221</v>
      </c>
      <c r="L70" s="269">
        <f t="shared" si="8"/>
        <v>3</v>
      </c>
      <c r="M70" s="1224">
        <f t="shared" si="9"/>
        <v>28.60</v>
      </c>
      <c r="N70" s="269" t="str">
        <f t="shared" si="10"/>
        <v>R19 to R30</v>
      </c>
      <c r="O70" s="1087">
        <f t="shared" si="11"/>
        <v>270.40000000000003</v>
      </c>
      <c r="P70" s="269">
        <f t="shared" si="12"/>
        <v>1</v>
      </c>
      <c r="Q70" s="269" t="str">
        <f t="shared" si="13"/>
        <v/>
      </c>
      <c r="R70" s="1155"/>
      <c r="S70" s="1087">
        <f t="shared" si="14"/>
        <v>158</v>
      </c>
      <c r="T70" s="1014">
        <f t="shared" si="7"/>
        <v>0.18262500000000026</v>
      </c>
    </row>
    <row r="71" spans="2:20" ht="14.4">
      <c r="B71" s="1134">
        <v>1621242</v>
      </c>
      <c r="C71" s="1223"/>
      <c r="D71" s="1134">
        <v>162124</v>
      </c>
      <c r="E71" s="1148">
        <v>42230</v>
      </c>
      <c r="F71" s="1134">
        <v>14</v>
      </c>
      <c r="G71" s="1134">
        <v>44</v>
      </c>
      <c r="H71" s="1137">
        <v>2400</v>
      </c>
      <c r="I71" s="1141">
        <v>1182</v>
      </c>
      <c r="J71" s="1148"/>
      <c r="K71" s="1148">
        <v>42230</v>
      </c>
      <c r="L71" s="269">
        <f t="shared" si="8"/>
        <v>3</v>
      </c>
      <c r="M71" s="1224">
        <f t="shared" si="9"/>
        <v>264</v>
      </c>
      <c r="N71" s="269" t="str">
        <f t="shared" si="10"/>
        <v>R19 to R30</v>
      </c>
      <c r="O71" s="1087">
        <f t="shared" si="11"/>
        <v>2496</v>
      </c>
      <c r="P71" s="269">
        <f t="shared" si="12"/>
        <v>1</v>
      </c>
      <c r="Q71" s="269" t="str">
        <f t="shared" si="13"/>
        <v/>
      </c>
      <c r="R71" s="1155"/>
      <c r="S71" s="1087">
        <f t="shared" si="14"/>
        <v>158</v>
      </c>
      <c r="T71" s="1014">
        <f t="shared" si="7"/>
        <v>0.18262500000000026</v>
      </c>
    </row>
    <row r="72" spans="2:20" ht="14.4">
      <c r="B72" s="1134">
        <v>7369374</v>
      </c>
      <c r="C72" s="1223"/>
      <c r="D72" s="1134">
        <v>660957</v>
      </c>
      <c r="E72" s="1148">
        <v>42218</v>
      </c>
      <c r="F72" s="1134">
        <v>10</v>
      </c>
      <c r="G72" s="1134">
        <v>60</v>
      </c>
      <c r="H72" s="1137">
        <v>2093</v>
      </c>
      <c r="I72" s="1141">
        <v>317</v>
      </c>
      <c r="J72" s="1148"/>
      <c r="K72" s="1148">
        <v>42218</v>
      </c>
      <c r="L72" s="269">
        <f t="shared" si="8"/>
        <v>3</v>
      </c>
      <c r="M72" s="1224">
        <f t="shared" si="9"/>
        <v>230.23</v>
      </c>
      <c r="N72" s="269" t="str">
        <f t="shared" si="10"/>
        <v>R11 to R30</v>
      </c>
      <c r="O72" s="1087">
        <f t="shared" si="11"/>
        <v>6739.46</v>
      </c>
      <c r="P72" s="269">
        <f t="shared" si="12"/>
        <v>1</v>
      </c>
      <c r="Q72" s="269" t="str">
        <f t="shared" si="13"/>
        <v/>
      </c>
      <c r="R72" s="1155"/>
      <c r="S72" s="1087">
        <f t="shared" si="14"/>
        <v>597</v>
      </c>
      <c r="T72" s="1014">
        <f t="shared" si="7"/>
        <v>0.57469500000000018</v>
      </c>
    </row>
    <row r="73" spans="2:20" ht="14.4">
      <c r="B73" s="1134">
        <v>6465090</v>
      </c>
      <c r="C73" s="1223"/>
      <c r="D73" s="1134">
        <v>160500</v>
      </c>
      <c r="E73" s="1148">
        <v>42133</v>
      </c>
      <c r="F73" s="1134">
        <v>19</v>
      </c>
      <c r="G73" s="1134">
        <v>30</v>
      </c>
      <c r="H73" s="1137">
        <v>1860</v>
      </c>
      <c r="I73" s="1141">
        <v>862.91</v>
      </c>
      <c r="J73" s="1148"/>
      <c r="K73" s="1148">
        <v>42133</v>
      </c>
      <c r="L73" s="269">
        <f t="shared" si="8"/>
        <v>2</v>
      </c>
      <c r="M73" s="1224">
        <f t="shared" si="9"/>
        <v>204.60</v>
      </c>
      <c r="N73" s="269" t="str">
        <f t="shared" si="10"/>
        <v>R19 to R30</v>
      </c>
      <c r="O73" s="1087">
        <f t="shared" si="11"/>
        <v>1934.40</v>
      </c>
      <c r="P73" s="269">
        <f t="shared" si="12"/>
        <v>1</v>
      </c>
      <c r="Q73" s="269" t="str">
        <f t="shared" si="13"/>
        <v/>
      </c>
      <c r="R73" s="1155"/>
      <c r="S73" s="1087">
        <f t="shared" si="14"/>
        <v>158</v>
      </c>
      <c r="T73" s="1014">
        <f t="shared" si="7"/>
        <v>0.18262500000000026</v>
      </c>
    </row>
    <row r="74" spans="2:20" ht="14.4">
      <c r="B74" s="1134">
        <v>1550680</v>
      </c>
      <c r="C74" s="1223"/>
      <c r="D74" s="1134">
        <v>155068</v>
      </c>
      <c r="E74" s="1148">
        <v>42275</v>
      </c>
      <c r="F74" s="1134">
        <v>11</v>
      </c>
      <c r="G74" s="1134">
        <v>30</v>
      </c>
      <c r="H74" s="1134">
        <v>1835</v>
      </c>
      <c r="I74" s="1141">
        <v>1009</v>
      </c>
      <c r="J74" s="1148"/>
      <c r="K74" s="1148">
        <v>42320</v>
      </c>
      <c r="L74" s="269">
        <f t="shared" si="8"/>
        <v>4</v>
      </c>
      <c r="M74" s="1224">
        <f t="shared" si="9"/>
        <v>201.85</v>
      </c>
      <c r="N74" s="269" t="str">
        <f t="shared" si="10"/>
        <v>R11 to R30</v>
      </c>
      <c r="O74" s="1087">
        <f t="shared" si="11"/>
        <v>5908.7000000000007</v>
      </c>
      <c r="P74" s="269">
        <f t="shared" si="12"/>
        <v>1</v>
      </c>
      <c r="Q74" s="269" t="str">
        <f t="shared" si="13"/>
        <v/>
      </c>
      <c r="R74" s="1155"/>
      <c r="S74" s="1087">
        <f t="shared" si="14"/>
        <v>597</v>
      </c>
      <c r="T74" s="1014">
        <f t="shared" si="7"/>
        <v>0.57469500000000018</v>
      </c>
    </row>
    <row r="75" spans="2:20" ht="14.4">
      <c r="B75" s="1134">
        <v>1028729</v>
      </c>
      <c r="C75" s="1223"/>
      <c r="D75" s="1134">
        <v>1028729</v>
      </c>
      <c r="E75" s="1148">
        <v>42223</v>
      </c>
      <c r="F75" s="1134">
        <v>0</v>
      </c>
      <c r="G75" s="1134">
        <v>38</v>
      </c>
      <c r="H75" s="1134">
        <v>1400</v>
      </c>
      <c r="I75" s="1141">
        <v>1050</v>
      </c>
      <c r="J75" s="1148"/>
      <c r="K75" s="1148">
        <v>42289</v>
      </c>
      <c r="L75" s="269">
        <f t="shared" si="8"/>
        <v>4</v>
      </c>
      <c r="M75" s="1224">
        <f t="shared" si="9"/>
        <v>154</v>
      </c>
      <c r="N75" s="269" t="str">
        <f t="shared" si="10"/>
        <v>R0 to R19</v>
      </c>
      <c r="O75" s="1087">
        <f t="shared" si="11"/>
        <v>4876.666666666667</v>
      </c>
      <c r="P75" s="269">
        <f t="shared" si="12"/>
        <v>1</v>
      </c>
      <c r="Q75" s="269" t="str">
        <f t="shared" si="13"/>
        <v/>
      </c>
      <c r="R75" s="1155"/>
      <c r="S75" s="1087">
        <f t="shared" si="14"/>
        <v>3663</v>
      </c>
      <c r="T75" s="1014">
        <f t="shared" si="7"/>
        <v>2.608635</v>
      </c>
    </row>
    <row r="76" spans="2:20" ht="14.4">
      <c r="B76" s="1134">
        <v>8922350</v>
      </c>
      <c r="C76" s="1223"/>
      <c r="D76" s="1134">
        <v>8922350</v>
      </c>
      <c r="E76" s="1148">
        <v>42132</v>
      </c>
      <c r="F76" s="1134">
        <v>13</v>
      </c>
      <c r="G76" s="1134">
        <v>38</v>
      </c>
      <c r="H76" s="1134">
        <v>1560</v>
      </c>
      <c r="I76" s="1141">
        <v>1300</v>
      </c>
      <c r="J76" s="1148"/>
      <c r="K76" s="1148">
        <v>42289</v>
      </c>
      <c r="L76" s="269">
        <f t="shared" si="8"/>
        <v>4</v>
      </c>
      <c r="M76" s="1224">
        <f t="shared" si="9"/>
        <v>171.60</v>
      </c>
      <c r="N76" s="269" t="str">
        <f t="shared" si="10"/>
        <v>R19 to R30</v>
      </c>
      <c r="O76" s="1087">
        <f t="shared" si="11"/>
        <v>1622.40</v>
      </c>
      <c r="P76" s="269">
        <f t="shared" si="12"/>
        <v>1</v>
      </c>
      <c r="Q76" s="269" t="str">
        <f t="shared" si="13"/>
        <v/>
      </c>
      <c r="R76" s="1155"/>
      <c r="S76" s="1087">
        <f t="shared" si="14"/>
        <v>158</v>
      </c>
      <c r="T76" s="1014">
        <f t="shared" si="7"/>
        <v>0.18262500000000026</v>
      </c>
    </row>
    <row r="77" spans="2:20" ht="14.4">
      <c r="B77" s="1134">
        <v>1427418</v>
      </c>
      <c r="C77" s="1223"/>
      <c r="D77" s="1134">
        <v>1427418</v>
      </c>
      <c r="E77" s="1148">
        <v>42237</v>
      </c>
      <c r="F77" s="1134">
        <v>6</v>
      </c>
      <c r="G77" s="1134">
        <v>30</v>
      </c>
      <c r="H77" s="1134">
        <v>1040</v>
      </c>
      <c r="I77" s="1141">
        <v>728</v>
      </c>
      <c r="J77" s="1148"/>
      <c r="K77" s="1148">
        <v>42292</v>
      </c>
      <c r="L77" s="269">
        <f t="shared" si="8"/>
        <v>4</v>
      </c>
      <c r="M77" s="1224">
        <f t="shared" si="9"/>
        <v>114.40</v>
      </c>
      <c r="N77" s="269" t="str">
        <f t="shared" si="10"/>
        <v>R11 to R30</v>
      </c>
      <c r="O77" s="1087">
        <f t="shared" si="11"/>
        <v>3348.80</v>
      </c>
      <c r="P77" s="269">
        <f t="shared" si="12"/>
        <v>1</v>
      </c>
      <c r="Q77" s="269" t="str">
        <f t="shared" si="13"/>
        <v/>
      </c>
      <c r="R77" s="1155"/>
      <c r="S77" s="1087">
        <f t="shared" si="14"/>
        <v>597</v>
      </c>
      <c r="T77" s="1014">
        <f t="shared" si="7"/>
        <v>0.57469500000000018</v>
      </c>
    </row>
    <row r="78" spans="2:20" ht="14.4">
      <c r="B78" s="1134">
        <v>1034180</v>
      </c>
      <c r="C78" s="1223"/>
      <c r="D78" s="1134">
        <v>103418</v>
      </c>
      <c r="E78" s="1148">
        <v>42247</v>
      </c>
      <c r="F78" s="1134">
        <v>17</v>
      </c>
      <c r="G78" s="1134">
        <v>30</v>
      </c>
      <c r="H78" s="1134">
        <v>2100</v>
      </c>
      <c r="I78" s="1141">
        <v>1785</v>
      </c>
      <c r="J78" s="1148"/>
      <c r="K78" s="1148">
        <v>42292</v>
      </c>
      <c r="L78" s="269">
        <f t="shared" si="8"/>
        <v>4</v>
      </c>
      <c r="M78" s="1224">
        <f t="shared" si="9"/>
        <v>231</v>
      </c>
      <c r="N78" s="269" t="str">
        <f t="shared" si="10"/>
        <v>R19 to R30</v>
      </c>
      <c r="O78" s="1087">
        <f t="shared" si="11"/>
        <v>2184</v>
      </c>
      <c r="P78" s="269">
        <f t="shared" si="12"/>
        <v>1</v>
      </c>
      <c r="Q78" s="269" t="str">
        <f t="shared" si="13"/>
        <v/>
      </c>
      <c r="R78" s="1155"/>
      <c r="S78" s="1087">
        <f t="shared" si="14"/>
        <v>158</v>
      </c>
      <c r="T78" s="1014">
        <f t="shared" si="7"/>
        <v>0.18262500000000026</v>
      </c>
    </row>
    <row r="79" spans="2:20" ht="14.4">
      <c r="B79" s="1134">
        <v>1584291</v>
      </c>
      <c r="C79" s="1223"/>
      <c r="D79" s="1134">
        <v>158429</v>
      </c>
      <c r="E79" s="1148">
        <v>42220</v>
      </c>
      <c r="F79" s="1134">
        <v>19</v>
      </c>
      <c r="G79" s="1134">
        <v>40</v>
      </c>
      <c r="H79" s="1134">
        <v>1400</v>
      </c>
      <c r="I79" s="1141">
        <v>1500</v>
      </c>
      <c r="J79" s="1148"/>
      <c r="K79" s="1148">
        <v>42292</v>
      </c>
      <c r="L79" s="269">
        <f t="shared" si="8"/>
        <v>4</v>
      </c>
      <c r="M79" s="1224">
        <f t="shared" si="9"/>
        <v>154</v>
      </c>
      <c r="N79" s="269" t="str">
        <f t="shared" si="10"/>
        <v>R19 to R30</v>
      </c>
      <c r="O79" s="1087">
        <f t="shared" si="11"/>
        <v>1456</v>
      </c>
      <c r="P79" s="269">
        <f t="shared" si="12"/>
        <v>1</v>
      </c>
      <c r="Q79" s="269" t="str">
        <f t="shared" si="13"/>
        <v/>
      </c>
      <c r="R79" s="1155"/>
      <c r="S79" s="1087">
        <f t="shared" si="14"/>
        <v>158</v>
      </c>
      <c r="T79" s="1014">
        <f t="shared" si="7"/>
        <v>0.18262500000000026</v>
      </c>
    </row>
    <row r="80" spans="2:20" ht="14.4">
      <c r="B80" s="1134">
        <v>2888758</v>
      </c>
      <c r="C80" s="1223"/>
      <c r="D80" s="1134">
        <v>288875</v>
      </c>
      <c r="E80" s="1148">
        <v>42251</v>
      </c>
      <c r="F80" s="1134">
        <v>19</v>
      </c>
      <c r="G80" s="1134">
        <v>30</v>
      </c>
      <c r="H80" s="1134">
        <v>1800</v>
      </c>
      <c r="I80" s="1141">
        <v>900</v>
      </c>
      <c r="J80" s="1148"/>
      <c r="K80" s="1148">
        <v>42292</v>
      </c>
      <c r="L80" s="269">
        <f t="shared" si="8"/>
        <v>4</v>
      </c>
      <c r="M80" s="1224">
        <f t="shared" si="9"/>
        <v>198</v>
      </c>
      <c r="N80" s="269" t="str">
        <f t="shared" si="10"/>
        <v>R19 to R30</v>
      </c>
      <c r="O80" s="1087">
        <f t="shared" si="11"/>
        <v>1872</v>
      </c>
      <c r="P80" s="269">
        <f t="shared" si="12"/>
        <v>1</v>
      </c>
      <c r="Q80" s="269" t="str">
        <f t="shared" si="13"/>
        <v/>
      </c>
      <c r="R80" s="1155"/>
      <c r="S80" s="1087">
        <f t="shared" si="14"/>
        <v>158</v>
      </c>
      <c r="T80" s="1014">
        <f t="shared" si="7"/>
        <v>0.18262500000000026</v>
      </c>
    </row>
    <row r="81" spans="2:20" ht="14.4">
      <c r="B81" s="1134">
        <v>8916846</v>
      </c>
      <c r="C81" s="1223"/>
      <c r="D81" s="1134">
        <v>8916846</v>
      </c>
      <c r="E81" s="1148">
        <v>42190</v>
      </c>
      <c r="F81" s="1134">
        <v>19</v>
      </c>
      <c r="G81" s="1134">
        <v>30</v>
      </c>
      <c r="H81" s="1134">
        <v>276</v>
      </c>
      <c r="I81" s="1141">
        <v>122.63</v>
      </c>
      <c r="J81" s="1148"/>
      <c r="K81" s="1148">
        <v>42292</v>
      </c>
      <c r="L81" s="269">
        <f t="shared" si="8"/>
        <v>4</v>
      </c>
      <c r="M81" s="1224">
        <f t="shared" si="9"/>
        <v>30.36</v>
      </c>
      <c r="N81" s="269" t="str">
        <f t="shared" si="10"/>
        <v>R19 to R30</v>
      </c>
      <c r="O81" s="1087">
        <f t="shared" si="11"/>
        <v>287.04000000000002</v>
      </c>
      <c r="P81" s="269">
        <f t="shared" si="12"/>
        <v>1</v>
      </c>
      <c r="Q81" s="269" t="str">
        <f t="shared" si="13"/>
        <v/>
      </c>
      <c r="R81" s="1155"/>
      <c r="S81" s="1087">
        <f t="shared" si="14"/>
        <v>158</v>
      </c>
      <c r="T81" s="1014">
        <f t="shared" si="7"/>
        <v>0.18262500000000026</v>
      </c>
    </row>
    <row r="82" spans="2:20" ht="14.4">
      <c r="B82" s="1134">
        <v>7384092</v>
      </c>
      <c r="C82" s="1223"/>
      <c r="D82" s="1134">
        <v>165439</v>
      </c>
      <c r="E82" s="1148">
        <v>42208</v>
      </c>
      <c r="F82" s="1134">
        <v>5</v>
      </c>
      <c r="G82" s="1134">
        <v>30</v>
      </c>
      <c r="H82" s="1134">
        <v>1800</v>
      </c>
      <c r="I82" s="1141">
        <v>1100</v>
      </c>
      <c r="J82" s="1148"/>
      <c r="K82" s="1148">
        <v>42297</v>
      </c>
      <c r="L82" s="269">
        <f t="shared" si="8"/>
        <v>4</v>
      </c>
      <c r="M82" s="1224">
        <f t="shared" si="9"/>
        <v>198</v>
      </c>
      <c r="N82" s="269" t="str">
        <f t="shared" si="10"/>
        <v>R11 to R30</v>
      </c>
      <c r="O82" s="1087">
        <f t="shared" si="11"/>
        <v>5796</v>
      </c>
      <c r="P82" s="269">
        <f t="shared" si="12"/>
        <v>1</v>
      </c>
      <c r="Q82" s="269" t="str">
        <f t="shared" si="13"/>
        <v/>
      </c>
      <c r="R82" s="1155"/>
      <c r="S82" s="1087">
        <f t="shared" si="14"/>
        <v>597</v>
      </c>
      <c r="T82" s="1014">
        <f t="shared" si="7"/>
        <v>0.57469500000000018</v>
      </c>
    </row>
    <row r="83" spans="2:20" ht="14.4">
      <c r="B83" s="1134">
        <v>8841618</v>
      </c>
      <c r="C83" s="1223"/>
      <c r="D83" s="1134">
        <v>144719</v>
      </c>
      <c r="E83" s="1148">
        <v>42247</v>
      </c>
      <c r="F83" s="1134">
        <v>11</v>
      </c>
      <c r="G83" s="1134">
        <v>33</v>
      </c>
      <c r="H83" s="1134">
        <v>1200</v>
      </c>
      <c r="I83" s="1141">
        <v>1050</v>
      </c>
      <c r="J83" s="1148"/>
      <c r="K83" s="1148">
        <v>42293</v>
      </c>
      <c r="L83" s="269">
        <f t="shared" si="8"/>
        <v>4</v>
      </c>
      <c r="M83" s="1224">
        <f t="shared" si="9"/>
        <v>132</v>
      </c>
      <c r="N83" s="269" t="str">
        <f t="shared" si="10"/>
        <v>R11 to R30</v>
      </c>
      <c r="O83" s="1087">
        <f t="shared" si="11"/>
        <v>3864.0000000000005</v>
      </c>
      <c r="P83" s="269">
        <f t="shared" si="12"/>
        <v>1</v>
      </c>
      <c r="Q83" s="269" t="str">
        <f t="shared" si="13"/>
        <v/>
      </c>
      <c r="R83" s="1155"/>
      <c r="S83" s="1087">
        <f t="shared" si="14"/>
        <v>597</v>
      </c>
      <c r="T83" s="1014">
        <f t="shared" si="7"/>
        <v>0.57469500000000018</v>
      </c>
    </row>
    <row r="84" spans="2:20" ht="14.4">
      <c r="B84" s="1134">
        <v>892948</v>
      </c>
      <c r="C84" s="1223"/>
      <c r="D84" s="1134">
        <v>8902948</v>
      </c>
      <c r="E84" s="1148">
        <v>42276</v>
      </c>
      <c r="F84" s="1134">
        <v>17</v>
      </c>
      <c r="G84" s="1134">
        <v>30</v>
      </c>
      <c r="H84" s="1134">
        <v>1526</v>
      </c>
      <c r="I84" s="1141">
        <v>813</v>
      </c>
      <c r="J84" s="1148"/>
      <c r="K84" s="1148">
        <v>42303</v>
      </c>
      <c r="L84" s="269">
        <f t="shared" si="15" ref="L84:L111">IF(MAX(J84,K84)&lt;40000,"",ROUNDUP(MONTH(MAX(J84,K84))/3,0))</f>
        <v>4</v>
      </c>
      <c r="M84" s="1224">
        <f t="shared" si="16" ref="M84:M111">IF(B84="","",$M$9*H84)</f>
        <v>167.86</v>
      </c>
      <c r="N84" s="269" t="str">
        <f t="shared" si="17" ref="N84:N111">IF(B84="","",IF(J84&gt;0,"Denied",IF(AND(F84&lt;=1,G84&gt;=19),"R0 to R19",IF(AND(F84&lt;=11,G84&gt;=30),"R11 to R30",IF(AND(F84&lt;=11,G84&gt;=19),"R11 to R19",IF(AND(F84&lt;=19,G84&gt;=30),"R19 to R30","R19 to R30"))))))</f>
        <v>R19 to R30</v>
      </c>
      <c r="O84" s="1087">
        <f t="shared" si="18" ref="O84:O111">IF($B84="","",IFERROR($H84*VLOOKUP($N84,$L$4:$M$7,2,FALSE),0))</f>
        <v>1587.04</v>
      </c>
      <c r="P84" s="269">
        <f t="shared" si="19" ref="P84:P111">IF(K84&gt;0,1,"")</f>
        <v>1</v>
      </c>
      <c r="Q84" s="269" t="str">
        <f t="shared" si="20" ref="Q84:Q111">IF(J84&gt;0,1,"")</f>
        <v/>
      </c>
      <c r="R84" s="1155"/>
      <c r="S84" s="1087">
        <f t="shared" si="21" ref="S84:S111">IF($B84="","",IFERROR(VLOOKUP($N84,$L$4:$P$7,4,FALSE),0))</f>
        <v>158</v>
      </c>
      <c r="T84" s="1014">
        <f t="shared" si="7"/>
        <v>0.18262500000000026</v>
      </c>
    </row>
    <row r="85" spans="2:20" ht="14.4">
      <c r="B85" s="1134">
        <v>8912957</v>
      </c>
      <c r="C85" s="1223"/>
      <c r="D85" s="1134">
        <v>254545</v>
      </c>
      <c r="E85" s="1148">
        <v>42250</v>
      </c>
      <c r="F85" s="1134">
        <v>6</v>
      </c>
      <c r="G85" s="1134">
        <v>38</v>
      </c>
      <c r="H85" s="1134">
        <v>3000</v>
      </c>
      <c r="I85" s="1141">
        <v>2600</v>
      </c>
      <c r="J85" s="1148"/>
      <c r="K85" s="1148">
        <v>42306</v>
      </c>
      <c r="L85" s="269">
        <f t="shared" si="15"/>
        <v>4</v>
      </c>
      <c r="M85" s="1224">
        <f t="shared" si="16"/>
        <v>330</v>
      </c>
      <c r="N85" s="269" t="str">
        <f t="shared" si="17"/>
        <v>R11 to R30</v>
      </c>
      <c r="O85" s="1087">
        <f t="shared" si="18"/>
        <v>9660</v>
      </c>
      <c r="P85" s="269">
        <f t="shared" si="19"/>
        <v>1</v>
      </c>
      <c r="Q85" s="269" t="str">
        <f t="shared" si="20"/>
        <v/>
      </c>
      <c r="R85" s="1155"/>
      <c r="S85" s="1087">
        <f t="shared" si="21"/>
        <v>597</v>
      </c>
      <c r="T85" s="1014">
        <f t="shared" si="22" ref="T85:T111">IF(B85="","",IFERROR(VLOOKUP(N85,$L$4:$P$7,5,FALSE),0))</f>
        <v>0.57469500000000018</v>
      </c>
    </row>
    <row r="86" spans="2:20" ht="14.4">
      <c r="B86" s="1134">
        <v>5546973</v>
      </c>
      <c r="C86" s="1223"/>
      <c r="D86" s="1134">
        <v>201842</v>
      </c>
      <c r="E86" s="1148">
        <v>42206</v>
      </c>
      <c r="F86" s="1134">
        <v>10</v>
      </c>
      <c r="G86" s="1134">
        <v>30</v>
      </c>
      <c r="H86" s="1134">
        <v>1450</v>
      </c>
      <c r="I86" s="1141">
        <v>600</v>
      </c>
      <c r="J86" s="1148"/>
      <c r="K86" s="1148">
        <v>42306</v>
      </c>
      <c r="L86" s="269">
        <f t="shared" si="15"/>
        <v>4</v>
      </c>
      <c r="M86" s="1224">
        <f t="shared" si="16"/>
        <v>159.50</v>
      </c>
      <c r="N86" s="269" t="str">
        <f t="shared" si="17"/>
        <v>R11 to R30</v>
      </c>
      <c r="O86" s="1087">
        <f t="shared" si="18"/>
        <v>4669</v>
      </c>
      <c r="P86" s="269">
        <f t="shared" si="19"/>
        <v>1</v>
      </c>
      <c r="Q86" s="269" t="str">
        <f t="shared" si="20"/>
        <v/>
      </c>
      <c r="R86" s="1155"/>
      <c r="S86" s="1087">
        <f t="shared" si="21"/>
        <v>597</v>
      </c>
      <c r="T86" s="1014">
        <f t="shared" si="22"/>
        <v>0.57469500000000018</v>
      </c>
    </row>
    <row r="87" spans="2:20" ht="14.4">
      <c r="B87" s="1134">
        <v>3829561</v>
      </c>
      <c r="C87" s="1223"/>
      <c r="D87" s="1134">
        <v>382956</v>
      </c>
      <c r="E87" s="1148">
        <v>42202</v>
      </c>
      <c r="F87" s="1134">
        <v>11</v>
      </c>
      <c r="G87" s="1134">
        <v>38</v>
      </c>
      <c r="H87" s="1134">
        <v>1450</v>
      </c>
      <c r="I87" s="1141">
        <v>950</v>
      </c>
      <c r="J87" s="1148"/>
      <c r="K87" s="1148">
        <v>42306</v>
      </c>
      <c r="L87" s="269">
        <f t="shared" si="15"/>
        <v>4</v>
      </c>
      <c r="M87" s="1224">
        <f t="shared" si="16"/>
        <v>159.50</v>
      </c>
      <c r="N87" s="269" t="str">
        <f t="shared" si="17"/>
        <v>R11 to R30</v>
      </c>
      <c r="O87" s="1087">
        <f t="shared" si="18"/>
        <v>4669</v>
      </c>
      <c r="P87" s="269">
        <f t="shared" si="19"/>
        <v>1</v>
      </c>
      <c r="Q87" s="269" t="str">
        <f t="shared" si="20"/>
        <v/>
      </c>
      <c r="R87" s="1155"/>
      <c r="S87" s="1087">
        <f t="shared" si="21"/>
        <v>597</v>
      </c>
      <c r="T87" s="1014">
        <f t="shared" si="22"/>
        <v>0.57469500000000018</v>
      </c>
    </row>
    <row r="88" spans="2:20" ht="14.4">
      <c r="B88" s="1134">
        <v>8925026</v>
      </c>
      <c r="C88" s="1223"/>
      <c r="D88" s="1134">
        <v>629784</v>
      </c>
      <c r="E88" s="1148">
        <v>42263</v>
      </c>
      <c r="F88" s="1134">
        <v>11</v>
      </c>
      <c r="G88" s="1134">
        <v>38</v>
      </c>
      <c r="H88" s="1134">
        <v>1508</v>
      </c>
      <c r="I88" s="1141">
        <v>980</v>
      </c>
      <c r="J88" s="1148"/>
      <c r="K88" s="1148">
        <v>42306</v>
      </c>
      <c r="L88" s="269">
        <f t="shared" si="15"/>
        <v>4</v>
      </c>
      <c r="M88" s="1224">
        <f t="shared" si="16"/>
        <v>165.88</v>
      </c>
      <c r="N88" s="269" t="str">
        <f t="shared" si="17"/>
        <v>R11 to R30</v>
      </c>
      <c r="O88" s="1087">
        <f t="shared" si="18"/>
        <v>4855.76</v>
      </c>
      <c r="P88" s="269">
        <f t="shared" si="19"/>
        <v>1</v>
      </c>
      <c r="Q88" s="269" t="str">
        <f t="shared" si="20"/>
        <v/>
      </c>
      <c r="R88" s="1155"/>
      <c r="S88" s="1087">
        <f t="shared" si="21"/>
        <v>597</v>
      </c>
      <c r="T88" s="1014">
        <f t="shared" si="22"/>
        <v>0.57469500000000018</v>
      </c>
    </row>
    <row r="89" spans="2:20" ht="14.4">
      <c r="B89" s="1134">
        <v>8789141</v>
      </c>
      <c r="C89" s="1223"/>
      <c r="D89" s="1134">
        <v>220006</v>
      </c>
      <c r="E89" s="1148">
        <v>42089</v>
      </c>
      <c r="F89" s="1134">
        <v>9</v>
      </c>
      <c r="G89" s="1134">
        <v>29</v>
      </c>
      <c r="H89" s="1134">
        <v>2100</v>
      </c>
      <c r="I89" s="1141">
        <v>1600</v>
      </c>
      <c r="J89" s="1148"/>
      <c r="K89" s="1148">
        <v>42313</v>
      </c>
      <c r="L89" s="269">
        <f t="shared" si="15"/>
        <v>4</v>
      </c>
      <c r="M89" s="1224">
        <f t="shared" si="16"/>
        <v>231</v>
      </c>
      <c r="N89" s="269" t="str">
        <f t="shared" si="17"/>
        <v>R11 to R19</v>
      </c>
      <c r="O89" s="1087">
        <f t="shared" si="18"/>
        <v>4557</v>
      </c>
      <c r="P89" s="269">
        <f t="shared" si="19"/>
        <v>1</v>
      </c>
      <c r="Q89" s="269" t="str">
        <f t="shared" si="20"/>
        <v/>
      </c>
      <c r="R89" s="1155"/>
      <c r="S89" s="1087">
        <f t="shared" si="21"/>
        <v>439</v>
      </c>
      <c r="T89" s="1014">
        <f t="shared" si="22"/>
        <v>0.39206999999999992</v>
      </c>
    </row>
    <row r="90" spans="2:20" ht="14.4">
      <c r="B90" s="1134">
        <v>8927906</v>
      </c>
      <c r="C90" s="1223"/>
      <c r="D90" s="1134">
        <v>114890</v>
      </c>
      <c r="E90" s="1148">
        <v>42278</v>
      </c>
      <c r="F90" s="1134">
        <v>8</v>
      </c>
      <c r="G90" s="1134">
        <v>38</v>
      </c>
      <c r="H90" s="1134">
        <v>3100</v>
      </c>
      <c r="I90" s="1141">
        <v>2015</v>
      </c>
      <c r="J90" s="1148"/>
      <c r="K90" s="1148">
        <v>42313</v>
      </c>
      <c r="L90" s="269">
        <f t="shared" si="15"/>
        <v>4</v>
      </c>
      <c r="M90" s="1224">
        <f t="shared" si="16"/>
        <v>341</v>
      </c>
      <c r="N90" s="269" t="str">
        <f t="shared" si="17"/>
        <v>R11 to R30</v>
      </c>
      <c r="O90" s="1087">
        <f t="shared" si="18"/>
        <v>9982</v>
      </c>
      <c r="P90" s="269">
        <f t="shared" si="19"/>
        <v>1</v>
      </c>
      <c r="Q90" s="269" t="str">
        <f t="shared" si="20"/>
        <v/>
      </c>
      <c r="R90" s="1155"/>
      <c r="S90" s="1087">
        <f t="shared" si="21"/>
        <v>597</v>
      </c>
      <c r="T90" s="1014">
        <f t="shared" si="22"/>
        <v>0.57469500000000018</v>
      </c>
    </row>
    <row r="91" spans="2:20" ht="14.4">
      <c r="B91" s="1134">
        <v>8846946</v>
      </c>
      <c r="C91" s="1223"/>
      <c r="D91" s="1134">
        <v>106289</v>
      </c>
      <c r="E91" s="1148">
        <v>42283</v>
      </c>
      <c r="F91" s="1134">
        <v>13</v>
      </c>
      <c r="G91" s="1134">
        <v>30</v>
      </c>
      <c r="H91" s="1134">
        <v>1188</v>
      </c>
      <c r="I91" s="1141">
        <v>713</v>
      </c>
      <c r="J91" s="1148"/>
      <c r="K91" s="1148">
        <v>42313</v>
      </c>
      <c r="L91" s="269">
        <f t="shared" si="15"/>
        <v>4</v>
      </c>
      <c r="M91" s="1224">
        <f t="shared" si="16"/>
        <v>130.68</v>
      </c>
      <c r="N91" s="269" t="str">
        <f t="shared" si="17"/>
        <v>R19 to R30</v>
      </c>
      <c r="O91" s="1087">
        <f t="shared" si="18"/>
        <v>1235.52</v>
      </c>
      <c r="P91" s="269">
        <f t="shared" si="19"/>
        <v>1</v>
      </c>
      <c r="Q91" s="269" t="str">
        <f t="shared" si="20"/>
        <v/>
      </c>
      <c r="R91" s="1155"/>
      <c r="S91" s="1087">
        <f t="shared" si="21"/>
        <v>158</v>
      </c>
      <c r="T91" s="1014">
        <f t="shared" si="22"/>
        <v>0.18262500000000026</v>
      </c>
    </row>
    <row r="92" spans="2:20" ht="14.4">
      <c r="B92" s="1134">
        <v>8395022</v>
      </c>
      <c r="C92" s="1223"/>
      <c r="D92" s="1134">
        <v>8395022</v>
      </c>
      <c r="E92" s="1148">
        <v>42284</v>
      </c>
      <c r="F92" s="1134">
        <v>11</v>
      </c>
      <c r="G92" s="1134">
        <v>60</v>
      </c>
      <c r="H92" s="1134">
        <v>1725</v>
      </c>
      <c r="I92" s="1141">
        <v>2574.75</v>
      </c>
      <c r="J92" s="1148"/>
      <c r="K92" s="1148">
        <v>42313</v>
      </c>
      <c r="L92" s="269">
        <f t="shared" si="15"/>
        <v>4</v>
      </c>
      <c r="M92" s="1224">
        <f t="shared" si="16"/>
        <v>189.75</v>
      </c>
      <c r="N92" s="269" t="str">
        <f t="shared" si="17"/>
        <v>R11 to R30</v>
      </c>
      <c r="O92" s="1087">
        <f t="shared" si="18"/>
        <v>5554.50</v>
      </c>
      <c r="P92" s="269">
        <f t="shared" si="19"/>
        <v>1</v>
      </c>
      <c r="Q92" s="269" t="str">
        <f t="shared" si="20"/>
        <v/>
      </c>
      <c r="R92" s="1155"/>
      <c r="S92" s="1087">
        <f t="shared" si="21"/>
        <v>597</v>
      </c>
      <c r="T92" s="1014">
        <f t="shared" si="22"/>
        <v>0.57469500000000018</v>
      </c>
    </row>
    <row r="93" spans="2:20" ht="14.4">
      <c r="B93" s="1134">
        <v>4578027</v>
      </c>
      <c r="C93" s="1223"/>
      <c r="D93" s="1134">
        <v>127353</v>
      </c>
      <c r="E93" s="1148">
        <v>42157</v>
      </c>
      <c r="F93" s="1134">
        <v>5</v>
      </c>
      <c r="G93" s="1134">
        <v>35</v>
      </c>
      <c r="H93" s="1134">
        <v>1200</v>
      </c>
      <c r="I93" s="1141">
        <v>700</v>
      </c>
      <c r="J93" s="1148"/>
      <c r="K93" s="1148">
        <v>42313</v>
      </c>
      <c r="L93" s="269">
        <f t="shared" si="15"/>
        <v>4</v>
      </c>
      <c r="M93" s="1224">
        <f t="shared" si="16"/>
        <v>132</v>
      </c>
      <c r="N93" s="269" t="str">
        <f t="shared" si="17"/>
        <v>R11 to R30</v>
      </c>
      <c r="O93" s="1087">
        <f t="shared" si="18"/>
        <v>3864.0000000000005</v>
      </c>
      <c r="P93" s="269">
        <f t="shared" si="19"/>
        <v>1</v>
      </c>
      <c r="Q93" s="269" t="str">
        <f t="shared" si="20"/>
        <v/>
      </c>
      <c r="R93" s="1155"/>
      <c r="S93" s="1087">
        <f t="shared" si="21"/>
        <v>597</v>
      </c>
      <c r="T93" s="1014">
        <f t="shared" si="22"/>
        <v>0.57469500000000018</v>
      </c>
    </row>
    <row r="94" spans="2:20" ht="14.4">
      <c r="B94" s="1134">
        <v>8854825</v>
      </c>
      <c r="C94" s="1223"/>
      <c r="D94" s="1134">
        <v>200864</v>
      </c>
      <c r="E94" s="1148">
        <v>42189</v>
      </c>
      <c r="F94" s="1134">
        <v>13</v>
      </c>
      <c r="G94" s="1134">
        <v>34</v>
      </c>
      <c r="H94" s="1134">
        <v>1650</v>
      </c>
      <c r="I94" s="1141">
        <v>265.87</v>
      </c>
      <c r="J94" s="1148"/>
      <c r="K94" s="1148">
        <v>42297</v>
      </c>
      <c r="L94" s="269">
        <f t="shared" si="15"/>
        <v>4</v>
      </c>
      <c r="M94" s="1224">
        <f t="shared" si="16"/>
        <v>181.50</v>
      </c>
      <c r="N94" s="269" t="str">
        <f t="shared" si="17"/>
        <v>R19 to R30</v>
      </c>
      <c r="O94" s="1087">
        <f t="shared" si="18"/>
        <v>1716</v>
      </c>
      <c r="P94" s="269">
        <f t="shared" si="19"/>
        <v>1</v>
      </c>
      <c r="Q94" s="269" t="str">
        <f t="shared" si="20"/>
        <v/>
      </c>
      <c r="R94" s="1155"/>
      <c r="S94" s="1087">
        <f t="shared" si="21"/>
        <v>158</v>
      </c>
      <c r="T94" s="1014">
        <f t="shared" si="22"/>
        <v>0.18262500000000026</v>
      </c>
    </row>
    <row r="95" spans="2:20" ht="14.4">
      <c r="B95" s="1134">
        <v>1674381</v>
      </c>
      <c r="C95" s="1223"/>
      <c r="D95" s="1134">
        <v>167438</v>
      </c>
      <c r="E95" s="1148">
        <v>42290</v>
      </c>
      <c r="F95" s="1134">
        <v>11</v>
      </c>
      <c r="G95" s="1134">
        <v>38</v>
      </c>
      <c r="H95" s="1134">
        <v>1596</v>
      </c>
      <c r="I95" s="1141">
        <v>1242</v>
      </c>
      <c r="J95" s="1148"/>
      <c r="K95" s="1148">
        <v>42324</v>
      </c>
      <c r="L95" s="269">
        <f t="shared" si="15"/>
        <v>4</v>
      </c>
      <c r="M95" s="1224">
        <f t="shared" si="16"/>
        <v>175.56</v>
      </c>
      <c r="N95" s="269" t="str">
        <f t="shared" si="17"/>
        <v>R11 to R30</v>
      </c>
      <c r="O95" s="1087">
        <f t="shared" si="18"/>
        <v>5139.12</v>
      </c>
      <c r="P95" s="269">
        <f t="shared" si="19"/>
        <v>1</v>
      </c>
      <c r="Q95" s="269" t="str">
        <f t="shared" si="20"/>
        <v/>
      </c>
      <c r="R95" s="1155"/>
      <c r="S95" s="1087">
        <f t="shared" si="21"/>
        <v>597</v>
      </c>
      <c r="T95" s="1014">
        <f t="shared" si="22"/>
        <v>0.57469500000000018</v>
      </c>
    </row>
    <row r="96" spans="2:20" ht="14.4">
      <c r="B96" s="1134">
        <v>8880416</v>
      </c>
      <c r="C96" s="1223"/>
      <c r="D96" s="1134">
        <v>285390</v>
      </c>
      <c r="E96" s="1148">
        <v>42306</v>
      </c>
      <c r="F96" s="1134">
        <v>11</v>
      </c>
      <c r="G96" s="1134">
        <v>38</v>
      </c>
      <c r="H96" s="1134">
        <v>2500</v>
      </c>
      <c r="I96" s="1141">
        <v>1800</v>
      </c>
      <c r="J96" s="1148"/>
      <c r="K96" s="1148">
        <v>42324</v>
      </c>
      <c r="L96" s="269">
        <f t="shared" si="15"/>
        <v>4</v>
      </c>
      <c r="M96" s="1224">
        <f t="shared" si="16"/>
        <v>275</v>
      </c>
      <c r="N96" s="269" t="str">
        <f t="shared" si="17"/>
        <v>R11 to R30</v>
      </c>
      <c r="O96" s="1087">
        <f t="shared" si="18"/>
        <v>8050.0000000000009</v>
      </c>
      <c r="P96" s="269">
        <f t="shared" si="19"/>
        <v>1</v>
      </c>
      <c r="Q96" s="269" t="str">
        <f t="shared" si="20"/>
        <v/>
      </c>
      <c r="R96" s="1155"/>
      <c r="S96" s="1087">
        <f t="shared" si="21"/>
        <v>597</v>
      </c>
      <c r="T96" s="1014">
        <f t="shared" si="22"/>
        <v>0.57469500000000018</v>
      </c>
    </row>
    <row r="97" spans="2:20" ht="14.4">
      <c r="B97" s="1134">
        <v>4100533</v>
      </c>
      <c r="C97" s="1223"/>
      <c r="D97" s="1134">
        <v>245816</v>
      </c>
      <c r="E97" s="1148">
        <v>42244</v>
      </c>
      <c r="F97" s="1134">
        <v>15</v>
      </c>
      <c r="G97" s="1134">
        <v>38</v>
      </c>
      <c r="H97" s="1134">
        <v>1980</v>
      </c>
      <c r="I97" s="1141">
        <v>2340</v>
      </c>
      <c r="J97" s="1148"/>
      <c r="K97" s="1148">
        <v>42324</v>
      </c>
      <c r="L97" s="269">
        <f t="shared" si="15"/>
        <v>4</v>
      </c>
      <c r="M97" s="1224">
        <f t="shared" si="16"/>
        <v>217.80</v>
      </c>
      <c r="N97" s="269" t="str">
        <f t="shared" si="17"/>
        <v>R19 to R30</v>
      </c>
      <c r="O97" s="1087">
        <f t="shared" si="18"/>
        <v>2059.2000000000003</v>
      </c>
      <c r="P97" s="269">
        <f t="shared" si="19"/>
        <v>1</v>
      </c>
      <c r="Q97" s="269" t="str">
        <f t="shared" si="20"/>
        <v/>
      </c>
      <c r="R97" s="1155"/>
      <c r="S97" s="1087">
        <f t="shared" si="21"/>
        <v>158</v>
      </c>
      <c r="T97" s="1014">
        <f t="shared" si="22"/>
        <v>0.18262500000000026</v>
      </c>
    </row>
    <row r="98" spans="2:20" ht="14.4">
      <c r="B98" s="1134">
        <v>3955812</v>
      </c>
      <c r="C98" s="1223"/>
      <c r="D98" s="1134">
        <v>136949</v>
      </c>
      <c r="E98" s="1148">
        <v>42306</v>
      </c>
      <c r="F98" s="1134">
        <v>19</v>
      </c>
      <c r="G98" s="1134">
        <v>38</v>
      </c>
      <c r="H98" s="1134">
        <v>4048</v>
      </c>
      <c r="I98" s="1141">
        <v>2000</v>
      </c>
      <c r="J98" s="1148"/>
      <c r="K98" s="1148">
        <v>42324</v>
      </c>
      <c r="L98" s="269">
        <f t="shared" si="15"/>
        <v>4</v>
      </c>
      <c r="M98" s="1224">
        <f t="shared" si="16"/>
        <v>445.28</v>
      </c>
      <c r="N98" s="269" t="str">
        <f t="shared" si="17"/>
        <v>R19 to R30</v>
      </c>
      <c r="O98" s="1087">
        <f t="shared" si="18"/>
        <v>4209.92</v>
      </c>
      <c r="P98" s="269">
        <f t="shared" si="19"/>
        <v>1</v>
      </c>
      <c r="Q98" s="269" t="str">
        <f t="shared" si="20"/>
        <v/>
      </c>
      <c r="R98" s="1155"/>
      <c r="S98" s="1087">
        <f t="shared" si="21"/>
        <v>158</v>
      </c>
      <c r="T98" s="1014">
        <f t="shared" si="22"/>
        <v>0.18262500000000026</v>
      </c>
    </row>
    <row r="99" spans="2:20" ht="14.4">
      <c r="B99" s="1134">
        <v>8911875</v>
      </c>
      <c r="C99" s="1223"/>
      <c r="D99" s="1134">
        <v>128927</v>
      </c>
      <c r="E99" s="1148">
        <v>42262</v>
      </c>
      <c r="F99" s="1134">
        <v>6</v>
      </c>
      <c r="G99" s="1134">
        <v>30</v>
      </c>
      <c r="H99" s="1134">
        <v>1225</v>
      </c>
      <c r="I99" s="1141">
        <v>1252.80</v>
      </c>
      <c r="J99" s="1148"/>
      <c r="K99" s="1148">
        <v>42324</v>
      </c>
      <c r="L99" s="269">
        <f t="shared" si="15"/>
        <v>4</v>
      </c>
      <c r="M99" s="1224">
        <f t="shared" si="16"/>
        <v>134.75</v>
      </c>
      <c r="N99" s="269" t="str">
        <f t="shared" si="17"/>
        <v>R11 to R30</v>
      </c>
      <c r="O99" s="1087">
        <f t="shared" si="18"/>
        <v>3944.5000000000005</v>
      </c>
      <c r="P99" s="269">
        <f t="shared" si="19"/>
        <v>1</v>
      </c>
      <c r="Q99" s="269" t="str">
        <f t="shared" si="20"/>
        <v/>
      </c>
      <c r="R99" s="1155"/>
      <c r="S99" s="1087">
        <f t="shared" si="21"/>
        <v>597</v>
      </c>
      <c r="T99" s="1014">
        <f t="shared" si="22"/>
        <v>0.57469500000000018</v>
      </c>
    </row>
    <row r="100" spans="2:20" ht="14.4">
      <c r="B100" s="1134">
        <v>6539753</v>
      </c>
      <c r="C100" s="1223"/>
      <c r="D100" s="1134">
        <v>637164</v>
      </c>
      <c r="E100" s="1148">
        <v>42310</v>
      </c>
      <c r="F100" s="1134">
        <v>13</v>
      </c>
      <c r="G100" s="1134">
        <v>38</v>
      </c>
      <c r="H100" s="1134">
        <v>2400</v>
      </c>
      <c r="I100" s="1141">
        <v>1382.40</v>
      </c>
      <c r="J100" s="1148"/>
      <c r="K100" s="1148">
        <v>42324</v>
      </c>
      <c r="L100" s="269">
        <f t="shared" si="15"/>
        <v>4</v>
      </c>
      <c r="M100" s="1224">
        <f t="shared" si="16"/>
        <v>264</v>
      </c>
      <c r="N100" s="269" t="str">
        <f t="shared" si="17"/>
        <v>R19 to R30</v>
      </c>
      <c r="O100" s="1087">
        <f t="shared" si="18"/>
        <v>2496</v>
      </c>
      <c r="P100" s="269">
        <f t="shared" si="19"/>
        <v>1</v>
      </c>
      <c r="Q100" s="269" t="str">
        <f t="shared" si="20"/>
        <v/>
      </c>
      <c r="R100" s="1155"/>
      <c r="S100" s="1087">
        <f t="shared" si="21"/>
        <v>158</v>
      </c>
      <c r="T100" s="1014">
        <f t="shared" si="22"/>
        <v>0.18262500000000026</v>
      </c>
    </row>
    <row r="101" spans="2:20" ht="14.4">
      <c r="B101" s="1134">
        <v>8833463</v>
      </c>
      <c r="C101" s="1223"/>
      <c r="D101" s="1134">
        <v>8765758</v>
      </c>
      <c r="E101" s="1148">
        <v>42231</v>
      </c>
      <c r="F101" s="1134">
        <v>0</v>
      </c>
      <c r="G101" s="1134">
        <v>30</v>
      </c>
      <c r="H101" s="1134">
        <v>1600</v>
      </c>
      <c r="I101" s="1141">
        <v>1010.99</v>
      </c>
      <c r="J101" s="1148"/>
      <c r="K101" s="1148">
        <v>42325</v>
      </c>
      <c r="L101" s="269">
        <f t="shared" si="15"/>
        <v>4</v>
      </c>
      <c r="M101" s="1224">
        <f t="shared" si="16"/>
        <v>176</v>
      </c>
      <c r="N101" s="269" t="str">
        <f t="shared" si="17"/>
        <v>R0 to R19</v>
      </c>
      <c r="O101" s="1087">
        <f t="shared" si="18"/>
        <v>5573.333333333333</v>
      </c>
      <c r="P101" s="269">
        <f t="shared" si="19"/>
        <v>1</v>
      </c>
      <c r="Q101" s="269" t="str">
        <f t="shared" si="20"/>
        <v/>
      </c>
      <c r="R101" s="1155"/>
      <c r="S101" s="1087">
        <f t="shared" si="21"/>
        <v>3663</v>
      </c>
      <c r="T101" s="1014">
        <f t="shared" si="22"/>
        <v>2.608635</v>
      </c>
    </row>
    <row r="102" spans="2:20" ht="14.4">
      <c r="B102" s="1134">
        <v>8932221</v>
      </c>
      <c r="C102" s="1223"/>
      <c r="D102" s="1134">
        <v>143732</v>
      </c>
      <c r="E102" s="1148">
        <v>42325</v>
      </c>
      <c r="F102" s="1134">
        <v>11</v>
      </c>
      <c r="G102" s="1134">
        <v>38</v>
      </c>
      <c r="H102" s="1134">
        <v>2500</v>
      </c>
      <c r="I102" s="1141">
        <v>1700</v>
      </c>
      <c r="J102" s="1148"/>
      <c r="K102" s="1148">
        <v>42352</v>
      </c>
      <c r="L102" s="269">
        <f t="shared" si="15"/>
        <v>4</v>
      </c>
      <c r="M102" s="1224">
        <f t="shared" si="16"/>
        <v>275</v>
      </c>
      <c r="N102" s="269" t="str">
        <f t="shared" si="17"/>
        <v>R11 to R30</v>
      </c>
      <c r="O102" s="1087">
        <f t="shared" si="18"/>
        <v>8050.0000000000009</v>
      </c>
      <c r="P102" s="269">
        <f t="shared" si="19"/>
        <v>1</v>
      </c>
      <c r="Q102" s="269" t="str">
        <f t="shared" si="20"/>
        <v/>
      </c>
      <c r="R102" s="1155"/>
      <c r="S102" s="1087">
        <f t="shared" si="21"/>
        <v>597</v>
      </c>
      <c r="T102" s="1014">
        <f t="shared" si="22"/>
        <v>0.57469500000000018</v>
      </c>
    </row>
    <row r="103" spans="2:20" ht="14.4">
      <c r="B103" s="1134">
        <v>2109791</v>
      </c>
      <c r="C103" s="1223"/>
      <c r="D103" s="1134">
        <v>188022</v>
      </c>
      <c r="E103" s="1148">
        <v>42333</v>
      </c>
      <c r="F103" s="1134">
        <v>11</v>
      </c>
      <c r="G103" s="1134">
        <v>30</v>
      </c>
      <c r="H103" s="1134">
        <v>1875</v>
      </c>
      <c r="I103" s="1141">
        <v>1875</v>
      </c>
      <c r="J103" s="1148"/>
      <c r="K103" s="1148">
        <v>42352</v>
      </c>
      <c r="L103" s="269">
        <f t="shared" si="15"/>
        <v>4</v>
      </c>
      <c r="M103" s="1224">
        <f t="shared" si="16"/>
        <v>206.25</v>
      </c>
      <c r="N103" s="269" t="str">
        <f t="shared" si="17"/>
        <v>R11 to R30</v>
      </c>
      <c r="O103" s="1087">
        <f t="shared" si="18"/>
        <v>6037.50</v>
      </c>
      <c r="P103" s="269">
        <f t="shared" si="19"/>
        <v>1</v>
      </c>
      <c r="Q103" s="269" t="str">
        <f t="shared" si="20"/>
        <v/>
      </c>
      <c r="R103" s="1155"/>
      <c r="S103" s="1087">
        <f t="shared" si="21"/>
        <v>597</v>
      </c>
      <c r="T103" s="1014">
        <f t="shared" si="22"/>
        <v>0.57469500000000018</v>
      </c>
    </row>
    <row r="104" spans="2:20" ht="14.4">
      <c r="B104" s="1134">
        <v>3566114</v>
      </c>
      <c r="C104" s="1223"/>
      <c r="D104" s="1134">
        <v>87545</v>
      </c>
      <c r="E104" s="1148">
        <v>42316</v>
      </c>
      <c r="F104" s="1134">
        <v>8</v>
      </c>
      <c r="G104" s="1134">
        <v>38</v>
      </c>
      <c r="H104" s="1134">
        <v>2200</v>
      </c>
      <c r="I104" s="1141">
        <v>1216.27</v>
      </c>
      <c r="J104" s="1148"/>
      <c r="K104" s="1148">
        <v>42352</v>
      </c>
      <c r="L104" s="269">
        <f t="shared" si="15"/>
        <v>4</v>
      </c>
      <c r="M104" s="1224">
        <f t="shared" si="16"/>
        <v>242</v>
      </c>
      <c r="N104" s="269" t="str">
        <f t="shared" si="17"/>
        <v>R11 to R30</v>
      </c>
      <c r="O104" s="1087">
        <f t="shared" si="18"/>
        <v>7084</v>
      </c>
      <c r="P104" s="269">
        <f t="shared" si="19"/>
        <v>1</v>
      </c>
      <c r="Q104" s="269" t="str">
        <f t="shared" si="20"/>
        <v/>
      </c>
      <c r="R104" s="1155"/>
      <c r="S104" s="1087">
        <f t="shared" si="21"/>
        <v>597</v>
      </c>
      <c r="T104" s="1014">
        <f t="shared" si="22"/>
        <v>0.57469500000000018</v>
      </c>
    </row>
    <row r="105" spans="2:20" ht="14.4">
      <c r="B105" s="1134">
        <v>991257</v>
      </c>
      <c r="C105" s="1223"/>
      <c r="D105" s="1134">
        <v>99125</v>
      </c>
      <c r="E105" s="1148">
        <v>42298</v>
      </c>
      <c r="F105" s="1134">
        <v>11</v>
      </c>
      <c r="G105" s="1134">
        <v>30</v>
      </c>
      <c r="H105" s="1134">
        <v>1810</v>
      </c>
      <c r="I105" s="1141">
        <v>1175</v>
      </c>
      <c r="J105" s="1148"/>
      <c r="K105" s="1148">
        <v>42354</v>
      </c>
      <c r="L105" s="269">
        <f t="shared" si="15"/>
        <v>4</v>
      </c>
      <c r="M105" s="1224">
        <f t="shared" si="16"/>
        <v>199.10</v>
      </c>
      <c r="N105" s="269" t="str">
        <f t="shared" si="17"/>
        <v>R11 to R30</v>
      </c>
      <c r="O105" s="1087">
        <f t="shared" si="18"/>
        <v>5828.2000000000007</v>
      </c>
      <c r="P105" s="269">
        <f t="shared" si="19"/>
        <v>1</v>
      </c>
      <c r="Q105" s="269" t="str">
        <f t="shared" si="20"/>
        <v/>
      </c>
      <c r="R105" s="1155"/>
      <c r="S105" s="1087">
        <f t="shared" si="21"/>
        <v>597</v>
      </c>
      <c r="T105" s="1014">
        <f t="shared" si="22"/>
        <v>0.57469500000000018</v>
      </c>
    </row>
    <row r="106" spans="2:20" ht="14.4">
      <c r="B106" s="1134">
        <v>5102348</v>
      </c>
      <c r="C106" s="1223"/>
      <c r="D106" s="1134">
        <v>162395</v>
      </c>
      <c r="E106" s="1148">
        <v>42185</v>
      </c>
      <c r="F106" s="1134">
        <v>8</v>
      </c>
      <c r="G106" s="1134">
        <v>30</v>
      </c>
      <c r="H106" s="1134">
        <v>2048</v>
      </c>
      <c r="I106" s="1141">
        <v>12603</v>
      </c>
      <c r="J106" s="1148"/>
      <c r="K106" s="1148">
        <v>42348</v>
      </c>
      <c r="L106" s="269">
        <f t="shared" si="15"/>
        <v>4</v>
      </c>
      <c r="M106" s="1224">
        <f t="shared" si="16"/>
        <v>225.28</v>
      </c>
      <c r="N106" s="269" t="str">
        <f t="shared" si="17"/>
        <v>R11 to R30</v>
      </c>
      <c r="O106" s="1087">
        <f t="shared" si="18"/>
        <v>6594.56</v>
      </c>
      <c r="P106" s="269">
        <f t="shared" si="19"/>
        <v>1</v>
      </c>
      <c r="Q106" s="269" t="str">
        <f t="shared" si="20"/>
        <v/>
      </c>
      <c r="R106" s="1155"/>
      <c r="S106" s="1087">
        <f t="shared" si="21"/>
        <v>597</v>
      </c>
      <c r="T106" s="1014">
        <f t="shared" si="22"/>
        <v>0.57469500000000018</v>
      </c>
    </row>
    <row r="107" spans="2:20" ht="14.4">
      <c r="B107" s="1134">
        <v>8919163</v>
      </c>
      <c r="C107" s="1223"/>
      <c r="D107" s="1134">
        <v>501828</v>
      </c>
      <c r="E107" s="1148">
        <v>42321</v>
      </c>
      <c r="F107" s="1134">
        <v>19</v>
      </c>
      <c r="G107" s="1134">
        <v>38</v>
      </c>
      <c r="H107" s="1134">
        <v>500</v>
      </c>
      <c r="I107" s="1141">
        <v>300</v>
      </c>
      <c r="J107" s="1148"/>
      <c r="K107" s="1148">
        <v>42352</v>
      </c>
      <c r="L107" s="269">
        <f t="shared" si="15"/>
        <v>4</v>
      </c>
      <c r="M107" s="1224">
        <f t="shared" si="16"/>
        <v>55</v>
      </c>
      <c r="N107" s="269" t="str">
        <f t="shared" si="17"/>
        <v>R19 to R30</v>
      </c>
      <c r="O107" s="1087">
        <f t="shared" si="18"/>
        <v>520</v>
      </c>
      <c r="P107" s="269">
        <f t="shared" si="19"/>
        <v>1</v>
      </c>
      <c r="Q107" s="269" t="str">
        <f t="shared" si="20"/>
        <v/>
      </c>
      <c r="R107" s="1155"/>
      <c r="S107" s="1087">
        <f t="shared" si="21"/>
        <v>158</v>
      </c>
      <c r="T107" s="1014">
        <f t="shared" si="22"/>
        <v>0.18262500000000026</v>
      </c>
    </row>
    <row r="108" spans="2:20" ht="14.4">
      <c r="B108" s="1134">
        <v>8802859</v>
      </c>
      <c r="C108" s="1223"/>
      <c r="D108" s="1134">
        <v>639589</v>
      </c>
      <c r="E108" s="1148">
        <v>42320</v>
      </c>
      <c r="F108" s="1134">
        <v>16</v>
      </c>
      <c r="G108" s="1134">
        <v>30</v>
      </c>
      <c r="H108" s="1134">
        <v>2900</v>
      </c>
      <c r="I108" s="1141">
        <v>1100</v>
      </c>
      <c r="J108" s="1148"/>
      <c r="K108" s="1148">
        <v>42339</v>
      </c>
      <c r="L108" s="269">
        <f t="shared" si="15"/>
        <v>4</v>
      </c>
      <c r="M108" s="1224">
        <f t="shared" si="16"/>
        <v>319</v>
      </c>
      <c r="N108" s="269" t="str">
        <f t="shared" si="17"/>
        <v>R19 to R30</v>
      </c>
      <c r="O108" s="1087">
        <f t="shared" si="18"/>
        <v>3016</v>
      </c>
      <c r="P108" s="269">
        <f t="shared" si="19"/>
        <v>1</v>
      </c>
      <c r="Q108" s="269" t="str">
        <f t="shared" si="20"/>
        <v/>
      </c>
      <c r="R108" s="1155"/>
      <c r="S108" s="1087">
        <f t="shared" si="21"/>
        <v>158</v>
      </c>
      <c r="T108" s="1014">
        <f t="shared" si="22"/>
        <v>0.18262500000000026</v>
      </c>
    </row>
    <row r="109" spans="2:20" ht="14.4">
      <c r="B109" s="1134">
        <v>828863</v>
      </c>
      <c r="C109" s="1223"/>
      <c r="D109" s="1134">
        <v>82886</v>
      </c>
      <c r="E109" s="1148">
        <v>42305</v>
      </c>
      <c r="F109" s="1134">
        <v>11</v>
      </c>
      <c r="G109" s="1134">
        <v>30</v>
      </c>
      <c r="H109" s="1134">
        <v>1200</v>
      </c>
      <c r="I109" s="1141">
        <v>725</v>
      </c>
      <c r="J109" s="1148"/>
      <c r="K109" s="1148">
        <v>42339</v>
      </c>
      <c r="L109" s="269">
        <f t="shared" si="15"/>
        <v>4</v>
      </c>
      <c r="M109" s="1224">
        <f t="shared" si="16"/>
        <v>132</v>
      </c>
      <c r="N109" s="269" t="str">
        <f t="shared" si="17"/>
        <v>R11 to R30</v>
      </c>
      <c r="O109" s="1087">
        <f t="shared" si="18"/>
        <v>3864.0000000000005</v>
      </c>
      <c r="P109" s="269">
        <f t="shared" si="19"/>
        <v>1</v>
      </c>
      <c r="Q109" s="269" t="str">
        <f t="shared" si="20"/>
        <v/>
      </c>
      <c r="R109" s="1155"/>
      <c r="S109" s="1087">
        <f t="shared" si="21"/>
        <v>597</v>
      </c>
      <c r="T109" s="1014">
        <f t="shared" si="22"/>
        <v>0.57469500000000018</v>
      </c>
    </row>
    <row r="110" spans="2:20" ht="14.4">
      <c r="B110" s="1134">
        <v>8411506</v>
      </c>
      <c r="C110" s="1223"/>
      <c r="D110" s="1134">
        <v>110412</v>
      </c>
      <c r="E110" s="1148">
        <v>42312</v>
      </c>
      <c r="F110" s="1134">
        <v>19</v>
      </c>
      <c r="G110" s="1134">
        <v>30</v>
      </c>
      <c r="H110" s="1134">
        <v>2062</v>
      </c>
      <c r="I110" s="1141">
        <v>2062</v>
      </c>
      <c r="J110" s="1148"/>
      <c r="K110" s="1148">
        <v>42339</v>
      </c>
      <c r="L110" s="269">
        <f t="shared" si="15"/>
        <v>4</v>
      </c>
      <c r="M110" s="1224">
        <f t="shared" si="16"/>
        <v>226.82</v>
      </c>
      <c r="N110" s="269" t="str">
        <f t="shared" si="17"/>
        <v>R19 to R30</v>
      </c>
      <c r="O110" s="1087">
        <f t="shared" si="18"/>
        <v>2144.48</v>
      </c>
      <c r="P110" s="269">
        <f t="shared" si="19"/>
        <v>1</v>
      </c>
      <c r="Q110" s="269" t="str">
        <f t="shared" si="20"/>
        <v/>
      </c>
      <c r="R110" s="1155"/>
      <c r="S110" s="1087">
        <f t="shared" si="21"/>
        <v>158</v>
      </c>
      <c r="T110" s="1014">
        <f t="shared" si="22"/>
        <v>0.18262500000000026</v>
      </c>
    </row>
    <row r="111" spans="2:20" ht="14.4">
      <c r="B111" s="1134">
        <v>8933578</v>
      </c>
      <c r="C111" s="1223"/>
      <c r="D111" s="1134">
        <v>191332</v>
      </c>
      <c r="E111" s="1148">
        <v>42319</v>
      </c>
      <c r="F111" s="1134">
        <v>11</v>
      </c>
      <c r="G111" s="1134">
        <v>30</v>
      </c>
      <c r="H111" s="1134">
        <v>1648</v>
      </c>
      <c r="I111" s="1141">
        <v>1075</v>
      </c>
      <c r="J111" s="1148"/>
      <c r="K111" s="1148">
        <v>42339</v>
      </c>
      <c r="L111" s="269">
        <f t="shared" si="15"/>
        <v>4</v>
      </c>
      <c r="M111" s="1224">
        <f t="shared" si="16"/>
        <v>181.28</v>
      </c>
      <c r="N111" s="269" t="str">
        <f t="shared" si="17"/>
        <v>R11 to R30</v>
      </c>
      <c r="O111" s="1087">
        <f t="shared" si="18"/>
        <v>5306.56</v>
      </c>
      <c r="P111" s="269">
        <f t="shared" si="19"/>
        <v>1</v>
      </c>
      <c r="Q111" s="269" t="str">
        <f t="shared" si="20"/>
        <v/>
      </c>
      <c r="R111" s="1155"/>
      <c r="S111" s="1087">
        <f t="shared" si="21"/>
        <v>597</v>
      </c>
      <c r="T111" s="1014">
        <f t="shared" si="22"/>
        <v>0.57469500000000018</v>
      </c>
    </row>
  </sheetData>
  <autoFilter ref="B19:S111"/>
  <mergeCells count="6">
    <mergeCell ref="O2:P2"/>
    <mergeCell ref="M2:N2"/>
    <mergeCell ref="S18:T18"/>
    <mergeCell ref="B2:G2"/>
    <mergeCell ref="B18:R18"/>
    <mergeCell ref="B10:I10"/>
  </mergeCells>
  <pageMargins left="0.7" right="0.7" top="0.75" bottom="0.75" header="0.3" footer="0.3"/>
  <pageSetup orientation="portrait"/>
  <headerFooter alignWithMargins="0"/>
  <ignoredErrors>
    <ignoredError sqref="H16" formula="1"/>
  </ignoredErrors>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7" tint="0.39998"/>
  </sheetPr>
  <dimension ref="B1:J63"/>
  <sheetViews>
    <sheetView zoomScale="70" zoomScaleNormal="70" workbookViewId="0" topLeftCell="A1"/>
  </sheetViews>
  <sheetFormatPr defaultColWidth="8.88888888888889" defaultRowHeight="14.4"/>
  <cols>
    <col min="2" max="4" width="21.2222222222222" customWidth="1"/>
    <col min="5" max="5" width="15.2222222222222" bestFit="1" customWidth="1"/>
    <col min="6" max="6" width="23.2222222222222" bestFit="1" customWidth="1"/>
    <col min="7" max="8" width="20" bestFit="1" customWidth="1"/>
    <col min="9" max="9" width="21.5555555555556" bestFit="1" customWidth="1"/>
    <col min="10" max="10" width="13" bestFit="1" customWidth="1"/>
  </cols>
  <sheetData>
    <row r="1" ht="14.4">
      <c r="B1" s="338" t="s">
        <v>1632</v>
      </c>
    </row>
    <row r="2" spans="3:6" ht="14.4">
      <c r="C2" s="1859" t="s">
        <v>1091</v>
      </c>
      <c r="D2" s="1859"/>
      <c r="E2" s="1859" t="s">
        <v>1092</v>
      </c>
      <c r="F2" s="1859"/>
    </row>
    <row r="3" spans="2:10" ht="43.2">
      <c r="B3" s="260" t="s">
        <v>331</v>
      </c>
      <c r="C3" s="260" t="s">
        <v>330</v>
      </c>
      <c r="D3" s="283" t="s">
        <v>329</v>
      </c>
      <c r="E3" s="447" t="s">
        <v>1093</v>
      </c>
      <c r="F3" s="445" t="s">
        <v>1098</v>
      </c>
      <c r="I3" s="1857" t="s">
        <v>384</v>
      </c>
      <c r="J3" s="283" t="s">
        <v>378</v>
      </c>
    </row>
    <row r="4" spans="2:10" ht="28.8">
      <c r="B4" s="264" t="s">
        <v>324</v>
      </c>
      <c r="C4" s="271">
        <f>418/0.08/1500</f>
        <v>3.4833333333333334</v>
      </c>
      <c r="D4" s="167">
        <f>AVERAGE($J$5:$J$7)*$C4</f>
        <v>0.0012107660692679274</v>
      </c>
      <c r="E4" s="270">
        <f>'BEopt Results'!$C$54</f>
        <v>3663</v>
      </c>
      <c r="F4" s="167">
        <f>AVERAGE($J$5:$J$7)*$E4</f>
        <v>1.2732161086301679</v>
      </c>
      <c r="I4" s="1857"/>
      <c r="J4" s="283" t="s">
        <v>376</v>
      </c>
    </row>
    <row r="5" spans="2:10" ht="14.4">
      <c r="B5" s="264" t="s">
        <v>323</v>
      </c>
      <c r="C5" s="256">
        <v>3.22</v>
      </c>
      <c r="D5" s="167">
        <f>AVERAGE($J$5:$J$7)*$C5</f>
        <v>0.0011192344716869072</v>
      </c>
      <c r="E5" s="270">
        <f>'BEopt Results'!$C$88</f>
        <v>597</v>
      </c>
      <c r="F5" s="167">
        <f>AVERAGE($J$5:$J$7)*$E5</f>
        <v>0.2075102421108955</v>
      </c>
      <c r="I5" s="282" t="s">
        <v>375</v>
      </c>
      <c r="J5" s="282">
        <f>AVERAGE(J13,J21,J29,J37)*$I$45</f>
        <v>0.00044057925723306576</v>
      </c>
    </row>
    <row r="6" spans="2:10" ht="14.4">
      <c r="B6" s="264" t="s">
        <v>322</v>
      </c>
      <c r="C6" s="256">
        <v>2.17</v>
      </c>
      <c r="D6" s="167">
        <f>AVERAGE($J$5:$J$7)*$C6</f>
        <v>0.00075426670918030689</v>
      </c>
      <c r="E6" s="270">
        <f>'BEopt Results'!$C$71</f>
        <v>439</v>
      </c>
      <c r="F6" s="167">
        <f>AVERAGE($J$5:$J$7)*$E6</f>
        <v>0.1525912835622833</v>
      </c>
      <c r="I6" s="282" t="s">
        <v>374</v>
      </c>
      <c r="J6" s="282">
        <f>AVERAGE(J14,J22,J30,J38)*$I$45</f>
        <v>0.00027432863238430498</v>
      </c>
    </row>
    <row r="7" spans="2:10" ht="14.4">
      <c r="B7" s="264" t="s">
        <v>321</v>
      </c>
      <c r="C7" s="256">
        <v>1.04</v>
      </c>
      <c r="D7" s="167">
        <f>AVERAGE($J$5:$J$7)*$C7</f>
        <v>0.00036149187905415632</v>
      </c>
      <c r="E7" s="270">
        <f>'BEopt Results'!$C$105</f>
        <v>158</v>
      </c>
      <c r="F7" s="167">
        <f>AVERAGE($J$5:$J$7)*$E7</f>
        <v>0.054918958548612208</v>
      </c>
      <c r="I7" s="282" t="s">
        <v>373</v>
      </c>
      <c r="J7" s="282">
        <f>AVERAGE(J15,J23,J31,J39)*$I$45</f>
        <v>0.00032785714611577251</v>
      </c>
    </row>
    <row r="8" spans="9:10" ht="14.4">
      <c r="I8" s="282" t="s">
        <v>372</v>
      </c>
      <c r="J8" s="282">
        <f>AVERAGE(J16,J24,J32,J40)*$I$45</f>
        <v>0.00021948216456458566</v>
      </c>
    </row>
    <row r="9" ht="14.4"/>
    <row r="10" ht="14.4">
      <c r="B10" s="281" t="s">
        <v>388</v>
      </c>
    </row>
    <row r="11" spans="2:10" ht="43.2">
      <c r="B11" s="1857" t="s">
        <v>384</v>
      </c>
      <c r="C11" s="283" t="s">
        <v>383</v>
      </c>
      <c r="D11" s="283" t="s">
        <v>382</v>
      </c>
      <c r="E11" s="283" t="s">
        <v>382</v>
      </c>
      <c r="F11" s="283" t="s">
        <v>381</v>
      </c>
      <c r="G11" s="283" t="s">
        <v>110</v>
      </c>
      <c r="H11" s="283" t="s">
        <v>380</v>
      </c>
      <c r="I11" s="283" t="s">
        <v>379</v>
      </c>
      <c r="J11" s="283" t="s">
        <v>378</v>
      </c>
    </row>
    <row r="12" spans="2:10" ht="28.8">
      <c r="B12" s="1857"/>
      <c r="C12" s="283" t="s">
        <v>171</v>
      </c>
      <c r="D12" s="283" t="s">
        <v>171</v>
      </c>
      <c r="E12" s="283" t="s">
        <v>377</v>
      </c>
      <c r="F12" s="283" t="s">
        <v>171</v>
      </c>
      <c r="G12" s="283" t="s">
        <v>171</v>
      </c>
      <c r="H12" s="283" t="s">
        <v>165</v>
      </c>
      <c r="I12" s="283" t="s">
        <v>377</v>
      </c>
      <c r="J12" s="283" t="s">
        <v>376</v>
      </c>
    </row>
    <row r="13" spans="2:10" ht="14.4">
      <c r="B13" s="282" t="s">
        <v>375</v>
      </c>
      <c r="C13" s="282">
        <v>1.20</v>
      </c>
      <c r="D13" s="282">
        <v>0.17699999999999999</v>
      </c>
      <c r="E13" s="282">
        <v>0.19800000000000001</v>
      </c>
      <c r="F13" s="282">
        <v>5.67</v>
      </c>
      <c r="G13" s="282">
        <v>3.08</v>
      </c>
      <c r="H13" s="282">
        <v>0.0011999999999999999</v>
      </c>
      <c r="I13" s="282">
        <v>0.0025400000000000002</v>
      </c>
      <c r="J13" s="282">
        <f>H13/AVERAGE(C13,F13:G13)</f>
        <v>0.00036180904522613067</v>
      </c>
    </row>
    <row r="14" spans="2:10" ht="14.4">
      <c r="B14" s="282" t="s">
        <v>374</v>
      </c>
      <c r="C14" s="282">
        <v>0.61</v>
      </c>
      <c r="D14" s="282">
        <v>0.098000000000000004</v>
      </c>
      <c r="E14" s="282">
        <v>0.113</v>
      </c>
      <c r="F14" s="282">
        <v>3.18</v>
      </c>
      <c r="G14" s="282">
        <v>1.70</v>
      </c>
      <c r="H14" s="282">
        <v>0.00038999999999999999</v>
      </c>
      <c r="I14" s="282">
        <v>0.0015100000000000001</v>
      </c>
      <c r="J14" s="282">
        <f>H14/AVERAGE(C14,F14:G14)</f>
        <v>0.00021311475409836064</v>
      </c>
    </row>
    <row r="15" spans="2:10" ht="14.4">
      <c r="B15" s="282" t="s">
        <v>373</v>
      </c>
      <c r="C15" s="282">
        <v>0.33800000000000002</v>
      </c>
      <c r="D15" s="282">
        <v>0.053900000000000003</v>
      </c>
      <c r="E15" s="282">
        <v>0.062899999999999998</v>
      </c>
      <c r="F15" s="282">
        <v>1.84</v>
      </c>
      <c r="G15" s="282">
        <v>0.98299999999999998</v>
      </c>
      <c r="H15" s="282">
        <v>0.00029999999999999997</v>
      </c>
      <c r="I15" s="282">
        <v>0.00079000000000000001</v>
      </c>
      <c r="J15" s="282">
        <f>H15/AVERAGE(C15,F15:G15)</f>
        <v>0.00028472002530844666</v>
      </c>
    </row>
    <row r="16" spans="2:10" ht="14.4">
      <c r="B16" s="282" t="s">
        <v>372</v>
      </c>
      <c r="C16" s="282">
        <v>0.23100000000000001</v>
      </c>
      <c r="D16" s="282">
        <v>0.040800000000000003</v>
      </c>
      <c r="E16" s="282">
        <v>0.0482</v>
      </c>
      <c r="F16" s="282">
        <v>1.34</v>
      </c>
      <c r="G16" s="282">
        <v>0.71399999999999997</v>
      </c>
      <c r="H16" s="282">
        <v>0.00013999999999999999</v>
      </c>
      <c r="I16" s="282">
        <v>0.00066</v>
      </c>
      <c r="J16" s="282">
        <f>H16/AVERAGE(C16,F16:G16)</f>
        <v>0.00018380743982494526</v>
      </c>
    </row>
    <row r="17" ht="14.4"/>
    <row r="18" ht="14.1" customHeight="1">
      <c r="B18" s="281" t="s">
        <v>387</v>
      </c>
    </row>
    <row r="19" spans="2:10" ht="43.2">
      <c r="B19" s="1857" t="s">
        <v>384</v>
      </c>
      <c r="C19" s="283" t="s">
        <v>383</v>
      </c>
      <c r="D19" s="283" t="s">
        <v>382</v>
      </c>
      <c r="E19" s="283" t="s">
        <v>382</v>
      </c>
      <c r="F19" s="283" t="s">
        <v>381</v>
      </c>
      <c r="G19" s="283" t="s">
        <v>110</v>
      </c>
      <c r="H19" s="283" t="s">
        <v>380</v>
      </c>
      <c r="I19" s="283" t="s">
        <v>379</v>
      </c>
      <c r="J19" s="283" t="s">
        <v>378</v>
      </c>
    </row>
    <row r="20" spans="2:10" ht="28.8">
      <c r="B20" s="1857"/>
      <c r="C20" s="283" t="s">
        <v>171</v>
      </c>
      <c r="D20" s="283" t="s">
        <v>171</v>
      </c>
      <c r="E20" s="283" t="s">
        <v>377</v>
      </c>
      <c r="F20" s="283" t="s">
        <v>171</v>
      </c>
      <c r="G20" s="283" t="s">
        <v>171</v>
      </c>
      <c r="H20" s="283" t="s">
        <v>165</v>
      </c>
      <c r="I20" s="283" t="s">
        <v>377</v>
      </c>
      <c r="J20" s="283" t="s">
        <v>376</v>
      </c>
    </row>
    <row r="21" spans="2:10" ht="14.4">
      <c r="B21" s="282" t="s">
        <v>375</v>
      </c>
      <c r="C21" s="87">
        <v>1.53</v>
      </c>
      <c r="D21" s="87">
        <v>0.126</v>
      </c>
      <c r="E21" s="87">
        <v>0.14499999999999999</v>
      </c>
      <c r="F21" s="87">
        <v>4.80</v>
      </c>
      <c r="G21" s="87">
        <v>2.83</v>
      </c>
      <c r="H21" s="87">
        <v>0.00115</v>
      </c>
      <c r="I21" s="87">
        <v>0.0024399999999999999</v>
      </c>
      <c r="J21" s="282">
        <f>H21/AVERAGE(C21,F21:G21)</f>
        <v>0.00037663755458515284</v>
      </c>
    </row>
    <row r="22" spans="2:10" ht="14.4">
      <c r="B22" s="282" t="s">
        <v>374</v>
      </c>
      <c r="C22" s="87">
        <v>0.75600000000000001</v>
      </c>
      <c r="D22" s="87">
        <v>0.071800000000000003</v>
      </c>
      <c r="E22" s="87">
        <v>0.084099999999999994</v>
      </c>
      <c r="F22" s="87">
        <v>2.65</v>
      </c>
      <c r="G22" s="87">
        <v>1.53</v>
      </c>
      <c r="H22" s="87">
        <v>0.00038000000000000002</v>
      </c>
      <c r="I22" s="87">
        <v>0.0014</v>
      </c>
      <c r="J22" s="282">
        <f>H22/AVERAGE(C22,F22:G22)</f>
        <v>0.00023095623987034038</v>
      </c>
    </row>
    <row r="23" spans="2:10" ht="14.4">
      <c r="B23" s="282" t="s">
        <v>373</v>
      </c>
      <c r="C23" s="87">
        <v>0.45100000000000001</v>
      </c>
      <c r="D23" s="87">
        <v>0.045699999999999998</v>
      </c>
      <c r="E23" s="87">
        <v>0.054699999999999999</v>
      </c>
      <c r="F23" s="87">
        <v>1.68</v>
      </c>
      <c r="G23" s="87">
        <v>0.96899999999999997</v>
      </c>
      <c r="H23" s="87">
        <v>0.00029</v>
      </c>
      <c r="I23" s="87">
        <v>0.00089999999999999998</v>
      </c>
      <c r="J23" s="282">
        <f>H23/AVERAGE(C23,F23:G23)</f>
        <v>0.00028064516129032262</v>
      </c>
    </row>
    <row r="24" spans="2:10" ht="14.4">
      <c r="B24" s="282" t="s">
        <v>372</v>
      </c>
      <c r="C24" s="87">
        <v>0.28000000000000003</v>
      </c>
      <c r="D24" s="87">
        <v>0.030200000000000001</v>
      </c>
      <c r="E24" s="87">
        <v>0.035900000000000001</v>
      </c>
      <c r="F24" s="87">
        <v>1.1000000000000001</v>
      </c>
      <c r="G24" s="87">
        <v>0.629</v>
      </c>
      <c r="H24" s="87">
        <v>0.00012999999999999999</v>
      </c>
      <c r="I24" s="87">
        <v>0.00059000000000000003</v>
      </c>
      <c r="J24" s="282">
        <f>H24/AVERAGE(C24,F24:G24)</f>
        <v>0.00019412643106022894</v>
      </c>
    </row>
    <row r="25" ht="14.4"/>
    <row r="26" ht="14.4">
      <c r="B26" s="281" t="s">
        <v>386</v>
      </c>
    </row>
    <row r="27" spans="2:10" ht="43.2">
      <c r="B27" s="1857" t="s">
        <v>384</v>
      </c>
      <c r="C27" s="283" t="s">
        <v>383</v>
      </c>
      <c r="D27" s="283" t="s">
        <v>382</v>
      </c>
      <c r="E27" s="283" t="s">
        <v>382</v>
      </c>
      <c r="F27" s="283" t="s">
        <v>381</v>
      </c>
      <c r="G27" s="283" t="s">
        <v>110</v>
      </c>
      <c r="H27" s="283" t="s">
        <v>380</v>
      </c>
      <c r="I27" s="283" t="s">
        <v>379</v>
      </c>
      <c r="J27" s="283" t="s">
        <v>378</v>
      </c>
    </row>
    <row r="28" spans="2:10" ht="28.8">
      <c r="B28" s="1857"/>
      <c r="C28" s="283" t="s">
        <v>171</v>
      </c>
      <c r="D28" s="283" t="s">
        <v>171</v>
      </c>
      <c r="E28" s="283" t="s">
        <v>377</v>
      </c>
      <c r="F28" s="283" t="s">
        <v>171</v>
      </c>
      <c r="G28" s="283" t="s">
        <v>171</v>
      </c>
      <c r="H28" s="283" t="s">
        <v>165</v>
      </c>
      <c r="I28" s="283" t="s">
        <v>377</v>
      </c>
      <c r="J28" s="283" t="s">
        <v>376</v>
      </c>
    </row>
    <row r="29" spans="2:10" ht="14.4">
      <c r="B29" s="282" t="s">
        <v>375</v>
      </c>
      <c r="C29" s="87">
        <v>1.48</v>
      </c>
      <c r="D29" s="87">
        <v>0.122</v>
      </c>
      <c r="E29" s="87">
        <v>0.14099999999999999</v>
      </c>
      <c r="F29" s="87">
        <v>4.66</v>
      </c>
      <c r="G29" s="87">
        <v>2.74</v>
      </c>
      <c r="H29" s="87">
        <v>0.0011100000000000001</v>
      </c>
      <c r="I29" s="87">
        <v>0.0022000000000000001</v>
      </c>
      <c r="J29" s="282">
        <f>H29/AVERAGE(C29,F29:G29)</f>
        <v>0.00037499999999999995</v>
      </c>
    </row>
    <row r="30" spans="2:10" ht="14.4">
      <c r="B30" s="282" t="s">
        <v>374</v>
      </c>
      <c r="C30" s="87">
        <v>0.74099999999999999</v>
      </c>
      <c r="D30" s="87">
        <v>0.070300000000000001</v>
      </c>
      <c r="E30" s="87">
        <v>0.081600000000000006</v>
      </c>
      <c r="F30" s="87">
        <v>2.57</v>
      </c>
      <c r="G30" s="87">
        <v>1.49</v>
      </c>
      <c r="H30" s="87">
        <v>0.00038000000000000002</v>
      </c>
      <c r="I30" s="87">
        <v>0.0012600000000000001</v>
      </c>
      <c r="J30" s="282">
        <f>H30/AVERAGE(C30,F30:G30)</f>
        <v>0.00023745053113934596</v>
      </c>
    </row>
    <row r="31" spans="2:10" ht="14.4">
      <c r="B31" s="282" t="s">
        <v>373</v>
      </c>
      <c r="C31" s="87">
        <v>0.45100000000000001</v>
      </c>
      <c r="D31" s="87">
        <v>0.044900000000000002</v>
      </c>
      <c r="E31" s="87">
        <v>0.052200000000000003</v>
      </c>
      <c r="F31" s="87">
        <v>1.63</v>
      </c>
      <c r="G31" s="87">
        <v>0.95299999999999996</v>
      </c>
      <c r="H31" s="87">
        <v>0.00027</v>
      </c>
      <c r="I31" s="87">
        <v>0.00080000000000000004</v>
      </c>
      <c r="J31" s="282">
        <f>H31/AVERAGE(C31,F31:G31)</f>
        <v>0.00026697429136453532</v>
      </c>
    </row>
    <row r="32" spans="2:10" ht="14.4">
      <c r="B32" s="282" t="s">
        <v>372</v>
      </c>
      <c r="C32" s="87">
        <v>0.28199999999999997</v>
      </c>
      <c r="D32" s="87">
        <v>0.0286</v>
      </c>
      <c r="E32" s="87">
        <v>0.035099999999999999</v>
      </c>
      <c r="F32" s="87">
        <v>1.07</v>
      </c>
      <c r="G32" s="87">
        <v>0.623</v>
      </c>
      <c r="H32" s="87">
        <v>0.00012</v>
      </c>
      <c r="I32" s="87">
        <v>0.00052999999999999998</v>
      </c>
      <c r="J32" s="282">
        <f>H32/AVERAGE(C32,F32:G32)</f>
        <v>0.00018227848101265824</v>
      </c>
    </row>
    <row r="33" ht="14.4"/>
    <row r="34" ht="14.4">
      <c r="B34" s="281" t="s">
        <v>385</v>
      </c>
    </row>
    <row r="35" spans="2:10" ht="43.2">
      <c r="B35" s="1857" t="s">
        <v>384</v>
      </c>
      <c r="C35" s="283" t="s">
        <v>383</v>
      </c>
      <c r="D35" s="283" t="s">
        <v>382</v>
      </c>
      <c r="E35" s="283" t="s">
        <v>382</v>
      </c>
      <c r="F35" s="283" t="s">
        <v>381</v>
      </c>
      <c r="G35" s="283" t="s">
        <v>110</v>
      </c>
      <c r="H35" s="283" t="s">
        <v>380</v>
      </c>
      <c r="I35" s="283" t="s">
        <v>379</v>
      </c>
      <c r="J35" s="283" t="s">
        <v>378</v>
      </c>
    </row>
    <row r="36" spans="2:10" ht="28.8">
      <c r="B36" s="1857"/>
      <c r="C36" s="283" t="s">
        <v>171</v>
      </c>
      <c r="D36" s="283" t="s">
        <v>171</v>
      </c>
      <c r="E36" s="283" t="s">
        <v>377</v>
      </c>
      <c r="F36" s="283" t="s">
        <v>171</v>
      </c>
      <c r="G36" s="283" t="s">
        <v>171</v>
      </c>
      <c r="H36" s="283" t="s">
        <v>165</v>
      </c>
      <c r="I36" s="283" t="s">
        <v>377</v>
      </c>
      <c r="J36" s="283" t="s">
        <v>376</v>
      </c>
    </row>
    <row r="37" spans="2:10" ht="14.4">
      <c r="B37" s="282" t="s">
        <v>375</v>
      </c>
      <c r="C37" s="87">
        <v>1.59</v>
      </c>
      <c r="D37" s="87">
        <v>0.093100000000000002</v>
      </c>
      <c r="E37" s="87">
        <v>0.108</v>
      </c>
      <c r="F37" s="87">
        <v>4.0199999999999996</v>
      </c>
      <c r="G37" s="87">
        <v>2.4700000000000002</v>
      </c>
      <c r="H37" s="87">
        <v>0.00106</v>
      </c>
      <c r="I37" s="87">
        <v>0.00189</v>
      </c>
      <c r="J37" s="282">
        <f>H37/AVERAGE(C37,F37:G37)</f>
        <v>0.00039356435643564353</v>
      </c>
    </row>
    <row r="38" spans="2:10" ht="14.4">
      <c r="B38" s="282" t="s">
        <v>374</v>
      </c>
      <c r="C38" s="87">
        <v>0.80200000000000005</v>
      </c>
      <c r="D38" s="87">
        <v>0.052200000000000003</v>
      </c>
      <c r="E38" s="87">
        <v>0.062</v>
      </c>
      <c r="F38" s="87">
        <v>2.2000000000000002</v>
      </c>
      <c r="G38" s="87">
        <v>1.32</v>
      </c>
      <c r="H38" s="87">
        <v>0.00036999999999999999</v>
      </c>
      <c r="I38" s="87">
        <v>0.0011000000000000001</v>
      </c>
      <c r="J38" s="282">
        <f>H38/AVERAGE(C38,F38:G38)</f>
        <v>0.00025682554372975471</v>
      </c>
    </row>
    <row r="39" spans="2:10" ht="14.4">
      <c r="B39" s="282" t="s">
        <v>373</v>
      </c>
      <c r="C39" s="87">
        <v>0.485</v>
      </c>
      <c r="D39" s="87">
        <v>0.0327</v>
      </c>
      <c r="E39" s="87">
        <v>0.04</v>
      </c>
      <c r="F39" s="87">
        <v>1.38</v>
      </c>
      <c r="G39" s="87">
        <v>0.83299999999999996</v>
      </c>
      <c r="H39" s="87">
        <v>0.00025999999999999998</v>
      </c>
      <c r="I39" s="87">
        <v>0.00071000000000000002</v>
      </c>
      <c r="J39" s="282">
        <f>H39/AVERAGE(C39,F39:G39)</f>
        <v>0.00028910303928836176</v>
      </c>
    </row>
    <row r="40" spans="2:10" ht="14.4">
      <c r="B40" s="282" t="s">
        <v>372</v>
      </c>
      <c r="C40" s="87">
        <v>0.30299999999999999</v>
      </c>
      <c r="D40" s="87">
        <v>0.021999999999999999</v>
      </c>
      <c r="E40" s="87">
        <v>0.0269</v>
      </c>
      <c r="F40" s="87">
        <v>0.89300000000000002</v>
      </c>
      <c r="G40" s="87">
        <v>0.53600000000000003</v>
      </c>
      <c r="H40" s="87">
        <v>0.00011</v>
      </c>
      <c r="I40" s="87">
        <v>0.00046999999999999999</v>
      </c>
      <c r="J40" s="282">
        <f>H40/AVERAGE(C40,F40:G40)</f>
        <v>0.00019053117782909932</v>
      </c>
    </row>
    <row r="41" ht="14.4"/>
    <row r="42" ht="14.55" customHeight="1">
      <c r="B42" s="281" t="s">
        <v>371</v>
      </c>
    </row>
    <row r="43" spans="2:9" ht="14.55" customHeight="1">
      <c r="B43" s="1858" t="s">
        <v>370</v>
      </c>
      <c r="C43" s="1858" t="s">
        <v>366</v>
      </c>
      <c r="D43" s="1858" t="s">
        <v>365</v>
      </c>
      <c r="E43" s="1858" t="s">
        <v>369</v>
      </c>
      <c r="F43" s="1858"/>
      <c r="G43" s="1858" t="s">
        <v>368</v>
      </c>
      <c r="H43" s="1858"/>
      <c r="I43" s="1860" t="s">
        <v>367</v>
      </c>
    </row>
    <row r="44" spans="2:9" ht="14.4">
      <c r="B44" s="1858"/>
      <c r="C44" s="1858"/>
      <c r="D44" s="1858"/>
      <c r="E44" s="87" t="s">
        <v>366</v>
      </c>
      <c r="F44" s="87" t="s">
        <v>365</v>
      </c>
      <c r="G44" s="87" t="s">
        <v>366</v>
      </c>
      <c r="H44" s="87" t="s">
        <v>365</v>
      </c>
      <c r="I44" s="1861"/>
    </row>
    <row r="45" spans="2:9" ht="14.4">
      <c r="B45" s="87">
        <v>9</v>
      </c>
      <c r="C45" s="279">
        <v>1233</v>
      </c>
      <c r="D45" s="279">
        <v>1923</v>
      </c>
      <c r="E45" s="278">
        <f>$E$55/C45</f>
        <v>1.8069748580697487</v>
      </c>
      <c r="F45" s="278">
        <f>F55/$D$45</f>
        <v>0.46229849193967759</v>
      </c>
      <c r="G45" s="280">
        <f>AVERAGE(E45:E48)</f>
        <v>1.4967414852521785</v>
      </c>
      <c r="H45" s="280">
        <f>AVERAGE(F45:F48)</f>
        <v>0.34906396255850231</v>
      </c>
      <c r="I45" s="278">
        <f>(G45*E63)+(H45*F63)</f>
        <v>1.1694122206789741</v>
      </c>
    </row>
    <row r="46" spans="2:6" ht="14.4">
      <c r="B46" s="87">
        <v>8</v>
      </c>
      <c r="C46" s="279">
        <v>1493</v>
      </c>
      <c r="D46" s="279">
        <v>1793</v>
      </c>
      <c r="E46" s="278">
        <f>$E$55/C46</f>
        <v>1.4922973878097789</v>
      </c>
      <c r="F46" s="278">
        <f>F56/$D$45</f>
        <v>0.26209048361934478</v>
      </c>
    </row>
    <row r="47" spans="2:6" ht="14.4">
      <c r="B47" s="87">
        <v>7</v>
      </c>
      <c r="C47" s="279">
        <v>1669</v>
      </c>
      <c r="D47" s="279">
        <v>1682</v>
      </c>
      <c r="E47" s="278">
        <f>$E$55/C47</f>
        <v>1.334931096464949</v>
      </c>
      <c r="F47" s="278">
        <f>F57/$D$45</f>
        <v>0.36869474778991157</v>
      </c>
    </row>
    <row r="48" spans="2:6" ht="14.4">
      <c r="B48" s="87">
        <v>6</v>
      </c>
      <c r="C48" s="279">
        <v>1647</v>
      </c>
      <c r="D48" s="279">
        <v>1474</v>
      </c>
      <c r="E48" s="278">
        <f>$E$55/C48</f>
        <v>1.352762598664238</v>
      </c>
      <c r="F48" s="278">
        <f>F58/$D$45</f>
        <v>0.30317212688507539</v>
      </c>
    </row>
    <row r="49" ht="14.4">
      <c r="B49" t="s">
        <v>364</v>
      </c>
    </row>
    <row r="50" ht="14.4"/>
    <row r="51" spans="2:6" ht="14.4">
      <c r="B51" s="1852" t="s">
        <v>363</v>
      </c>
      <c r="C51" s="1852" t="s">
        <v>362</v>
      </c>
      <c r="D51" s="1852" t="s">
        <v>361</v>
      </c>
      <c r="E51" s="1855" t="s">
        <v>360</v>
      </c>
      <c r="F51" s="1856"/>
    </row>
    <row r="52" spans="2:6" ht="14.4">
      <c r="B52" s="1853"/>
      <c r="C52" s="1853"/>
      <c r="D52" s="1853"/>
      <c r="E52" s="277" t="s">
        <v>359</v>
      </c>
      <c r="F52" s="277" t="s">
        <v>358</v>
      </c>
    </row>
    <row r="53" spans="2:6" ht="14.4">
      <c r="B53" s="1854"/>
      <c r="C53" s="1854"/>
      <c r="D53" s="1854"/>
      <c r="E53" s="273" t="s">
        <v>357</v>
      </c>
      <c r="F53" s="273" t="s">
        <v>357</v>
      </c>
    </row>
    <row r="54" spans="2:6" ht="26.4">
      <c r="B54" s="273" t="s">
        <v>356</v>
      </c>
      <c r="C54" s="273" t="s">
        <v>355</v>
      </c>
      <c r="D54" s="163" t="s">
        <v>342</v>
      </c>
      <c r="E54" s="163">
        <f>VLOOKUP($D54,'EStar EFLH'!$B$36:$D$46,2,FALSE)</f>
        <v>2228</v>
      </c>
      <c r="F54" s="163">
        <f>VLOOKUP($D54,'EStar EFLH'!$B$36:$D$46,3,FALSE)</f>
        <v>889</v>
      </c>
    </row>
    <row r="55" spans="2:6" ht="39.6">
      <c r="B55" s="276" t="s">
        <v>354</v>
      </c>
      <c r="C55" s="276" t="s">
        <v>353</v>
      </c>
      <c r="D55" s="275" t="s">
        <v>342</v>
      </c>
      <c r="E55" s="275">
        <f>VLOOKUP($D55,'EStar EFLH'!$B$36:$D$46,2,FALSE)</f>
        <v>2228</v>
      </c>
      <c r="F55" s="275">
        <f>VLOOKUP($D55,'EStar EFLH'!$B$36:$D$46,3,FALSE)</f>
        <v>889</v>
      </c>
    </row>
    <row r="56" spans="2:6" ht="26.4">
      <c r="B56" s="273" t="s">
        <v>352</v>
      </c>
      <c r="C56" s="273" t="s">
        <v>351</v>
      </c>
      <c r="D56" s="163" t="s">
        <v>350</v>
      </c>
      <c r="E56" s="163">
        <f>VLOOKUP($D56,'EStar EFLH'!$B$36:$D$46,2,FALSE)</f>
        <v>3288</v>
      </c>
      <c r="F56" s="163">
        <f>VLOOKUP($D56,'EStar EFLH'!$B$36:$D$46,3,FALSE)</f>
        <v>504</v>
      </c>
    </row>
    <row r="57" spans="2:6" ht="26.4">
      <c r="B57" s="273" t="s">
        <v>349</v>
      </c>
      <c r="C57" s="273" t="s">
        <v>348</v>
      </c>
      <c r="D57" s="163" t="s">
        <v>334</v>
      </c>
      <c r="E57" s="163">
        <f>VLOOKUP($D57,'EStar EFLH'!$B$36:$D$46,2,FALSE)</f>
        <v>3068</v>
      </c>
      <c r="F57" s="163">
        <f>VLOOKUP($D57,'EStar EFLH'!$B$36:$D$46,3,FALSE)</f>
        <v>709</v>
      </c>
    </row>
    <row r="58" spans="2:6" ht="39.6">
      <c r="B58" s="273" t="s">
        <v>347</v>
      </c>
      <c r="C58" s="273" t="s">
        <v>346</v>
      </c>
      <c r="D58" s="163" t="s">
        <v>345</v>
      </c>
      <c r="E58" s="163">
        <f>VLOOKUP($D58,'EStar EFLH'!$B$36:$D$46,2,FALSE)</f>
        <v>2915</v>
      </c>
      <c r="F58" s="163">
        <f>VLOOKUP($D58,'EStar EFLH'!$B$36:$D$46,3,FALSE)</f>
        <v>583</v>
      </c>
    </row>
    <row r="59" spans="2:6" ht="26.4">
      <c r="B59" s="273" t="s">
        <v>344</v>
      </c>
      <c r="C59" s="273" t="s">
        <v>343</v>
      </c>
      <c r="D59" s="163" t="s">
        <v>342</v>
      </c>
      <c r="E59" s="163">
        <f>VLOOKUP($D59,'EStar EFLH'!$B$36:$D$46,2,FALSE)</f>
        <v>2228</v>
      </c>
      <c r="F59" s="163">
        <f>VLOOKUP($D59,'EStar EFLH'!$B$36:$D$46,3,FALSE)</f>
        <v>889</v>
      </c>
    </row>
    <row r="60" spans="2:6" ht="26.4">
      <c r="B60" s="274" t="s">
        <v>341</v>
      </c>
      <c r="C60" s="273" t="s">
        <v>340</v>
      </c>
      <c r="D60" s="163" t="s">
        <v>337</v>
      </c>
      <c r="E60" s="163">
        <f>VLOOKUP($D60,'EStar EFLH'!$B$36:$D$46,2,FALSE)</f>
        <v>2215</v>
      </c>
      <c r="F60" s="163">
        <f>VLOOKUP($D60,'EStar EFLH'!$B$36:$D$46,3,FALSE)</f>
        <v>1133</v>
      </c>
    </row>
    <row r="61" spans="2:6" ht="26.4">
      <c r="B61" s="274" t="s">
        <v>339</v>
      </c>
      <c r="C61" s="273" t="s">
        <v>338</v>
      </c>
      <c r="D61" s="163" t="s">
        <v>337</v>
      </c>
      <c r="E61" s="163">
        <f>VLOOKUP($D61,'EStar EFLH'!$B$36:$D$46,2,FALSE)</f>
        <v>2215</v>
      </c>
      <c r="F61" s="163">
        <f>VLOOKUP($D61,'EStar EFLH'!$B$36:$D$46,3,FALSE)</f>
        <v>1133</v>
      </c>
    </row>
    <row r="62" spans="2:6" ht="26.4">
      <c r="B62" s="274" t="s">
        <v>336</v>
      </c>
      <c r="C62" s="273" t="s">
        <v>335</v>
      </c>
      <c r="D62" s="163" t="s">
        <v>334</v>
      </c>
      <c r="E62" s="163">
        <f>VLOOKUP($D62,'EStar EFLH'!$B$36:$D$46,2,FALSE)</f>
        <v>3068</v>
      </c>
      <c r="F62" s="163">
        <f>VLOOKUP($D62,'EStar EFLH'!$B$36:$D$46,3,FALSE)</f>
        <v>709</v>
      </c>
    </row>
    <row r="63" spans="5:6" ht="14.4">
      <c r="E63" s="272">
        <f>E55/SUM($E$55:$F$55)</f>
        <v>0.71478986204683992</v>
      </c>
      <c r="F63" s="272">
        <f>F55/SUM($E$55:$F$55)</f>
        <v>0.28521013795316008</v>
      </c>
    </row>
  </sheetData>
  <mergeCells count="17">
    <mergeCell ref="G43:H43"/>
    <mergeCell ref="E43:F43"/>
    <mergeCell ref="C2:D2"/>
    <mergeCell ref="E2:F2"/>
    <mergeCell ref="I3:I4"/>
    <mergeCell ref="I43:I44"/>
    <mergeCell ref="B51:B53"/>
    <mergeCell ref="C51:C53"/>
    <mergeCell ref="D51:D53"/>
    <mergeCell ref="E51:F51"/>
    <mergeCell ref="B11:B12"/>
    <mergeCell ref="B19:B20"/>
    <mergeCell ref="B27:B28"/>
    <mergeCell ref="B35:B36"/>
    <mergeCell ref="B43:B44"/>
    <mergeCell ref="C43:C44"/>
    <mergeCell ref="D43:D44"/>
  </mergeCells>
  <pageMargins left="0.7" right="0.7" top="0.75" bottom="0.75" header="0.3" footer="0.3"/>
  <pageSetup orientation="portrait" r:id="rId2"/>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3" tint="0.39998"/>
  </sheetPr>
  <dimension ref="B1:AE36"/>
  <sheetViews>
    <sheetView zoomScale="70" zoomScaleNormal="70" workbookViewId="0" topLeftCell="A1">
      <selection pane="topLeft" activeCell="A1" sqref="A1"/>
    </sheetView>
  </sheetViews>
  <sheetFormatPr defaultColWidth="9.21875" defaultRowHeight="14.4"/>
  <cols>
    <col min="1" max="1" width="4.55555555555556" style="865" customWidth="1"/>
    <col min="2" max="2" width="15.2222222222222" style="865" bestFit="1" customWidth="1"/>
    <col min="3" max="3" width="24.5555555555556" style="865" bestFit="1" customWidth="1"/>
    <col min="4" max="4" width="15.4444444444444" style="865" bestFit="1" customWidth="1"/>
    <col min="5" max="5" width="10.2222222222222" style="865" bestFit="1" customWidth="1"/>
    <col min="6" max="6" width="12" style="865" bestFit="1" customWidth="1"/>
    <col min="7" max="7" width="10.5555555555556" style="865" bestFit="1" customWidth="1"/>
    <col min="8" max="8" width="12.7777777777778" style="865" bestFit="1" customWidth="1"/>
    <col min="9" max="9" width="9.55555555555556" style="865" bestFit="1" customWidth="1"/>
    <col min="10" max="10" width="8" style="865" bestFit="1" customWidth="1"/>
    <col min="11" max="11" width="9.22222222222222" style="865" bestFit="1" customWidth="1"/>
    <col min="12" max="12" width="17.2222222222222" style="865" bestFit="1" customWidth="1"/>
    <col min="13" max="13" width="14.4444444444444" style="865" bestFit="1" customWidth="1"/>
    <col min="14" max="14" width="20.2222222222222" style="865" bestFit="1" customWidth="1"/>
    <col min="15" max="15" width="22.4444444444444" style="865" bestFit="1" customWidth="1"/>
    <col min="16" max="16" width="20.2222222222222" style="865" bestFit="1" customWidth="1"/>
    <col min="17" max="17" width="8" style="865" bestFit="1" customWidth="1"/>
    <col min="18" max="18" width="6.77777777777778" style="865" bestFit="1" customWidth="1"/>
    <col min="19" max="19" width="8.44444444444444" style="865" bestFit="1" customWidth="1"/>
    <col min="20" max="31" width="9.22222222222222" style="865"/>
    <col min="32" max="16384" width="9.22222222222222" style="865"/>
  </cols>
  <sheetData>
    <row r="1" spans="2:19" ht="14.4">
      <c r="B1" s="1032" t="s">
        <v>1632</v>
      </c>
      <c r="C1" s="1075"/>
      <c r="D1" s="1090"/>
      <c r="E1" s="1090"/>
      <c r="F1" s="1090"/>
      <c r="G1" s="1090"/>
      <c r="H1" s="1090"/>
      <c r="I1" s="1090"/>
      <c r="J1" s="1090"/>
      <c r="K1" s="1090"/>
      <c r="L1" s="1090"/>
      <c r="M1" s="1209"/>
      <c r="N1" s="1090"/>
      <c r="O1" s="1090"/>
      <c r="P1" s="1075"/>
      <c r="Q1" s="1075"/>
      <c r="R1" s="1090"/>
      <c r="S1" s="1075"/>
    </row>
    <row r="2" spans="2:19" ht="14.4">
      <c r="B2" s="1844" t="s">
        <v>1094</v>
      </c>
      <c r="C2" s="1845"/>
      <c r="D2" s="1845"/>
      <c r="E2" s="1845"/>
      <c r="F2" s="1845"/>
      <c r="G2" s="1846"/>
      <c r="H2" s="1090"/>
      <c r="I2" s="1090"/>
      <c r="J2" s="1090"/>
      <c r="K2" s="1090"/>
      <c r="L2" s="1210"/>
      <c r="M2" s="1843" t="s">
        <v>1091</v>
      </c>
      <c r="N2" s="1843"/>
      <c r="O2" s="1843" t="s">
        <v>1092</v>
      </c>
      <c r="P2" s="1843"/>
      <c r="S2" s="1075"/>
    </row>
    <row r="3" spans="2:19" ht="39.6">
      <c r="B3" s="1844" t="s">
        <v>407</v>
      </c>
      <c r="C3" s="1845"/>
      <c r="D3" s="1845"/>
      <c r="E3" s="1845"/>
      <c r="F3" s="1845"/>
      <c r="G3" s="1846"/>
      <c r="H3" s="1090"/>
      <c r="L3" s="587" t="s">
        <v>331</v>
      </c>
      <c r="M3" s="587" t="s">
        <v>330</v>
      </c>
      <c r="N3" s="1211" t="s">
        <v>329</v>
      </c>
      <c r="O3" s="587" t="s">
        <v>1093</v>
      </c>
      <c r="P3" s="1211" t="s">
        <v>1098</v>
      </c>
      <c r="S3" s="1218"/>
    </row>
    <row r="4" spans="2:31" ht="26.4">
      <c r="B4" s="587" t="s">
        <v>206</v>
      </c>
      <c r="C4" s="587" t="s">
        <v>328</v>
      </c>
      <c r="D4" s="587" t="s">
        <v>327</v>
      </c>
      <c r="E4" s="1079" t="s">
        <v>203</v>
      </c>
      <c r="F4" s="1079" t="s">
        <v>202</v>
      </c>
      <c r="G4" s="587" t="s">
        <v>105</v>
      </c>
      <c r="H4" s="1090"/>
      <c r="L4" s="1169" t="s">
        <v>324</v>
      </c>
      <c r="M4" s="1213">
        <f>(418/0.08/1500)*(1+$L$13)</f>
        <v>4.4586666666666668</v>
      </c>
      <c r="N4" s="1214">
        <f>'Insulation Demand Review'!D4</f>
        <v>0.0012107660692679274</v>
      </c>
      <c r="O4" s="1212">
        <f>($O$5/'Clay Insulation'!$O$5)*'Clay Insulation'!$O4</f>
        <v>3586.3040201005024</v>
      </c>
      <c r="P4" s="1214">
        <f>($P$5/$O$5)*O4</f>
        <v>3.4717048869346741</v>
      </c>
      <c r="S4" s="1075"/>
      <c r="X4" s="1075"/>
      <c r="Y4" s="1075"/>
      <c r="Z4" s="1075"/>
      <c r="AA4" s="1075"/>
      <c r="AB4" s="579"/>
      <c r="AC4" s="579"/>
      <c r="AD4" s="1075"/>
      <c r="AE4" s="1075"/>
    </row>
    <row r="5" spans="2:31" ht="14.55" customHeight="1">
      <c r="B5" s="1169">
        <v>1</v>
      </c>
      <c r="C5" s="1086">
        <f>SUMIF($L$22:$L$1004,"=1",M$22:M$1004)</f>
        <v>1029.24</v>
      </c>
      <c r="D5" s="1087">
        <f>SUMIF($L$22:$L$1004,"=1",O$22:O$1004)</f>
        <v>6218.6495999999997</v>
      </c>
      <c r="E5" s="1087">
        <f>SUMIF($L$22:$L$1004,"=1",P$22:P$1004)</f>
        <v>3</v>
      </c>
      <c r="F5" s="1087">
        <f>SUMIF($L$22:$L$1004,"=1",Q$22:Q$1004)</f>
        <v>0</v>
      </c>
      <c r="G5" s="1212">
        <f>SUMIF($L$22:$L$36,$B5,H$22:H$36)</f>
        <v>3833</v>
      </c>
      <c r="H5" s="1090"/>
      <c r="L5" s="1169" t="s">
        <v>323</v>
      </c>
      <c r="M5" s="1213">
        <f>3.22*(1+$L$13)</f>
        <v>4.1215999999999999</v>
      </c>
      <c r="N5" s="1214">
        <f>'Insulation Demand Review'!D5</f>
        <v>0.0011192344716869072</v>
      </c>
      <c r="O5" s="1212">
        <f>AVERAGE('BEopt Demand Results'!$G$18:$H$18)</f>
        <v>584.50</v>
      </c>
      <c r="P5" s="1214">
        <f>AVERAGE('BEopt Demand Results'!$G$19:$H$19)</f>
        <v>0.56582250000000012</v>
      </c>
      <c r="Q5" s="1075"/>
      <c r="R5" s="1090"/>
      <c r="S5" s="1075"/>
      <c r="X5" s="1222"/>
      <c r="Y5" s="1222"/>
      <c r="Z5" s="1222"/>
      <c r="AA5" s="1222"/>
      <c r="AB5" s="266"/>
      <c r="AC5" s="266"/>
      <c r="AD5" s="1075"/>
      <c r="AE5" s="1075"/>
    </row>
    <row r="6" spans="2:19" ht="14.4">
      <c r="B6" s="1169">
        <v>2</v>
      </c>
      <c r="C6" s="1086">
        <f>SUMIF($L$22:$L$1004,"=2",M$22:M$1004)</f>
        <v>1160</v>
      </c>
      <c r="D6" s="1087">
        <f>SUMIF($L$22:$L$1004,"=2",O$22:O$1004)</f>
        <v>8883.2000000000007</v>
      </c>
      <c r="E6" s="1087">
        <f>SUMIF($L$22:$L$1004,"=2",P$22:P$1004)</f>
        <v>2</v>
      </c>
      <c r="F6" s="1087">
        <f>SUMIF($L$22:$L$1004,"=2",Q$22:Q$1004)</f>
        <v>0</v>
      </c>
      <c r="G6" s="1212">
        <f>SUMIF($L$22:$L$36,$B6,H$22:H$36)</f>
        <v>4500</v>
      </c>
      <c r="H6" s="1090"/>
      <c r="L6" s="1169" t="s">
        <v>322</v>
      </c>
      <c r="M6" s="1213">
        <f>2.17*(1+$L$13)</f>
        <v>2.7776000000000001</v>
      </c>
      <c r="N6" s="1214">
        <f>'Insulation Demand Review'!D6</f>
        <v>0.00075426670918030689</v>
      </c>
      <c r="O6" s="1212">
        <f>($O$5/'Clay Insulation'!$O$5)*'Clay Insulation'!$O6</f>
        <v>429.80820770519261</v>
      </c>
      <c r="P6" s="1214">
        <f>($P$5/$O$5)*O6</f>
        <v>0.41607383165829154</v>
      </c>
      <c r="Q6" s="1075"/>
      <c r="R6" s="1090"/>
      <c r="S6" s="1075"/>
    </row>
    <row r="7" spans="2:19" ht="14.4">
      <c r="B7" s="1169">
        <v>3</v>
      </c>
      <c r="C7" s="1086">
        <f>SUMIF($L$22:$L$1004,"=3",M$22:M$1004)</f>
        <v>0</v>
      </c>
      <c r="D7" s="1087">
        <f>SUMIF($L$22:$L$1004,"=3",O$22:O$1004)</f>
        <v>0</v>
      </c>
      <c r="E7" s="1087">
        <f>SUMIF($L$22:$L$1004,"=3",P$22:P$1004)</f>
        <v>0</v>
      </c>
      <c r="F7" s="1087">
        <f>SUMIF($L$22:$L$1004,"=3",Q$22:Q$1004)</f>
        <v>0</v>
      </c>
      <c r="G7" s="1212">
        <f>SUMIF($L$22:$L$36,$B7,H$22:H$36)</f>
        <v>0</v>
      </c>
      <c r="H7" s="1090"/>
      <c r="L7" s="1169" t="s">
        <v>321</v>
      </c>
      <c r="M7" s="1213">
        <f>1.04*(1+$L$13)</f>
        <v>1.3312000000000002</v>
      </c>
      <c r="N7" s="1214">
        <f>'Insulation Demand Review'!D7</f>
        <v>0.00036149187905415632</v>
      </c>
      <c r="O7" s="1212">
        <f>($O$5/'Clay Insulation'!$O$5)*'Clay Insulation'!$O7</f>
        <v>154.69179229480736</v>
      </c>
      <c r="P7" s="1214">
        <f>($P$5/$O$5)*O7</f>
        <v>0.14974866834170855</v>
      </c>
      <c r="Q7" s="1075"/>
      <c r="R7" s="1090"/>
      <c r="S7" s="1075"/>
    </row>
    <row r="8" spans="2:19" ht="14.4">
      <c r="B8" s="1169">
        <v>4</v>
      </c>
      <c r="C8" s="1086">
        <f>SUMIF($L$22:$L$1004,"=4",M$22:M$1004)</f>
        <v>5265.44</v>
      </c>
      <c r="D8" s="1087">
        <f>SUMIF($L$22:$L$1004,"=4",O$22:O$1004)</f>
        <v>84971.903999999995</v>
      </c>
      <c r="E8" s="1087">
        <f>SUMIF($L$22:$L$1004,"=4",P$22:P$1004)</f>
        <v>10</v>
      </c>
      <c r="F8" s="1087">
        <f>SUMIF($L$22:$L$1004,"=4",Q$22:Q$1004)</f>
        <v>0</v>
      </c>
      <c r="G8" s="1212">
        <f>SUMIF($L$22:$L$36,$B8,H$22:H$36)</f>
        <v>25082</v>
      </c>
      <c r="H8" s="1090"/>
      <c r="O8" s="1090"/>
      <c r="P8" s="1075"/>
      <c r="Q8" s="1075"/>
      <c r="R8" s="1090"/>
      <c r="S8" s="1075"/>
    </row>
    <row r="9" spans="2:19" ht="14.4">
      <c r="B9" s="1169" t="s">
        <v>222</v>
      </c>
      <c r="C9" s="1086">
        <f>SUM(C5:C8)</f>
        <v>7454.68</v>
      </c>
      <c r="D9" s="1087">
        <f>SUM(D5:D8)</f>
        <v>100073.7536</v>
      </c>
      <c r="E9" s="269">
        <f>SUM(E5:E8)</f>
        <v>15</v>
      </c>
      <c r="F9" s="269">
        <f>SUM(F5:F8)</f>
        <v>0</v>
      </c>
      <c r="G9" s="1087">
        <f>SUM(G5:G8)</f>
        <v>33415</v>
      </c>
      <c r="H9" s="1090"/>
      <c r="L9" s="1226" t="s">
        <v>333</v>
      </c>
      <c r="M9" s="1228">
        <v>0.28000000000000003</v>
      </c>
      <c r="N9" s="1226" t="s">
        <v>332</v>
      </c>
      <c r="O9" s="1090"/>
      <c r="P9" s="1075"/>
      <c r="Q9" s="1075"/>
      <c r="R9" s="1090"/>
      <c r="S9" s="1075"/>
    </row>
    <row r="10" spans="8:18" ht="14.4">
      <c r="H10" s="1090"/>
      <c r="L10" s="1227"/>
      <c r="M10" s="1227"/>
      <c r="N10" s="1227"/>
      <c r="P10" s="1075"/>
      <c r="Q10" s="1090"/>
      <c r="R10" s="1075"/>
    </row>
    <row r="11" spans="2:18" ht="14.4">
      <c r="B11" s="1862" t="s">
        <v>1097</v>
      </c>
      <c r="C11" s="1862"/>
      <c r="D11" s="1862"/>
      <c r="E11" s="1862"/>
      <c r="F11" s="1862"/>
      <c r="G11" s="1862"/>
      <c r="H11" s="1862"/>
      <c r="I11" s="1862"/>
      <c r="L11" s="1095" t="s">
        <v>232</v>
      </c>
      <c r="M11" s="1220">
        <v>20</v>
      </c>
      <c r="N11" s="1220" t="s">
        <v>325</v>
      </c>
      <c r="P11" s="1075"/>
      <c r="Q11" s="1090"/>
      <c r="R11" s="1075"/>
    </row>
    <row r="12" spans="2:18" ht="14.4">
      <c r="B12" s="1862" t="s">
        <v>407</v>
      </c>
      <c r="C12" s="1862"/>
      <c r="D12" s="1862"/>
      <c r="E12" s="1862"/>
      <c r="F12" s="1862"/>
      <c r="G12" s="1862"/>
      <c r="H12" s="1862"/>
      <c r="I12" s="1862"/>
      <c r="P12" s="1075"/>
      <c r="Q12" s="1090"/>
      <c r="R12" s="1075"/>
    </row>
    <row r="13" spans="2:18" ht="52.8">
      <c r="B13" s="587" t="s">
        <v>206</v>
      </c>
      <c r="C13" s="587" t="s">
        <v>328</v>
      </c>
      <c r="D13" s="587" t="s">
        <v>327</v>
      </c>
      <c r="E13" s="1079" t="s">
        <v>203</v>
      </c>
      <c r="F13" s="1079" t="s">
        <v>202</v>
      </c>
      <c r="G13" s="587" t="s">
        <v>105</v>
      </c>
      <c r="H13" s="587" t="s">
        <v>326</v>
      </c>
      <c r="I13" s="587" t="s">
        <v>1682</v>
      </c>
      <c r="L13" s="1229">
        <v>0.28000000000000003</v>
      </c>
      <c r="M13" s="1090" t="s">
        <v>406</v>
      </c>
      <c r="N13" s="1075" t="s">
        <v>405</v>
      </c>
      <c r="Q13" s="1090"/>
      <c r="R13" s="1075"/>
    </row>
    <row r="14" spans="2:18" ht="15">
      <c r="B14" s="1169">
        <v>1</v>
      </c>
      <c r="C14" s="1086">
        <f>SUMIF($L$22:$L$1004,"=1",M$22:M$1004)</f>
        <v>1029.24</v>
      </c>
      <c r="D14" s="1087">
        <f>SUMIF($L$22:$L$1004,$B14,S$22:S$1004)</f>
        <v>893.88358458961466</v>
      </c>
      <c r="E14" s="1087">
        <f>SUMIF($L$22:$L$1004,"=1",P$22:P$1004)</f>
        <v>3</v>
      </c>
      <c r="F14" s="1087">
        <f>SUMIF($L$22:$L$1004,"=1",Q$22:Q$1004)</f>
        <v>0</v>
      </c>
      <c r="G14" s="1212">
        <f>SUMIF($L$22:$L$36,$B14,H$22:H$36)</f>
        <v>3833</v>
      </c>
      <c r="H14" s="1166">
        <f>IFERROR(AVERAGEIFS(T$22:T$1004,$L$22:$L$1004,$B14,P$22:P$1004,1),"")</f>
        <v>0.28843994556113906</v>
      </c>
      <c r="I14" s="1014">
        <f>SUMIFS(T$22:T$1004,$L$22:$L$1004,$B14,P$22:P$1004,1)</f>
        <v>0.86531983668341717</v>
      </c>
      <c r="L14" s="266"/>
      <c r="M14" s="1230" t="s">
        <v>404</v>
      </c>
      <c r="N14" s="1222"/>
      <c r="Q14" s="1090"/>
      <c r="R14" s="1075"/>
    </row>
    <row r="15" spans="2:18" ht="14.4">
      <c r="B15" s="1169">
        <v>2</v>
      </c>
      <c r="C15" s="1086">
        <f>SUMIF($L$22:$L$1004,"=2",M$22:M$1004)</f>
        <v>1160</v>
      </c>
      <c r="D15" s="1087">
        <f>SUMIF($L$22:$L$1004,$B15,S$22:S$1004)</f>
        <v>584.50</v>
      </c>
      <c r="E15" s="1087">
        <f>SUMIF($L$22:$L$1004,"=2",P$22:P$1004)</f>
        <v>2</v>
      </c>
      <c r="F15" s="1087">
        <f>SUMIF($L$22:$L$1004,"=2",Q$22:Q$1004)</f>
        <v>0</v>
      </c>
      <c r="G15" s="1212">
        <f>SUMIF($L$22:$L$36,$B15,H$22:H$36)</f>
        <v>4500</v>
      </c>
      <c r="H15" s="1166">
        <f>IFERROR(AVERAGEIFS(T$22:T$1004,$L$22:$L$1004,$B15,P$22:P$1004,1),"")</f>
        <v>0.28291125000000006</v>
      </c>
      <c r="I15" s="1014">
        <f>SUMIFS(T$22:T$1004,$L$22:$L$1004,$B15,P$22:P$1004,1)</f>
        <v>0.56582250000000012</v>
      </c>
      <c r="Q15" s="1090"/>
      <c r="R15" s="1075"/>
    </row>
    <row r="16" spans="2:18" ht="14.4">
      <c r="B16" s="1169">
        <v>3</v>
      </c>
      <c r="C16" s="1086">
        <f>SUMIF($L$22:$L$1004,"=3",M$22:M$1004)</f>
        <v>0</v>
      </c>
      <c r="D16" s="1087">
        <f>SUMIF($L$22:$L$1004,$B16,S$22:S$1004)</f>
        <v>0</v>
      </c>
      <c r="E16" s="1087">
        <f>SUMIF($L$22:$L$1004,"=3",P$22:P$1004)</f>
        <v>0</v>
      </c>
      <c r="F16" s="1087">
        <f>SUMIF($L$22:$L$1004,"=3",Q$22:Q$1004)</f>
        <v>0</v>
      </c>
      <c r="G16" s="1212">
        <f>SUMIF($L$22:$L$36,$B16,H$22:H$36)</f>
        <v>0</v>
      </c>
      <c r="H16" s="1166" t="str">
        <f>IFERROR(AVERAGEIFS(T$22:T$1004,$L$22:$L$1004,$B16,P$22:P$1004,1),"")</f>
        <v/>
      </c>
      <c r="I16" s="1014">
        <f>SUMIFS(T$22:T$1004,$L$22:$L$1004,$B16,P$22:P$1004,1)</f>
        <v>0</v>
      </c>
      <c r="P16" s="1075"/>
      <c r="Q16" s="1090"/>
      <c r="R16" s="1075"/>
    </row>
    <row r="17" spans="2:18" ht="14.4">
      <c r="B17" s="1169">
        <v>4</v>
      </c>
      <c r="C17" s="1086">
        <f>SUMIF($L$22:$L$1004,"=4",M$22:M$1004)</f>
        <v>5265.44</v>
      </c>
      <c r="D17" s="1087">
        <f>SUMIF($L$22:$L$1004,$B17,S$22:S$1004)</f>
        <v>13560.98743718593</v>
      </c>
      <c r="E17" s="1087">
        <f>SUMIF($L$22:$L$1004,"=4",P$22:P$1004)</f>
        <v>10</v>
      </c>
      <c r="F17" s="1087">
        <f>SUMIF($L$22:$L$1004,"=4",Q$22:Q$1004)</f>
        <v>0</v>
      </c>
      <c r="G17" s="1212">
        <f>SUMIF($L$22:$L$36,$B17,H$22:H$36)</f>
        <v>25082</v>
      </c>
      <c r="H17" s="1166">
        <f>IFERROR(AVERAGEIFS(T$22:T$1004,$L$22:$L$1004,$B17,P$22:P$1004,1),"")</f>
        <v>1.3127650665829147</v>
      </c>
      <c r="I17" s="1014">
        <f>SUMIFS(T$22:T$1004,$L$22:$L$1004,$B17,P$22:P$1004,1)</f>
        <v>13.127650665829147</v>
      </c>
      <c r="P17" s="1075"/>
      <c r="Q17" s="1090"/>
      <c r="R17" s="1075"/>
    </row>
    <row r="18" spans="2:18" ht="14.4">
      <c r="B18" s="1169" t="s">
        <v>222</v>
      </c>
      <c r="C18" s="1086">
        <f>SUM(C14:C17)</f>
        <v>7454.68</v>
      </c>
      <c r="D18" s="1087">
        <f>SUM(D14:D17)</f>
        <v>15039.371021775543</v>
      </c>
      <c r="E18" s="269">
        <f>SUM(E14:E17)</f>
        <v>15</v>
      </c>
      <c r="F18" s="269">
        <f>SUM(F14:F17)</f>
        <v>0</v>
      </c>
      <c r="G18" s="1087">
        <f>SUM(G14:G17)</f>
        <v>33415</v>
      </c>
      <c r="H18" s="1231">
        <f>AVERAGE(H14:H17)</f>
        <v>0.6280387540480179</v>
      </c>
      <c r="I18" s="1166">
        <f>SUM(I14:I17)</f>
        <v>14.558793002512564</v>
      </c>
      <c r="P18" s="1075"/>
      <c r="Q18" s="1090"/>
      <c r="R18" s="1075"/>
    </row>
    <row r="19" spans="16:18" ht="14.4">
      <c r="P19" s="1075"/>
      <c r="Q19" s="1090"/>
      <c r="R19" s="1075"/>
    </row>
    <row r="20" spans="2:20" ht="15.6">
      <c r="B20" s="1847" t="s">
        <v>320</v>
      </c>
      <c r="C20" s="1848"/>
      <c r="D20" s="1848"/>
      <c r="E20" s="1848"/>
      <c r="F20" s="1848"/>
      <c r="G20" s="1848"/>
      <c r="H20" s="1848"/>
      <c r="I20" s="1848"/>
      <c r="J20" s="1848"/>
      <c r="K20" s="1848"/>
      <c r="L20" s="1848"/>
      <c r="M20" s="1848"/>
      <c r="N20" s="1848"/>
      <c r="O20" s="1848"/>
      <c r="P20" s="1848"/>
      <c r="Q20" s="1848"/>
      <c r="R20" s="1849"/>
      <c r="S20" s="1636" t="s">
        <v>1099</v>
      </c>
      <c r="T20" s="1636"/>
    </row>
    <row r="21" spans="2:20" ht="72">
      <c r="B21" s="587" t="s">
        <v>217</v>
      </c>
      <c r="C21" s="587" t="s">
        <v>216</v>
      </c>
      <c r="D21" s="587" t="s">
        <v>215</v>
      </c>
      <c r="E21" s="587" t="s">
        <v>214</v>
      </c>
      <c r="F21" s="587" t="s">
        <v>319</v>
      </c>
      <c r="G21" s="587" t="s">
        <v>318</v>
      </c>
      <c r="H21" s="587" t="s">
        <v>317</v>
      </c>
      <c r="I21" s="587" t="s">
        <v>249</v>
      </c>
      <c r="J21" s="587" t="s">
        <v>208</v>
      </c>
      <c r="K21" s="587" t="s">
        <v>207</v>
      </c>
      <c r="L21" s="587" t="s">
        <v>206</v>
      </c>
      <c r="M21" s="587" t="s">
        <v>205</v>
      </c>
      <c r="N21" s="587" t="s">
        <v>316</v>
      </c>
      <c r="O21" s="587" t="s">
        <v>248</v>
      </c>
      <c r="P21" s="587" t="s">
        <v>203</v>
      </c>
      <c r="Q21" s="587" t="s">
        <v>202</v>
      </c>
      <c r="R21" s="587" t="s">
        <v>247</v>
      </c>
      <c r="S21" s="1211" t="str">
        <f>"Updated "&amp;O21</f>
        <v>Updated Est. Annual kWh Savings</v>
      </c>
      <c r="T21" s="587" t="s">
        <v>315</v>
      </c>
    </row>
    <row r="22" spans="2:20" ht="14.4">
      <c r="B22" s="1134">
        <v>1303510</v>
      </c>
      <c r="C22" s="1223" t="s">
        <v>403</v>
      </c>
      <c r="D22" s="1134">
        <v>130351</v>
      </c>
      <c r="E22" s="1148">
        <v>41578</v>
      </c>
      <c r="F22" s="1134">
        <v>11</v>
      </c>
      <c r="G22" s="1134">
        <v>30</v>
      </c>
      <c r="H22" s="1137">
        <v>400</v>
      </c>
      <c r="I22" s="1141">
        <v>1174</v>
      </c>
      <c r="J22" s="1148"/>
      <c r="K22" s="1148">
        <v>42026</v>
      </c>
      <c r="L22" s="269">
        <f t="shared" si="0" ref="L22:L36">IF(MAX(J22,K22)&lt;40000,"",ROUNDUP(MONTH(MAX(J22,K22))/3,0))</f>
        <v>1</v>
      </c>
      <c r="M22" s="1224">
        <f>IF(B22="","",MIN($M$9*H22,600))</f>
        <v>112.00000000000001</v>
      </c>
      <c r="N22" s="269" t="str">
        <f t="shared" si="1" ref="N22:N36">IF(B22="","",IF(J22&gt;0,"Denied",IF(AND(F22&lt;=1,G22&gt;=19),"R0 to R19",IF(AND(F22&lt;=11,G22&gt;=30),"R11 to R30",IF(AND(F22&lt;=11,G22&gt;=19),"R11 to R19",IF(AND(F22&lt;=19,G22&gt;=30),"R19 to R30","R19 to R30"))))))</f>
        <v>R11 to R30</v>
      </c>
      <c r="O22" s="1087">
        <f t="shared" si="2" ref="O22:O36">IF(B22="","",IFERROR(H22*VLOOKUP(N22,$L$4:$M$7,2,FALSE),0))</f>
        <v>1648.64</v>
      </c>
      <c r="P22" s="269">
        <f t="shared" si="3" ref="P22:P36">IF(K22&gt;0,1,"")</f>
        <v>1</v>
      </c>
      <c r="Q22" s="269" t="str">
        <f t="shared" si="4" ref="Q22:Q36">IF(J22&gt;0,1,"")</f>
        <v/>
      </c>
      <c r="R22" s="1155"/>
      <c r="S22" s="1087">
        <f>IF($B22="","",IFERROR(VLOOKUP($N22,$L$4:$P$7,4,FALSE),0))</f>
        <v>584.50</v>
      </c>
      <c r="T22" s="1014">
        <f>IF(B22="","",IFERROR(VLOOKUP(N22,$L$4:$P$7,5,FALSE),0))</f>
        <v>0.56582250000000012</v>
      </c>
    </row>
    <row r="23" spans="2:20" ht="14.4">
      <c r="B23" s="1134">
        <v>1598663</v>
      </c>
      <c r="C23" s="1223" t="s">
        <v>402</v>
      </c>
      <c r="D23" s="1134">
        <v>159866</v>
      </c>
      <c r="E23" s="1148">
        <v>41506</v>
      </c>
      <c r="F23" s="1134">
        <v>19</v>
      </c>
      <c r="G23" s="1134">
        <v>38</v>
      </c>
      <c r="H23" s="1137">
        <v>2300</v>
      </c>
      <c r="I23" s="1141">
        <v>4072</v>
      </c>
      <c r="J23" s="1148"/>
      <c r="K23" s="1148">
        <v>41704</v>
      </c>
      <c r="L23" s="269">
        <f t="shared" si="0"/>
        <v>1</v>
      </c>
      <c r="M23" s="1224">
        <f t="shared" si="5" ref="M23:M36">IF(B23="","",MIN($M$9*H23,600))</f>
        <v>600</v>
      </c>
      <c r="N23" s="269" t="str">
        <f t="shared" si="1"/>
        <v>R19 to R30</v>
      </c>
      <c r="O23" s="1087">
        <f t="shared" si="2"/>
        <v>3061.76</v>
      </c>
      <c r="P23" s="269">
        <f t="shared" si="3"/>
        <v>1</v>
      </c>
      <c r="Q23" s="269" t="str">
        <f t="shared" si="4"/>
        <v/>
      </c>
      <c r="R23" s="1155"/>
      <c r="S23" s="1087">
        <f t="shared" si="6" ref="S23:S36">IF($B23="","",IFERROR(VLOOKUP($N23,$L$4:$P$7,4,FALSE),0))</f>
        <v>154.69179229480736</v>
      </c>
      <c r="T23" s="1014">
        <f t="shared" si="7" ref="T23:T36">IF(B23="","",IFERROR(VLOOKUP(N23,$L$4:$P$7,5,FALSE),0))</f>
        <v>0.14974866834170855</v>
      </c>
    </row>
    <row r="24" spans="2:20" ht="14.4">
      <c r="B24" s="1134">
        <v>8317554</v>
      </c>
      <c r="C24" s="1223" t="s">
        <v>401</v>
      </c>
      <c r="D24" s="1134">
        <v>665713</v>
      </c>
      <c r="E24" s="1148">
        <v>41621</v>
      </c>
      <c r="F24" s="1134">
        <v>19</v>
      </c>
      <c r="G24" s="1134">
        <v>38</v>
      </c>
      <c r="H24" s="1137">
        <v>1133</v>
      </c>
      <c r="I24" s="1141">
        <v>6125</v>
      </c>
      <c r="J24" s="1148"/>
      <c r="K24" s="1148">
        <v>41704</v>
      </c>
      <c r="L24" s="269">
        <f t="shared" si="0"/>
        <v>1</v>
      </c>
      <c r="M24" s="1224">
        <f t="shared" si="5"/>
        <v>317.24</v>
      </c>
      <c r="N24" s="269" t="str">
        <f t="shared" si="1"/>
        <v>R19 to R30</v>
      </c>
      <c r="O24" s="1087">
        <f t="shared" si="2"/>
        <v>1508.2496000000001</v>
      </c>
      <c r="P24" s="269">
        <f t="shared" si="3"/>
        <v>1</v>
      </c>
      <c r="Q24" s="269" t="str">
        <f t="shared" si="4"/>
        <v/>
      </c>
      <c r="R24" s="1155"/>
      <c r="S24" s="1087">
        <f t="shared" si="6"/>
        <v>154.69179229480736</v>
      </c>
      <c r="T24" s="1014">
        <f t="shared" si="7"/>
        <v>0.14974866834170855</v>
      </c>
    </row>
    <row r="25" spans="2:20" ht="14.4">
      <c r="B25" s="1134">
        <v>1179712</v>
      </c>
      <c r="C25" s="1223" t="s">
        <v>400</v>
      </c>
      <c r="D25" s="1134">
        <v>117971</v>
      </c>
      <c r="E25" s="1148">
        <v>41617</v>
      </c>
      <c r="F25" s="1134">
        <v>3</v>
      </c>
      <c r="G25" s="1134">
        <v>20</v>
      </c>
      <c r="H25" s="1137">
        <v>2000</v>
      </c>
      <c r="I25" s="1141">
        <v>3834</v>
      </c>
      <c r="J25" s="1148"/>
      <c r="K25" s="1148">
        <v>41736</v>
      </c>
      <c r="L25" s="269">
        <f t="shared" si="0"/>
        <v>2</v>
      </c>
      <c r="M25" s="1224">
        <f t="shared" si="5"/>
        <v>560</v>
      </c>
      <c r="N25" s="269" t="str">
        <f t="shared" si="1"/>
        <v>R11 to R19</v>
      </c>
      <c r="O25" s="1087">
        <f t="shared" si="2"/>
        <v>5555.20</v>
      </c>
      <c r="P25" s="269">
        <f t="shared" si="3"/>
        <v>1</v>
      </c>
      <c r="Q25" s="269" t="str">
        <f t="shared" si="4"/>
        <v/>
      </c>
      <c r="R25" s="1155"/>
      <c r="S25" s="1087">
        <f t="shared" si="6"/>
        <v>429.80820770519261</v>
      </c>
      <c r="T25" s="1014">
        <f t="shared" si="7"/>
        <v>0.41607383165829154</v>
      </c>
    </row>
    <row r="26" spans="2:20" ht="14.4">
      <c r="B26" s="1134">
        <v>1460856</v>
      </c>
      <c r="C26" s="1223" t="s">
        <v>399</v>
      </c>
      <c r="D26" s="1134">
        <v>146085</v>
      </c>
      <c r="E26" s="1148">
        <v>41718</v>
      </c>
      <c r="F26" s="1134">
        <v>19</v>
      </c>
      <c r="G26" s="1134">
        <v>38</v>
      </c>
      <c r="H26" s="1137">
        <v>2500</v>
      </c>
      <c r="I26" s="1141">
        <v>5500</v>
      </c>
      <c r="J26" s="1148"/>
      <c r="K26" s="1148">
        <v>41780</v>
      </c>
      <c r="L26" s="269">
        <f t="shared" si="0"/>
        <v>2</v>
      </c>
      <c r="M26" s="1224">
        <f t="shared" si="5"/>
        <v>600</v>
      </c>
      <c r="N26" s="269" t="str">
        <f t="shared" si="1"/>
        <v>R19 to R30</v>
      </c>
      <c r="O26" s="1087">
        <f t="shared" si="2"/>
        <v>3328.0000000000005</v>
      </c>
      <c r="P26" s="269">
        <f t="shared" si="3"/>
        <v>1</v>
      </c>
      <c r="Q26" s="269" t="str">
        <f t="shared" si="4"/>
        <v/>
      </c>
      <c r="R26" s="1155"/>
      <c r="S26" s="1087">
        <f t="shared" si="6"/>
        <v>154.69179229480736</v>
      </c>
      <c r="T26" s="1014">
        <f t="shared" si="7"/>
        <v>0.14974866834170855</v>
      </c>
    </row>
    <row r="27" spans="2:20" ht="14.4">
      <c r="B27" s="1134">
        <v>8817713</v>
      </c>
      <c r="C27" s="1223" t="s">
        <v>398</v>
      </c>
      <c r="D27" s="1134">
        <v>8764676</v>
      </c>
      <c r="E27" s="1148">
        <v>41894</v>
      </c>
      <c r="F27" s="1134">
        <v>0</v>
      </c>
      <c r="G27" s="1134">
        <v>38</v>
      </c>
      <c r="H27" s="1137">
        <v>2800</v>
      </c>
      <c r="I27" s="1141">
        <v>10691</v>
      </c>
      <c r="J27" s="1148"/>
      <c r="K27" s="1148">
        <v>41940</v>
      </c>
      <c r="L27" s="269">
        <f t="shared" si="0"/>
        <v>4</v>
      </c>
      <c r="M27" s="1224">
        <f t="shared" si="5"/>
        <v>600</v>
      </c>
      <c r="N27" s="269" t="str">
        <f t="shared" si="1"/>
        <v>R0 to R19</v>
      </c>
      <c r="O27" s="1087">
        <f t="shared" si="2"/>
        <v>12484.266666666666</v>
      </c>
      <c r="P27" s="269">
        <f t="shared" si="3"/>
        <v>1</v>
      </c>
      <c r="Q27" s="269" t="str">
        <f t="shared" si="4"/>
        <v/>
      </c>
      <c r="R27" s="1155"/>
      <c r="S27" s="1087">
        <f>IF($B27="","",IFERROR(VLOOKUP($N27,$L$4:$P$7,4,FALSE),0))</f>
        <v>3586.3040201005024</v>
      </c>
      <c r="T27" s="1014">
        <f t="shared" si="7"/>
        <v>3.4717048869346741</v>
      </c>
    </row>
    <row r="28" spans="2:20" ht="14.4">
      <c r="B28" s="1134">
        <v>8882680</v>
      </c>
      <c r="C28" s="1223" t="s">
        <v>397</v>
      </c>
      <c r="D28" s="1134">
        <v>169494</v>
      </c>
      <c r="E28" s="1148">
        <v>41873</v>
      </c>
      <c r="F28" s="1134">
        <v>7</v>
      </c>
      <c r="G28" s="1134">
        <v>30</v>
      </c>
      <c r="H28" s="1137">
        <v>1800</v>
      </c>
      <c r="I28" s="1141">
        <v>5450</v>
      </c>
      <c r="J28" s="1148"/>
      <c r="K28" s="1148">
        <v>41953</v>
      </c>
      <c r="L28" s="269">
        <f t="shared" si="0"/>
        <v>4</v>
      </c>
      <c r="M28" s="1224">
        <f t="shared" si="5"/>
        <v>504.00000000000006</v>
      </c>
      <c r="N28" s="269" t="str">
        <f t="shared" si="1"/>
        <v>R11 to R30</v>
      </c>
      <c r="O28" s="1087">
        <f t="shared" si="2"/>
        <v>7418.88</v>
      </c>
      <c r="P28" s="269">
        <f t="shared" si="3"/>
        <v>1</v>
      </c>
      <c r="Q28" s="269" t="str">
        <f t="shared" si="4"/>
        <v/>
      </c>
      <c r="R28" s="1155"/>
      <c r="S28" s="1087">
        <f t="shared" si="6"/>
        <v>584.50</v>
      </c>
      <c r="T28" s="1014">
        <f t="shared" si="7"/>
        <v>0.56582250000000012</v>
      </c>
    </row>
    <row r="29" spans="2:20" ht="14.4">
      <c r="B29" s="1134">
        <v>6120760</v>
      </c>
      <c r="C29" s="1223" t="s">
        <v>396</v>
      </c>
      <c r="D29" s="1134">
        <v>191141</v>
      </c>
      <c r="E29" s="1148">
        <v>42109</v>
      </c>
      <c r="F29" s="1134">
        <v>9</v>
      </c>
      <c r="G29" s="1134">
        <v>30</v>
      </c>
      <c r="H29" s="1137">
        <v>3500</v>
      </c>
      <c r="I29" s="1141">
        <v>6430</v>
      </c>
      <c r="J29" s="1148"/>
      <c r="K29" s="1148">
        <v>42319</v>
      </c>
      <c r="L29" s="269">
        <f t="shared" si="0"/>
        <v>4</v>
      </c>
      <c r="M29" s="1224">
        <f t="shared" si="5"/>
        <v>600</v>
      </c>
      <c r="N29" s="269" t="str">
        <f t="shared" si="1"/>
        <v>R11 to R30</v>
      </c>
      <c r="O29" s="1087">
        <f t="shared" si="2"/>
        <v>14425.60</v>
      </c>
      <c r="P29" s="269">
        <f t="shared" si="3"/>
        <v>1</v>
      </c>
      <c r="Q29" s="269" t="str">
        <f t="shared" si="4"/>
        <v/>
      </c>
      <c r="R29" s="1155"/>
      <c r="S29" s="1087">
        <f t="shared" si="6"/>
        <v>584.50</v>
      </c>
      <c r="T29" s="1014">
        <f t="shared" si="7"/>
        <v>0.56582250000000012</v>
      </c>
    </row>
    <row r="30" spans="2:20" ht="14.4">
      <c r="B30" s="1134">
        <v>4474946</v>
      </c>
      <c r="C30" s="1223" t="s">
        <v>395</v>
      </c>
      <c r="D30" s="1134">
        <v>409489</v>
      </c>
      <c r="E30" s="1148">
        <v>42221</v>
      </c>
      <c r="F30" s="1134">
        <v>18</v>
      </c>
      <c r="G30" s="1134">
        <v>30</v>
      </c>
      <c r="H30" s="1137">
        <v>2500</v>
      </c>
      <c r="I30" s="1141">
        <v>9750</v>
      </c>
      <c r="J30" s="1148"/>
      <c r="K30" s="1148">
        <v>42313</v>
      </c>
      <c r="L30" s="269">
        <f t="shared" si="0"/>
        <v>4</v>
      </c>
      <c r="M30" s="1224">
        <f t="shared" si="5"/>
        <v>600</v>
      </c>
      <c r="N30" s="269" t="str">
        <f t="shared" si="1"/>
        <v>R19 to R30</v>
      </c>
      <c r="O30" s="1087">
        <f t="shared" si="2"/>
        <v>3328.0000000000005</v>
      </c>
      <c r="P30" s="269">
        <f t="shared" si="3"/>
        <v>1</v>
      </c>
      <c r="Q30" s="269" t="str">
        <f t="shared" si="4"/>
        <v/>
      </c>
      <c r="R30" s="1155"/>
      <c r="S30" s="1087">
        <f t="shared" si="6"/>
        <v>154.69179229480736</v>
      </c>
      <c r="T30" s="1014">
        <f t="shared" si="7"/>
        <v>0.14974866834170855</v>
      </c>
    </row>
    <row r="31" spans="2:20" ht="14.4">
      <c r="B31" s="1134">
        <v>8889325</v>
      </c>
      <c r="C31" s="1223" t="s">
        <v>394</v>
      </c>
      <c r="D31" s="1134">
        <v>696167</v>
      </c>
      <c r="E31" s="1148">
        <v>42177</v>
      </c>
      <c r="F31" s="1134">
        <v>0</v>
      </c>
      <c r="G31" s="1134">
        <v>30</v>
      </c>
      <c r="H31" s="1137">
        <v>1848</v>
      </c>
      <c r="I31" s="1141">
        <v>10697</v>
      </c>
      <c r="J31" s="1148"/>
      <c r="K31" s="1148">
        <v>42313</v>
      </c>
      <c r="L31" s="269">
        <f t="shared" si="0"/>
        <v>4</v>
      </c>
      <c r="M31" s="1224">
        <f t="shared" si="5"/>
        <v>517.44000000000005</v>
      </c>
      <c r="N31" s="269" t="str">
        <f t="shared" si="1"/>
        <v>R0 to R19</v>
      </c>
      <c r="O31" s="1087">
        <f t="shared" si="2"/>
        <v>8239.616</v>
      </c>
      <c r="P31" s="269">
        <f t="shared" si="3"/>
        <v>1</v>
      </c>
      <c r="Q31" s="269" t="str">
        <f t="shared" si="4"/>
        <v/>
      </c>
      <c r="R31" s="1225"/>
      <c r="S31" s="1087">
        <f t="shared" si="6"/>
        <v>3586.3040201005024</v>
      </c>
      <c r="T31" s="1014">
        <f t="shared" si="7"/>
        <v>3.4717048869346741</v>
      </c>
    </row>
    <row r="32" spans="2:20" ht="14.4">
      <c r="B32" s="1134">
        <v>8824232</v>
      </c>
      <c r="C32" s="1223" t="s">
        <v>393</v>
      </c>
      <c r="D32" s="1134">
        <v>191116</v>
      </c>
      <c r="E32" s="1148">
        <v>42289</v>
      </c>
      <c r="F32" s="1134">
        <v>0</v>
      </c>
      <c r="G32" s="1134">
        <v>30</v>
      </c>
      <c r="H32" s="1137">
        <v>2834</v>
      </c>
      <c r="I32" s="1141">
        <v>5500</v>
      </c>
      <c r="J32" s="1148"/>
      <c r="K32" s="1148">
        <v>42313</v>
      </c>
      <c r="L32" s="269">
        <f t="shared" si="0"/>
        <v>4</v>
      </c>
      <c r="M32" s="1224">
        <f t="shared" si="5"/>
        <v>600</v>
      </c>
      <c r="N32" s="269" t="str">
        <f t="shared" si="1"/>
        <v>R0 to R19</v>
      </c>
      <c r="O32" s="1087">
        <f t="shared" si="2"/>
        <v>12635.861333333334</v>
      </c>
      <c r="P32" s="269">
        <f t="shared" si="3"/>
        <v>1</v>
      </c>
      <c r="Q32" s="269" t="str">
        <f t="shared" si="4"/>
        <v/>
      </c>
      <c r="R32" s="1155"/>
      <c r="S32" s="1087">
        <f t="shared" si="6"/>
        <v>3586.3040201005024</v>
      </c>
      <c r="T32" s="1014">
        <f t="shared" si="7"/>
        <v>3.4717048869346741</v>
      </c>
    </row>
    <row r="33" spans="2:20" ht="14.4">
      <c r="B33" s="1134">
        <v>4835559</v>
      </c>
      <c r="C33" s="1223" t="s">
        <v>392</v>
      </c>
      <c r="D33" s="1134">
        <v>483555</v>
      </c>
      <c r="E33" s="1148">
        <v>42223</v>
      </c>
      <c r="F33" s="1134">
        <v>3</v>
      </c>
      <c r="G33" s="1134">
        <v>30</v>
      </c>
      <c r="H33" s="1137">
        <v>4400</v>
      </c>
      <c r="I33" s="1141">
        <v>4180</v>
      </c>
      <c r="J33" s="1148"/>
      <c r="K33" s="1148">
        <v>42324</v>
      </c>
      <c r="L33" s="269">
        <f t="shared" si="0"/>
        <v>4</v>
      </c>
      <c r="M33" s="1224">
        <f t="shared" si="5"/>
        <v>600</v>
      </c>
      <c r="N33" s="269" t="str">
        <f t="shared" si="1"/>
        <v>R11 to R30</v>
      </c>
      <c r="O33" s="1087">
        <f t="shared" si="2"/>
        <v>18135.04</v>
      </c>
      <c r="P33" s="269">
        <f t="shared" si="3"/>
        <v>1</v>
      </c>
      <c r="Q33" s="269" t="str">
        <f t="shared" si="4"/>
        <v/>
      </c>
      <c r="R33" s="1155"/>
      <c r="S33" s="1087">
        <f t="shared" si="6"/>
        <v>584.50</v>
      </c>
      <c r="T33" s="1014">
        <f t="shared" si="7"/>
        <v>0.56582250000000012</v>
      </c>
    </row>
    <row r="34" spans="2:20" ht="14.4">
      <c r="B34" s="1134">
        <v>8209652</v>
      </c>
      <c r="C34" s="1223" t="s">
        <v>391</v>
      </c>
      <c r="D34" s="1134">
        <v>87805</v>
      </c>
      <c r="E34" s="1148">
        <v>42193</v>
      </c>
      <c r="F34" s="1134">
        <v>11</v>
      </c>
      <c r="G34" s="1134">
        <v>30</v>
      </c>
      <c r="H34" s="1137">
        <v>400</v>
      </c>
      <c r="I34" s="1141">
        <v>600</v>
      </c>
      <c r="J34" s="1148"/>
      <c r="K34" s="1148">
        <v>42324</v>
      </c>
      <c r="L34" s="269">
        <f t="shared" si="0"/>
        <v>4</v>
      </c>
      <c r="M34" s="1224">
        <f t="shared" si="5"/>
        <v>112.00000000000001</v>
      </c>
      <c r="N34" s="269" t="str">
        <f t="shared" si="1"/>
        <v>R11 to R30</v>
      </c>
      <c r="O34" s="1087">
        <f t="shared" si="2"/>
        <v>1648.64</v>
      </c>
      <c r="P34" s="269">
        <f t="shared" si="3"/>
        <v>1</v>
      </c>
      <c r="Q34" s="269" t="str">
        <f t="shared" si="4"/>
        <v/>
      </c>
      <c r="R34" s="1155"/>
      <c r="S34" s="1087">
        <f t="shared" si="6"/>
        <v>584.50</v>
      </c>
      <c r="T34" s="1014">
        <f t="shared" si="7"/>
        <v>0.56582250000000012</v>
      </c>
    </row>
    <row r="35" spans="2:20" ht="14.4">
      <c r="B35" s="1136">
        <v>1225374</v>
      </c>
      <c r="C35" s="1223" t="s">
        <v>390</v>
      </c>
      <c r="D35" s="1134">
        <v>122537</v>
      </c>
      <c r="E35" s="1148">
        <v>42320</v>
      </c>
      <c r="F35" s="1134">
        <v>30</v>
      </c>
      <c r="G35" s="1134">
        <v>90</v>
      </c>
      <c r="H35" s="1137">
        <v>3100</v>
      </c>
      <c r="I35" s="1141">
        <v>5835</v>
      </c>
      <c r="J35" s="1148"/>
      <c r="K35" s="1148">
        <v>42352</v>
      </c>
      <c r="L35" s="269">
        <f t="shared" si="0"/>
        <v>4</v>
      </c>
      <c r="M35" s="1224">
        <f t="shared" si="5"/>
        <v>600</v>
      </c>
      <c r="N35" s="269" t="str">
        <f t="shared" si="1"/>
        <v>R19 to R30</v>
      </c>
      <c r="O35" s="1087">
        <f t="shared" si="2"/>
        <v>4126.72</v>
      </c>
      <c r="P35" s="269">
        <f t="shared" si="3"/>
        <v>1</v>
      </c>
      <c r="Q35" s="269" t="str">
        <f t="shared" si="4"/>
        <v/>
      </c>
      <c r="R35" s="1155"/>
      <c r="S35" s="1087">
        <f t="shared" si="6"/>
        <v>154.69179229480736</v>
      </c>
      <c r="T35" s="1014">
        <f t="shared" si="7"/>
        <v>0.14974866834170855</v>
      </c>
    </row>
    <row r="36" spans="2:20" ht="14.4">
      <c r="B36" s="1134">
        <v>3875804</v>
      </c>
      <c r="C36" s="1223" t="s">
        <v>389</v>
      </c>
      <c r="D36" s="1134">
        <v>127728</v>
      </c>
      <c r="E36" s="1148">
        <v>42247</v>
      </c>
      <c r="F36" s="1134">
        <v>19</v>
      </c>
      <c r="G36" s="1134">
        <v>30</v>
      </c>
      <c r="H36" s="1137">
        <v>1900</v>
      </c>
      <c r="I36" s="1141">
        <v>9750</v>
      </c>
      <c r="J36" s="1148"/>
      <c r="K36" s="1148">
        <v>42348</v>
      </c>
      <c r="L36" s="269">
        <f t="shared" si="0"/>
        <v>4</v>
      </c>
      <c r="M36" s="1224">
        <f t="shared" si="5"/>
        <v>532</v>
      </c>
      <c r="N36" s="269" t="str">
        <f t="shared" si="1"/>
        <v>R19 to R30</v>
      </c>
      <c r="O36" s="1087">
        <f t="shared" si="2"/>
        <v>2529.2800000000002</v>
      </c>
      <c r="P36" s="269">
        <f t="shared" si="3"/>
        <v>1</v>
      </c>
      <c r="Q36" s="269" t="str">
        <f t="shared" si="4"/>
        <v/>
      </c>
      <c r="R36" s="1155"/>
      <c r="S36" s="1087">
        <f t="shared" si="6"/>
        <v>154.69179229480736</v>
      </c>
      <c r="T36" s="1014">
        <f t="shared" si="7"/>
        <v>0.14974866834170855</v>
      </c>
    </row>
  </sheetData>
  <mergeCells count="8">
    <mergeCell ref="B2:G2"/>
    <mergeCell ref="M2:N2"/>
    <mergeCell ref="O2:P2"/>
    <mergeCell ref="S20:T20"/>
    <mergeCell ref="B20:R20"/>
    <mergeCell ref="B3:G3"/>
    <mergeCell ref="B11:I11"/>
    <mergeCell ref="B12:I12"/>
  </mergeCells>
  <pageMargins left="0.7" right="0.7" top="0.75" bottom="0.75" header="0.3" footer="0.3"/>
  <pageSetup orientation="portrait"/>
  <headerFooter alignWithMargins="0"/>
  <ignoredErrors>
    <ignoredError sqref="P5" formula="1"/>
  </ignoredErrors>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4" tint="0.39998"/>
  </sheetPr>
  <dimension ref="B1:S72"/>
  <sheetViews>
    <sheetView zoomScale="70" zoomScaleNormal="70" workbookViewId="0" topLeftCell="A1">
      <selection pane="topLeft" activeCell="A1" sqref="A1"/>
    </sheetView>
  </sheetViews>
  <sheetFormatPr defaultColWidth="8.77734375" defaultRowHeight="14.4"/>
  <cols>
    <col min="1" max="1" width="4.55555555555556" style="1078" customWidth="1"/>
    <col min="2" max="2" width="8.77777777777778" style="1078" bestFit="1" customWidth="1"/>
    <col min="3" max="3" width="14.5555555555556" style="1078" bestFit="1" customWidth="1"/>
    <col min="4" max="4" width="17.5555555555556" style="1078" customWidth="1"/>
    <col min="5" max="5" width="10.4444444444444" style="1078" bestFit="1" customWidth="1"/>
    <col min="6" max="6" width="11.7777777777778" style="1078" bestFit="1" customWidth="1"/>
    <col min="7" max="7" width="12" style="1078" bestFit="1" customWidth="1"/>
    <col min="8" max="8" width="11.2222222222222" style="1078" bestFit="1" customWidth="1"/>
    <col min="9" max="9" width="9" style="1078" bestFit="1" customWidth="1"/>
    <col min="10" max="10" width="27" style="1078" customWidth="1"/>
    <col min="11" max="11" width="63.7777777777778" style="1078" bestFit="1" customWidth="1"/>
    <col min="12" max="12" width="22" style="1078" bestFit="1" customWidth="1"/>
    <col min="13" max="13" width="26.4444444444444" style="1078" bestFit="1" customWidth="1"/>
    <col min="14" max="17" width="9.22222222222222" style="1078" customWidth="1"/>
    <col min="18" max="20" width="12.5555555555556" style="1078" customWidth="1"/>
    <col min="21" max="22" width="8.77777777777778" style="1078"/>
    <col min="23" max="23" width="10.4444444444444" style="1078" customWidth="1"/>
    <col min="24" max="16384" width="8.77777777777778" style="1078"/>
  </cols>
  <sheetData>
    <row r="1" spans="2:9" ht="15" thickBot="1">
      <c r="B1" s="1032" t="s">
        <v>1632</v>
      </c>
      <c r="H1" s="1075"/>
      <c r="I1" s="1075"/>
    </row>
    <row r="2" spans="2:14" ht="14.4">
      <c r="B2" s="1862" t="s">
        <v>1094</v>
      </c>
      <c r="C2" s="1862"/>
      <c r="D2" s="1862"/>
      <c r="E2" s="1862"/>
      <c r="F2" s="1862"/>
      <c r="G2" s="1862"/>
      <c r="H2" s="1075"/>
      <c r="I2" s="1075"/>
      <c r="K2" s="1232" t="s">
        <v>417</v>
      </c>
      <c r="L2" s="1233" t="s">
        <v>416</v>
      </c>
      <c r="M2" s="1236"/>
      <c r="N2" s="1237"/>
    </row>
    <row r="3" spans="2:14" ht="15">
      <c r="B3" s="1862" t="s">
        <v>418</v>
      </c>
      <c r="C3" s="1862"/>
      <c r="D3" s="1862"/>
      <c r="E3" s="1862"/>
      <c r="F3" s="1862"/>
      <c r="G3" s="1862"/>
      <c r="H3" s="266"/>
      <c r="I3" s="266"/>
      <c r="K3" s="1238"/>
      <c r="L3" s="1167" t="s">
        <v>415</v>
      </c>
      <c r="M3" s="1075"/>
      <c r="N3" s="1239"/>
    </row>
    <row r="4" spans="2:19" ht="26.4">
      <c r="B4" s="587" t="s">
        <v>206</v>
      </c>
      <c r="C4" s="587" t="s">
        <v>205</v>
      </c>
      <c r="D4" s="587" t="s">
        <v>233</v>
      </c>
      <c r="E4" s="1079" t="s">
        <v>203</v>
      </c>
      <c r="F4" s="1079" t="s">
        <v>202</v>
      </c>
      <c r="G4" s="587" t="s">
        <v>105</v>
      </c>
      <c r="H4" s="472"/>
      <c r="I4" s="472"/>
      <c r="K4" s="1238"/>
      <c r="L4" s="1167" t="s">
        <v>414</v>
      </c>
      <c r="M4" s="1075"/>
      <c r="N4" s="1239"/>
      <c r="S4" s="1234"/>
    </row>
    <row r="5" spans="2:14" ht="14.4">
      <c r="B5" s="1169">
        <v>1</v>
      </c>
      <c r="C5" s="1086">
        <f>SUMIF($L$24:$L$71,"=1",M$24:M$71)</f>
        <v>367.40</v>
      </c>
      <c r="D5" s="1087">
        <f>SUMIF($L$24:$L$71,"=1",N$24:N$71)</f>
        <v>1281.9268825080576</v>
      </c>
      <c r="E5" s="1087">
        <f>SUMIF($L$24:$L$71,"=1",O$24:O$71)</f>
        <v>6</v>
      </c>
      <c r="F5" s="1087">
        <f>SUMIF($L$24:$L$71,"=1",P$24:P$71)</f>
        <v>0</v>
      </c>
      <c r="G5" s="1212">
        <f>SUMIF($L$24:$L$71,$B5,F$24:F$71)</f>
        <v>835</v>
      </c>
      <c r="H5" s="1075"/>
      <c r="I5" s="1075"/>
      <c r="K5" s="1238"/>
      <c r="L5" s="1167" t="s">
        <v>413</v>
      </c>
      <c r="M5" s="1075"/>
      <c r="N5" s="1239"/>
    </row>
    <row r="6" spans="2:14" ht="15" thickBot="1">
      <c r="B6" s="1169">
        <v>2</v>
      </c>
      <c r="C6" s="1086">
        <f>SUMIF($L$24:$L$71,"=2",M$24:M$71)</f>
        <v>851.40000000000009</v>
      </c>
      <c r="D6" s="1087">
        <f>SUMIF($L$24:$L$71,"=2",N$24:N$71)</f>
        <v>3156.5126428362141</v>
      </c>
      <c r="E6" s="1087">
        <f>SUMIF($L$24:$L$71,"=2",O$24:O$71)</f>
        <v>14</v>
      </c>
      <c r="F6" s="1087">
        <f>SUMIF($L$24:$L$71,"=2",P$24:P$71)</f>
        <v>0</v>
      </c>
      <c r="G6" s="1212">
        <f>SUMIF($L$24:$L$71,$B6,F$24:F$71)</f>
        <v>1935</v>
      </c>
      <c r="H6" s="1075"/>
      <c r="I6" s="1075"/>
      <c r="K6" s="1240"/>
      <c r="L6" s="1235" t="s">
        <v>412</v>
      </c>
      <c r="M6" s="1241"/>
      <c r="N6" s="1242"/>
    </row>
    <row r="7" spans="2:9" ht="14.4">
      <c r="B7" s="1169">
        <v>3</v>
      </c>
      <c r="C7" s="1086">
        <f>SUMIF($L$24:$L$71,"=3",M$24:M$71)</f>
        <v>1267.8600000000001</v>
      </c>
      <c r="D7" s="1087">
        <f>SUMIF($L$24:$L$71,"=3",N$24:N$71)</f>
        <v>4344.421256958688</v>
      </c>
      <c r="E7" s="1087">
        <f>SUMIF($L$24:$L$71,"=3",O$24:O$71)</f>
        <v>15</v>
      </c>
      <c r="F7" s="1087">
        <f>SUMIF($L$24:$L$71,"=3",P$24:P$71)</f>
        <v>0</v>
      </c>
      <c r="G7" s="1212">
        <f>SUMIF($L$24:$L$71,$B7,F$24:F$71)</f>
        <v>2881.50</v>
      </c>
      <c r="H7" s="1075"/>
      <c r="I7" s="1075"/>
    </row>
    <row r="8" spans="2:13" ht="14.4">
      <c r="B8" s="1169">
        <v>4</v>
      </c>
      <c r="C8" s="1086">
        <f>SUMIF($L$24:$L$71,"=4",M$24:M$71)</f>
        <v>810.4799999999999</v>
      </c>
      <c r="D8" s="1087">
        <f>SUMIF($L$24:$L$71,"=4",N$24:N$71)</f>
        <v>3560.3228493993561</v>
      </c>
      <c r="E8" s="1087">
        <f>SUMIF($L$24:$L$71,"=4",O$24:O$71)</f>
        <v>13</v>
      </c>
      <c r="F8" s="1087">
        <f>SUMIF($L$24:$L$71,"=4",P$24:P$71)</f>
        <v>0</v>
      </c>
      <c r="G8" s="1212">
        <f>SUMIF($L$24:$L$71,$B8,F$24:F$71)</f>
        <v>1842</v>
      </c>
      <c r="H8" s="1075"/>
      <c r="I8" s="1075"/>
      <c r="K8" s="1095" t="s">
        <v>232</v>
      </c>
      <c r="L8" s="1220">
        <v>10</v>
      </c>
      <c r="M8" s="1220" t="s">
        <v>325</v>
      </c>
    </row>
    <row r="9" spans="2:13" ht="14.4">
      <c r="B9" s="1169" t="s">
        <v>222</v>
      </c>
      <c r="C9" s="1086">
        <f>SUM(C5:C8)</f>
        <v>3297.1400000000003</v>
      </c>
      <c r="D9" s="1087">
        <f>SUM(D5:D8)</f>
        <v>12343.183631702315</v>
      </c>
      <c r="E9" s="269">
        <f>SUM(E5:E8)</f>
        <v>48</v>
      </c>
      <c r="F9" s="269">
        <f>SUM(F5:F8)</f>
        <v>0</v>
      </c>
      <c r="G9" s="1087">
        <f>SUM(G5:G8)</f>
        <v>7493.50</v>
      </c>
      <c r="H9" s="1075"/>
      <c r="I9" s="1075"/>
      <c r="K9" s="1095" t="s">
        <v>1720</v>
      </c>
      <c r="L9" s="1243">
        <f>'BEopt Demand Results'!$I$22</f>
        <v>-0.0011858305647840532</v>
      </c>
      <c r="M9" s="1220" t="s">
        <v>1722</v>
      </c>
    </row>
    <row r="10" spans="2:13" s="1075" customFormat="1" ht="14.4">
      <c r="B10" s="579"/>
      <c r="C10" s="1208"/>
      <c r="D10" s="1089"/>
      <c r="E10" s="1090"/>
      <c r="F10" s="1090"/>
      <c r="G10" s="1089"/>
      <c r="K10" s="1244"/>
      <c r="L10" s="1245"/>
      <c r="M10" s="1245"/>
    </row>
    <row r="11" spans="7:14" ht="14.4">
      <c r="G11" s="579"/>
      <c r="H11" s="1208"/>
      <c r="I11" s="1208"/>
      <c r="J11" s="1089"/>
      <c r="K11" s="1080" t="s">
        <v>742</v>
      </c>
      <c r="L11" s="1080" t="s">
        <v>1072</v>
      </c>
      <c r="M11" s="1080" t="s">
        <v>1073</v>
      </c>
      <c r="N11" s="1080" t="s">
        <v>1104</v>
      </c>
    </row>
    <row r="12" spans="2:16" ht="14.4">
      <c r="B12" s="1862" t="s">
        <v>1095</v>
      </c>
      <c r="C12" s="1862"/>
      <c r="D12" s="1862"/>
      <c r="E12" s="1862"/>
      <c r="F12" s="1862"/>
      <c r="G12" s="1862"/>
      <c r="H12" s="1862"/>
      <c r="I12" s="1862"/>
      <c r="J12" s="1089"/>
      <c r="K12" s="1246" t="s">
        <v>1083</v>
      </c>
      <c r="L12" s="1246" t="s">
        <v>1084</v>
      </c>
      <c r="M12" s="1146">
        <f>'BEopt Results'!$C$123</f>
        <v>246</v>
      </c>
      <c r="N12" s="1247">
        <f t="shared" si="0" ref="N12:N17">M12/$L$20</f>
        <v>1.248730964467005</v>
      </c>
      <c r="O12" s="1093"/>
      <c r="P12" s="1093"/>
    </row>
    <row r="13" spans="2:16" ht="14.4">
      <c r="B13" s="1862" t="s">
        <v>418</v>
      </c>
      <c r="C13" s="1862"/>
      <c r="D13" s="1862"/>
      <c r="E13" s="1862"/>
      <c r="F13" s="1862"/>
      <c r="G13" s="1862"/>
      <c r="H13" s="1862"/>
      <c r="I13" s="1862"/>
      <c r="J13" s="1089"/>
      <c r="K13" s="1246" t="s">
        <v>1085</v>
      </c>
      <c r="L13" s="1246" t="s">
        <v>1086</v>
      </c>
      <c r="M13" s="1146">
        <f>'BEopt Results'!$C$140</f>
        <v>413</v>
      </c>
      <c r="N13" s="1247">
        <f t="shared" si="0"/>
        <v>2.0964467005076144</v>
      </c>
      <c r="O13" s="1093"/>
      <c r="P13" s="1093"/>
    </row>
    <row r="14" spans="2:16" ht="52.8">
      <c r="B14" s="587" t="s">
        <v>206</v>
      </c>
      <c r="C14" s="587" t="s">
        <v>205</v>
      </c>
      <c r="D14" s="587" t="s">
        <v>233</v>
      </c>
      <c r="E14" s="1079" t="s">
        <v>203</v>
      </c>
      <c r="F14" s="1079" t="s">
        <v>202</v>
      </c>
      <c r="G14" s="587" t="s">
        <v>105</v>
      </c>
      <c r="H14" s="587" t="s">
        <v>326</v>
      </c>
      <c r="I14" s="587" t="s">
        <v>1682</v>
      </c>
      <c r="J14" s="1089"/>
      <c r="K14" s="1863" t="s">
        <v>1102</v>
      </c>
      <c r="L14" s="1863"/>
      <c r="M14" s="1248">
        <f>AVERAGE(M12:M13)</f>
        <v>329.50</v>
      </c>
      <c r="N14" s="1249">
        <f t="shared" si="0"/>
        <v>1.6725888324873097</v>
      </c>
      <c r="O14" s="1093"/>
      <c r="P14" s="1093"/>
    </row>
    <row r="15" spans="2:16" ht="14.4">
      <c r="B15" s="1169">
        <v>1</v>
      </c>
      <c r="C15" s="1086">
        <f>SUMIF($L$24:$L$71,"=1",M$24:M$71)</f>
        <v>367.40</v>
      </c>
      <c r="D15" s="1087">
        <f>SUMIF($L$24:$L$71,$B15,Q$24:Q$71)</f>
        <v>1402.969543147208</v>
      </c>
      <c r="E15" s="1087">
        <f>SUMIF($L$24:$L$71,"=1",O$24:O$71)</f>
        <v>6</v>
      </c>
      <c r="F15" s="1087">
        <f>SUMIF($L$24:$L$71,"=1",P$24:P$71)</f>
        <v>0</v>
      </c>
      <c r="G15" s="1212">
        <f>SUMIF($L$24:$L$71,$B15,F$24:F$71)</f>
        <v>835</v>
      </c>
      <c r="H15" s="1166">
        <f>IFERROR(AVERAGEIFS(R$24:R$1006,$L$24:$L$1006,$B15,O$24:O$1006,1),"")</f>
        <v>-0.27728069428751317</v>
      </c>
      <c r="I15" s="1014">
        <f>SUMIFS(R$24:R$1006,$L$24:$L$1006,$B15,O$24:O$1006,1)</f>
        <v>-1.6636841657250792</v>
      </c>
      <c r="J15" s="1089"/>
      <c r="K15" s="1246" t="s">
        <v>1087</v>
      </c>
      <c r="L15" s="1246" t="s">
        <v>1088</v>
      </c>
      <c r="M15" s="1146">
        <f>'BEopt Results'!$C$157</f>
        <v>393</v>
      </c>
      <c r="N15" s="1247">
        <f t="shared" si="0"/>
        <v>1.9949238578680204</v>
      </c>
      <c r="O15" s="1093"/>
      <c r="P15" s="1093"/>
    </row>
    <row r="16" spans="2:16" ht="14.4">
      <c r="B16" s="1169">
        <v>2</v>
      </c>
      <c r="C16" s="1086">
        <f>SUMIF($L$24:$L$71,"=2",M$24:M$71)</f>
        <v>851.40000000000009</v>
      </c>
      <c r="D16" s="1087">
        <f>SUMIF($L$24:$L$71,$B16,Q$24:Q$71)</f>
        <v>3251.1928934010148</v>
      </c>
      <c r="E16" s="1087">
        <f>SUMIF($L$24:$L$71,"=2",O$24:O$71)</f>
        <v>14</v>
      </c>
      <c r="F16" s="1087">
        <f>SUMIF($L$24:$L$71,"=2",P$24:P$71)</f>
        <v>0</v>
      </c>
      <c r="G16" s="1212">
        <f>SUMIF($L$24:$L$71,$B16,F$24:F$71)</f>
        <v>1935</v>
      </c>
      <c r="H16" s="1166">
        <f>IFERROR(AVERAGEIFS(R$24:R$1006,$L$24:$L$1006,$B16,O$24:O$1006,1),"")</f>
        <v>-0.27538313607168757</v>
      </c>
      <c r="I16" s="1014">
        <f>SUMIFS(R$24:R$1006,$L$24:$L$1006,$B16,O$24:O$1006,1)</f>
        <v>-3.8553639050036259</v>
      </c>
      <c r="J16" s="1089"/>
      <c r="K16" s="1246" t="s">
        <v>1089</v>
      </c>
      <c r="L16" s="1246" t="s">
        <v>1090</v>
      </c>
      <c r="M16" s="1146">
        <f>'BEopt Results'!$C$174</f>
        <v>269</v>
      </c>
      <c r="N16" s="1247">
        <f t="shared" si="0"/>
        <v>1.3654822335025381</v>
      </c>
      <c r="O16" s="1093"/>
      <c r="P16" s="1093"/>
    </row>
    <row r="17" spans="2:16" ht="14.4">
      <c r="B17" s="1169">
        <v>3</v>
      </c>
      <c r="C17" s="1086">
        <f>SUMIF($L$24:$L$71,"=3",M$24:M$71)</f>
        <v>1267.8600000000001</v>
      </c>
      <c r="D17" s="1087">
        <f>SUMIF($L$24:$L$71,$B17,Q$24:Q$71)</f>
        <v>4841.5050761421317</v>
      </c>
      <c r="E17" s="1087">
        <f>SUMIF($L$24:$L$71,"=3",O$24:O$71)</f>
        <v>15</v>
      </c>
      <c r="F17" s="1087">
        <f>SUMIF($L$24:$L$71,"=3",P$24:P$71)</f>
        <v>0</v>
      </c>
      <c r="G17" s="1212">
        <f>SUMIF($L$24:$L$71,$B17,F$24:F$71)</f>
        <v>2881.50</v>
      </c>
      <c r="H17" s="1166">
        <f>IFERROR(AVERAGEIFS(R$24:R$1006,$L$24:$L$1006,$B17,O$24:O$1006,1),"")</f>
        <v>-0.38274697992309897</v>
      </c>
      <c r="I17" s="1014">
        <f>SUMIFS(R$24:R$1006,$L$24:$L$1006,$B17,O$24:O$1006,1)</f>
        <v>-5.7412046988464844</v>
      </c>
      <c r="J17" s="1089"/>
      <c r="K17" s="1863" t="s">
        <v>1103</v>
      </c>
      <c r="L17" s="1863"/>
      <c r="M17" s="1248">
        <f>AVERAGE(M15:M16)</f>
        <v>331</v>
      </c>
      <c r="N17" s="1249">
        <f t="shared" si="0"/>
        <v>1.6802030456852792</v>
      </c>
      <c r="O17" s="1093"/>
      <c r="P17" s="1093"/>
    </row>
    <row r="18" spans="2:16" ht="14.4">
      <c r="B18" s="1169">
        <v>4</v>
      </c>
      <c r="C18" s="1086">
        <f>SUMIF($L$24:$L$71,"=4",M$24:M$71)</f>
        <v>810.4799999999999</v>
      </c>
      <c r="D18" s="1087">
        <f>SUMIF($L$24:$L$71,$B18,Q$24:Q$71)</f>
        <v>3093.5269035532992</v>
      </c>
      <c r="E18" s="1087">
        <f>SUMIF($L$24:$L$71,"=4",O$24:O$71)</f>
        <v>13</v>
      </c>
      <c r="F18" s="1087">
        <f>SUMIF($L$24:$L$71,"=4",P$24:P$71)</f>
        <v>0</v>
      </c>
      <c r="G18" s="1212">
        <f>SUMIF($L$24:$L$71,$B18,F$24:F$71)</f>
        <v>1842</v>
      </c>
      <c r="H18" s="1166">
        <f>IFERROR(AVERAGEIFS(R$24:R$1006,$L$24:$L$1006,$B18,O$24:O$1006,1),"")</f>
        <v>-0.28218451963194408</v>
      </c>
      <c r="I18" s="1014">
        <f>SUMIFS(R$24:R$1006,$L$24:$L$1006,$B18,O$24:O$1006,1)</f>
        <v>-3.6683987552152728</v>
      </c>
      <c r="J18" s="1089"/>
      <c r="K18" s="1090"/>
      <c r="L18" s="1090"/>
      <c r="O18" s="1093"/>
      <c r="P18" s="1093"/>
    </row>
    <row r="19" spans="2:16" ht="14.4">
      <c r="B19" s="1169" t="s">
        <v>222</v>
      </c>
      <c r="C19" s="1086">
        <f>SUM(C15:C18)</f>
        <v>3297.1400000000003</v>
      </c>
      <c r="D19" s="1087">
        <f>SUM(D15:D18)</f>
        <v>12589.194416243652</v>
      </c>
      <c r="E19" s="269">
        <f>SUM(E15:E18)</f>
        <v>48</v>
      </c>
      <c r="F19" s="269">
        <f>SUM(F15:F18)</f>
        <v>0</v>
      </c>
      <c r="G19" s="1087">
        <f>SUM(G15:G18)</f>
        <v>7493.50</v>
      </c>
      <c r="H19" s="1250">
        <f>AVERAGE(H15:H18)</f>
        <v>-0.30439883247856098</v>
      </c>
      <c r="I19" s="1166">
        <f>SUM(I15:I18)</f>
        <v>-14.928651524790462</v>
      </c>
      <c r="J19" s="1089"/>
      <c r="K19" s="269" t="s">
        <v>983</v>
      </c>
      <c r="L19" s="269" t="s">
        <v>1100</v>
      </c>
      <c r="M19" s="1166" t="s">
        <v>985</v>
      </c>
      <c r="O19" s="1093"/>
      <c r="P19" s="1093"/>
    </row>
    <row r="20" spans="7:16" ht="14.4">
      <c r="G20" s="579"/>
      <c r="H20" s="1208"/>
      <c r="I20" s="1208"/>
      <c r="J20" s="1089"/>
      <c r="K20" s="269" t="s">
        <v>1101</v>
      </c>
      <c r="L20" s="269">
        <f>34+104+41+18</f>
        <v>197</v>
      </c>
      <c r="M20" s="1166" t="s">
        <v>105</v>
      </c>
      <c r="O20" s="1093"/>
      <c r="P20" s="1093"/>
    </row>
    <row r="21" spans="14:16" ht="14.4">
      <c r="N21" s="261"/>
      <c r="O21" s="1093"/>
      <c r="P21" s="1093"/>
    </row>
    <row r="22" spans="2:18" ht="15.6">
      <c r="B22" s="1836" t="s">
        <v>411</v>
      </c>
      <c r="C22" s="1836"/>
      <c r="D22" s="1836"/>
      <c r="E22" s="1836"/>
      <c r="F22" s="1836"/>
      <c r="G22" s="1836"/>
      <c r="H22" s="1836"/>
      <c r="I22" s="1836"/>
      <c r="J22" s="1836"/>
      <c r="K22" s="1836"/>
      <c r="L22" s="1836"/>
      <c r="M22" s="1836"/>
      <c r="N22" s="1836"/>
      <c r="O22" s="1836"/>
      <c r="P22" s="1836"/>
      <c r="Q22" s="1636" t="s">
        <v>1099</v>
      </c>
      <c r="R22" s="1636"/>
    </row>
    <row r="23" spans="2:18" ht="72">
      <c r="B23" s="587" t="s">
        <v>217</v>
      </c>
      <c r="C23" s="587" t="s">
        <v>216</v>
      </c>
      <c r="D23" s="587" t="s">
        <v>215</v>
      </c>
      <c r="E23" s="587" t="s">
        <v>214</v>
      </c>
      <c r="F23" s="587" t="s">
        <v>410</v>
      </c>
      <c r="G23" s="587" t="s">
        <v>409</v>
      </c>
      <c r="H23" s="587" t="s">
        <v>408</v>
      </c>
      <c r="I23" s="587" t="s">
        <v>249</v>
      </c>
      <c r="J23" s="587" t="s">
        <v>208</v>
      </c>
      <c r="K23" s="587" t="s">
        <v>207</v>
      </c>
      <c r="L23" s="587" t="s">
        <v>206</v>
      </c>
      <c r="M23" s="587" t="s">
        <v>205</v>
      </c>
      <c r="N23" s="587" t="s">
        <v>204</v>
      </c>
      <c r="O23" s="587" t="s">
        <v>203</v>
      </c>
      <c r="P23" s="587" t="s">
        <v>202</v>
      </c>
      <c r="Q23" s="1211" t="str">
        <f>"Updated "&amp;N23</f>
        <v>Updated Est. Annual kWh Saved </v>
      </c>
      <c r="R23" s="587" t="s">
        <v>315</v>
      </c>
    </row>
    <row r="24" spans="2:18" ht="14.4">
      <c r="B24" s="1134">
        <v>8864815</v>
      </c>
      <c r="C24" s="1185"/>
      <c r="D24" s="1134">
        <v>8767345</v>
      </c>
      <c r="E24" s="1148">
        <v>41886</v>
      </c>
      <c r="F24" s="1186">
        <v>19</v>
      </c>
      <c r="G24" s="1186">
        <v>2</v>
      </c>
      <c r="H24" s="1187">
        <v>0.31</v>
      </c>
      <c r="I24" s="1141">
        <v>100</v>
      </c>
      <c r="J24" s="1136"/>
      <c r="K24" s="1188">
        <v>42034</v>
      </c>
      <c r="L24" s="269">
        <f t="shared" si="1" ref="L24:L71">IF(MAX(J24,K24)&lt;40000,"",ROUNDUP(MONTH(MAX(J24,K24))/3,0))</f>
        <v>1</v>
      </c>
      <c r="M24" s="284">
        <f t="shared" si="2" ref="M24:M71">IF(B24="","",F24*0.44)</f>
        <v>8.36</v>
      </c>
      <c r="N24" s="257">
        <f t="shared" si="3" ref="N24:N71">IF(B24="","",F24*17005/3413*(IF(G24=1,1,IF(G24=2,0.65,"Error")-H24)))</f>
        <v>32.186434222092004</v>
      </c>
      <c r="O24" s="269">
        <f t="shared" si="4" ref="O24:O71">IF(K24&gt;0,1,"")</f>
        <v>1</v>
      </c>
      <c r="P24" s="269" t="str">
        <f t="shared" si="5" ref="P24:P71">IF(J24&gt;0,1,"")</f>
        <v/>
      </c>
      <c r="Q24" s="1251">
        <f t="shared" si="6" ref="Q24:Q71">IF($G24=1,($N$14*$F24),($N$17*$F24))</f>
        <v>31.923857868020306</v>
      </c>
      <c r="R24" s="1252">
        <f>IF($O24=1,$L$9*'Clay Window Film'!$Q24,"")</f>
        <v>-0.037856286405720363</v>
      </c>
    </row>
    <row r="25" spans="2:18" ht="14.4">
      <c r="B25" s="1134">
        <v>8812055</v>
      </c>
      <c r="C25" s="1185"/>
      <c r="D25" s="1134">
        <v>249494</v>
      </c>
      <c r="E25" s="1148">
        <v>41992</v>
      </c>
      <c r="F25" s="1186">
        <v>71</v>
      </c>
      <c r="G25" s="1186">
        <v>2</v>
      </c>
      <c r="H25" s="1187">
        <v>0.31</v>
      </c>
      <c r="I25" s="1141">
        <v>448</v>
      </c>
      <c r="J25" s="1134"/>
      <c r="K25" s="1188">
        <v>42061</v>
      </c>
      <c r="L25" s="269">
        <f t="shared" si="1"/>
        <v>1</v>
      </c>
      <c r="M25" s="284">
        <f t="shared" si="2"/>
        <v>31.24</v>
      </c>
      <c r="N25" s="257">
        <f t="shared" si="3"/>
        <v>120.27562261939643</v>
      </c>
      <c r="O25" s="269">
        <f t="shared" si="4"/>
        <v>1</v>
      </c>
      <c r="P25" s="269" t="str">
        <f t="shared" si="5"/>
        <v/>
      </c>
      <c r="Q25" s="1251">
        <f t="shared" si="6"/>
        <v>119.29441624365482</v>
      </c>
      <c r="R25" s="1252">
        <f>IF($O25=1,$L$9*'Clay Window Film'!$Q25,"")</f>
        <v>-0.14146296498979713</v>
      </c>
    </row>
    <row r="26" spans="2:18" ht="14.4">
      <c r="B26" s="1134">
        <v>8904874</v>
      </c>
      <c r="C26" s="1185"/>
      <c r="D26" s="1134">
        <v>194263</v>
      </c>
      <c r="E26" s="1148">
        <v>42040</v>
      </c>
      <c r="F26" s="1186">
        <v>42</v>
      </c>
      <c r="G26" s="1186">
        <v>2</v>
      </c>
      <c r="H26" s="1187">
        <v>0.23</v>
      </c>
      <c r="I26" s="1141">
        <v>280</v>
      </c>
      <c r="J26" s="1134"/>
      <c r="K26" s="1188">
        <v>42083</v>
      </c>
      <c r="L26" s="269">
        <f t="shared" si="1"/>
        <v>1</v>
      </c>
      <c r="M26" s="284">
        <f t="shared" si="2"/>
        <v>18.48</v>
      </c>
      <c r="N26" s="257">
        <f t="shared" si="3"/>
        <v>87.889891590975694</v>
      </c>
      <c r="O26" s="269">
        <f t="shared" si="4"/>
        <v>1</v>
      </c>
      <c r="P26" s="269" t="str">
        <f t="shared" si="5"/>
        <v/>
      </c>
      <c r="Q26" s="1251">
        <f t="shared" si="6"/>
        <v>70.568527918781726</v>
      </c>
      <c r="R26" s="1252">
        <f>IF($O26=1,$L$9*'Clay Window Film'!$Q26,"")</f>
        <v>-0.083682317317908164</v>
      </c>
    </row>
    <row r="27" spans="2:18" ht="14.4">
      <c r="B27" s="1134">
        <v>4620944</v>
      </c>
      <c r="C27" s="1185"/>
      <c r="D27" s="1134">
        <v>152394</v>
      </c>
      <c r="E27" s="1148">
        <v>42053</v>
      </c>
      <c r="F27" s="1186">
        <v>600</v>
      </c>
      <c r="G27" s="1186">
        <v>2</v>
      </c>
      <c r="H27" s="1187">
        <v>0.37</v>
      </c>
      <c r="I27" s="1141">
        <v>3250</v>
      </c>
      <c r="J27" s="1134"/>
      <c r="K27" s="1188">
        <v>42083</v>
      </c>
      <c r="L27" s="269">
        <f t="shared" si="1"/>
        <v>1</v>
      </c>
      <c r="M27" s="284">
        <f t="shared" si="2"/>
        <v>264</v>
      </c>
      <c r="N27" s="257">
        <f t="shared" si="3"/>
        <v>837.04658658072083</v>
      </c>
      <c r="O27" s="269">
        <f t="shared" si="4"/>
        <v>1</v>
      </c>
      <c r="P27" s="269" t="str">
        <f t="shared" si="5"/>
        <v/>
      </c>
      <c r="Q27" s="1251">
        <f t="shared" si="6"/>
        <v>1008.1218274111675</v>
      </c>
      <c r="R27" s="1252">
        <f>IF($O27=1,$L$9*'Clay Window Film'!$Q27,"")</f>
        <v>-1.1954616759701167</v>
      </c>
    </row>
    <row r="28" spans="2:18" ht="14.4">
      <c r="B28" s="1134">
        <v>8877374</v>
      </c>
      <c r="C28" s="1185"/>
      <c r="D28" s="1134">
        <v>8768305</v>
      </c>
      <c r="E28" s="1148">
        <v>42081</v>
      </c>
      <c r="F28" s="1186">
        <v>13</v>
      </c>
      <c r="G28" s="1186">
        <v>2</v>
      </c>
      <c r="H28" s="1187">
        <v>0.40</v>
      </c>
      <c r="I28" s="1141">
        <v>100</v>
      </c>
      <c r="J28" s="1134"/>
      <c r="K28" s="1188">
        <v>42093</v>
      </c>
      <c r="L28" s="269">
        <f t="shared" si="1"/>
        <v>1</v>
      </c>
      <c r="M28" s="284">
        <f t="shared" si="2"/>
        <v>5.72</v>
      </c>
      <c r="N28" s="257">
        <f t="shared" si="3"/>
        <v>16.192865514210371</v>
      </c>
      <c r="O28" s="269">
        <f t="shared" si="4"/>
        <v>1</v>
      </c>
      <c r="P28" s="269" t="str">
        <f t="shared" si="5"/>
        <v/>
      </c>
      <c r="Q28" s="1251">
        <f t="shared" si="6"/>
        <v>21.842639593908629</v>
      </c>
      <c r="R28" s="1252">
        <f>IF($O28=1,$L$9*'Clay Window Film'!$Q28,"")</f>
        <v>-0.025901669646019192</v>
      </c>
    </row>
    <row r="29" spans="2:18" ht="14.4">
      <c r="B29" s="1134">
        <v>8397044</v>
      </c>
      <c r="C29" s="1185"/>
      <c r="D29" s="1134">
        <v>837664</v>
      </c>
      <c r="E29" s="1148">
        <v>42080</v>
      </c>
      <c r="F29" s="1186">
        <v>90</v>
      </c>
      <c r="G29" s="1186">
        <v>2</v>
      </c>
      <c r="H29" s="1187">
        <v>0.23</v>
      </c>
      <c r="I29" s="1141">
        <v>567</v>
      </c>
      <c r="J29" s="1134"/>
      <c r="K29" s="1188">
        <v>42094</v>
      </c>
      <c r="L29" s="269">
        <f t="shared" si="1"/>
        <v>1</v>
      </c>
      <c r="M29" s="284">
        <f t="shared" si="2"/>
        <v>39.60</v>
      </c>
      <c r="N29" s="257">
        <f t="shared" si="3"/>
        <v>188.3354819806622</v>
      </c>
      <c r="O29" s="269">
        <f t="shared" si="4"/>
        <v>1</v>
      </c>
      <c r="P29" s="269" t="str">
        <f t="shared" si="5"/>
        <v/>
      </c>
      <c r="Q29" s="1251">
        <f t="shared" si="6"/>
        <v>151.21827411167513</v>
      </c>
      <c r="R29" s="1252">
        <f>IF($O29=1,$L$9*'Clay Window Film'!$Q29,"")</f>
        <v>-0.17931925139551749</v>
      </c>
    </row>
    <row r="30" spans="2:18" ht="14.4">
      <c r="B30" s="1134">
        <v>7824956</v>
      </c>
      <c r="C30" s="1185"/>
      <c r="D30" s="1134">
        <v>782495</v>
      </c>
      <c r="E30" s="1148">
        <v>42086</v>
      </c>
      <c r="F30" s="1186">
        <v>75</v>
      </c>
      <c r="G30" s="1186">
        <v>2</v>
      </c>
      <c r="H30" s="1187">
        <v>0.21</v>
      </c>
      <c r="I30" s="1141">
        <v>225</v>
      </c>
      <c r="J30" s="1134"/>
      <c r="K30" s="1188">
        <v>42101</v>
      </c>
      <c r="L30" s="269">
        <f t="shared" si="1"/>
        <v>2</v>
      </c>
      <c r="M30" s="284">
        <f t="shared" si="2"/>
        <v>33</v>
      </c>
      <c r="N30" s="257">
        <f t="shared" si="3"/>
        <v>164.41986522121303</v>
      </c>
      <c r="O30" s="269">
        <f t="shared" si="4"/>
        <v>1</v>
      </c>
      <c r="P30" s="269" t="str">
        <f t="shared" si="5"/>
        <v/>
      </c>
      <c r="Q30" s="1251">
        <f t="shared" si="6"/>
        <v>126.01522842639594</v>
      </c>
      <c r="R30" s="1252">
        <f>IF($O30=1,$L$9*'Clay Window Film'!$Q30,"")</f>
        <v>-0.14943270949626458</v>
      </c>
    </row>
    <row r="31" spans="2:18" ht="14.4">
      <c r="B31" s="1134">
        <v>8885829</v>
      </c>
      <c r="C31" s="1185"/>
      <c r="D31" s="1134">
        <v>813389</v>
      </c>
      <c r="E31" s="1148">
        <v>42079</v>
      </c>
      <c r="F31" s="1186">
        <v>33</v>
      </c>
      <c r="G31" s="1186">
        <v>2</v>
      </c>
      <c r="H31" s="1187">
        <v>0.35</v>
      </c>
      <c r="I31" s="1141">
        <v>267</v>
      </c>
      <c r="J31" s="1134"/>
      <c r="K31" s="1188">
        <v>42101</v>
      </c>
      <c r="L31" s="269">
        <f t="shared" si="1"/>
        <v>2</v>
      </c>
      <c r="M31" s="284">
        <f t="shared" si="2"/>
        <v>14.52</v>
      </c>
      <c r="N31" s="257">
        <f t="shared" si="3"/>
        <v>49.325959566363906</v>
      </c>
      <c r="O31" s="269">
        <f t="shared" si="4"/>
        <v>1</v>
      </c>
      <c r="P31" s="269" t="str">
        <f t="shared" si="5"/>
        <v/>
      </c>
      <c r="Q31" s="1251">
        <f t="shared" si="6"/>
        <v>55.446700507614217</v>
      </c>
      <c r="R31" s="1252">
        <f>IF($O31=1,$L$9*'Clay Window Film'!$Q31,"")</f>
        <v>-0.065750392178356418</v>
      </c>
    </row>
    <row r="32" spans="2:18" ht="14.4">
      <c r="B32" s="1134">
        <v>8857161</v>
      </c>
      <c r="C32" s="1185"/>
      <c r="D32" s="1134">
        <v>8767185</v>
      </c>
      <c r="E32" s="1148">
        <v>41892</v>
      </c>
      <c r="F32" s="1186">
        <v>153</v>
      </c>
      <c r="G32" s="1186">
        <v>2</v>
      </c>
      <c r="H32" s="1187">
        <v>0.31</v>
      </c>
      <c r="I32" s="1141">
        <v>3980</v>
      </c>
      <c r="J32" s="1134"/>
      <c r="K32" s="1188">
        <v>42101</v>
      </c>
      <c r="L32" s="269">
        <f t="shared" si="1"/>
        <v>2</v>
      </c>
      <c r="M32" s="284">
        <f t="shared" si="2"/>
        <v>67.320000000000007</v>
      </c>
      <c r="N32" s="257">
        <f t="shared" si="3"/>
        <v>259.18549663053034</v>
      </c>
      <c r="O32" s="269">
        <f t="shared" si="4"/>
        <v>1</v>
      </c>
      <c r="P32" s="269" t="str">
        <f t="shared" si="5"/>
        <v/>
      </c>
      <c r="Q32" s="1251">
        <f t="shared" si="6"/>
        <v>257.07106598984774</v>
      </c>
      <c r="R32" s="1252">
        <f>IF($O32=1,$L$9*'Clay Window Film'!$Q32,"")</f>
        <v>-0.30484272737237977</v>
      </c>
    </row>
    <row r="33" spans="2:18" ht="14.4">
      <c r="B33" s="1134">
        <v>8804164</v>
      </c>
      <c r="C33" s="1185"/>
      <c r="D33" s="1134">
        <v>8763811</v>
      </c>
      <c r="E33" s="1148">
        <v>42089</v>
      </c>
      <c r="F33" s="1186">
        <v>219</v>
      </c>
      <c r="G33" s="1186">
        <v>2</v>
      </c>
      <c r="H33" s="1187">
        <v>0.39</v>
      </c>
      <c r="I33" s="1141">
        <v>1133</v>
      </c>
      <c r="J33" s="1134"/>
      <c r="K33" s="1188">
        <v>42106</v>
      </c>
      <c r="L33" s="269">
        <f t="shared" si="1"/>
        <v>2</v>
      </c>
      <c r="M33" s="284">
        <f t="shared" si="2"/>
        <v>96.36</v>
      </c>
      <c r="N33" s="257">
        <f t="shared" si="3"/>
        <v>283.6990038089657</v>
      </c>
      <c r="O33" s="269">
        <f t="shared" si="4"/>
        <v>1</v>
      </c>
      <c r="P33" s="269" t="str">
        <f t="shared" si="5"/>
        <v/>
      </c>
      <c r="Q33" s="1251">
        <f t="shared" si="6"/>
        <v>367.96446700507613</v>
      </c>
      <c r="R33" s="1252">
        <f>IF($O33=1,$L$9*'Clay Window Film'!$Q33,"")</f>
        <v>-0.43634351172909253</v>
      </c>
    </row>
    <row r="34" spans="2:18" ht="14.4">
      <c r="B34" s="1134">
        <v>8904874</v>
      </c>
      <c r="C34" s="1185"/>
      <c r="D34" s="1134">
        <v>194263</v>
      </c>
      <c r="E34" s="1148">
        <v>42096</v>
      </c>
      <c r="F34" s="1186">
        <v>36</v>
      </c>
      <c r="G34" s="1186">
        <v>2</v>
      </c>
      <c r="H34" s="1187">
        <v>0.23</v>
      </c>
      <c r="I34" s="1141">
        <v>216</v>
      </c>
      <c r="J34" s="1134"/>
      <c r="K34" s="1188">
        <v>42115</v>
      </c>
      <c r="L34" s="269">
        <f t="shared" si="1"/>
        <v>2</v>
      </c>
      <c r="M34" s="284">
        <f t="shared" si="2"/>
        <v>15.84</v>
      </c>
      <c r="N34" s="257">
        <f t="shared" si="3"/>
        <v>75.334192792264872</v>
      </c>
      <c r="O34" s="269">
        <f t="shared" si="4"/>
        <v>1</v>
      </c>
      <c r="P34" s="269" t="str">
        <f t="shared" si="5"/>
        <v/>
      </c>
      <c r="Q34" s="1251">
        <f t="shared" si="6"/>
        <v>60.487309644670049</v>
      </c>
      <c r="R34" s="1252">
        <f>IF($O34=1,$L$9*'Clay Window Film'!$Q34,"")</f>
        <v>-0.071727700558206986</v>
      </c>
    </row>
    <row r="35" spans="2:18" ht="14.4">
      <c r="B35" s="1134">
        <v>4806311</v>
      </c>
      <c r="C35" s="1185"/>
      <c r="D35" s="1134">
        <v>476936</v>
      </c>
      <c r="E35" s="1148">
        <v>42109</v>
      </c>
      <c r="F35" s="1186">
        <v>81</v>
      </c>
      <c r="G35" s="1186">
        <v>2</v>
      </c>
      <c r="H35" s="1187">
        <v>0.23</v>
      </c>
      <c r="I35" s="1141">
        <v>524</v>
      </c>
      <c r="J35" s="1134"/>
      <c r="K35" s="1188">
        <v>42118</v>
      </c>
      <c r="L35" s="269">
        <f t="shared" si="1"/>
        <v>2</v>
      </c>
      <c r="M35" s="284">
        <f t="shared" si="2"/>
        <v>35.64</v>
      </c>
      <c r="N35" s="257">
        <f t="shared" si="3"/>
        <v>169.50193378259596</v>
      </c>
      <c r="O35" s="269">
        <f t="shared" si="4"/>
        <v>1</v>
      </c>
      <c r="P35" s="269" t="str">
        <f t="shared" si="5"/>
        <v/>
      </c>
      <c r="Q35" s="1251">
        <f t="shared" si="6"/>
        <v>136.09644670050761</v>
      </c>
      <c r="R35" s="1252">
        <f>IF($O35=1,$L$9*'Clay Window Film'!$Q35,"")</f>
        <v>-0.16138732625596575</v>
      </c>
    </row>
    <row r="36" spans="2:18" ht="14.4">
      <c r="B36" s="1134">
        <v>8858826</v>
      </c>
      <c r="C36" s="1185"/>
      <c r="D36" s="1134">
        <v>187645</v>
      </c>
      <c r="E36" s="1148">
        <v>42088</v>
      </c>
      <c r="F36" s="1186">
        <v>96</v>
      </c>
      <c r="G36" s="1186">
        <v>2</v>
      </c>
      <c r="H36" s="1187">
        <v>0.40</v>
      </c>
      <c r="I36" s="1141">
        <v>720</v>
      </c>
      <c r="J36" s="1134"/>
      <c r="K36" s="1188">
        <v>42124</v>
      </c>
      <c r="L36" s="269">
        <f t="shared" si="1"/>
        <v>2</v>
      </c>
      <c r="M36" s="284">
        <f t="shared" si="2"/>
        <v>42.24</v>
      </c>
      <c r="N36" s="257">
        <f t="shared" si="3"/>
        <v>119.57808379724582</v>
      </c>
      <c r="O36" s="269">
        <f t="shared" si="4"/>
        <v>1</v>
      </c>
      <c r="P36" s="269" t="str">
        <f t="shared" si="5"/>
        <v/>
      </c>
      <c r="Q36" s="1251">
        <f t="shared" si="6"/>
        <v>161.29949238578681</v>
      </c>
      <c r="R36" s="1252">
        <f>IF($O36=1,$L$9*'Clay Window Film'!$Q36,"")</f>
        <v>-0.19127386815521866</v>
      </c>
    </row>
    <row r="37" spans="2:18" ht="14.4">
      <c r="B37" s="1134">
        <v>1461151</v>
      </c>
      <c r="C37" s="1185"/>
      <c r="D37" s="1134">
        <v>146115</v>
      </c>
      <c r="E37" s="1148">
        <v>42093</v>
      </c>
      <c r="F37" s="1186">
        <v>425</v>
      </c>
      <c r="G37" s="1186">
        <v>2</v>
      </c>
      <c r="H37" s="1187">
        <v>0.40</v>
      </c>
      <c r="I37" s="1141">
        <v>3100</v>
      </c>
      <c r="J37" s="1134"/>
      <c r="K37" s="1188">
        <v>42129</v>
      </c>
      <c r="L37" s="269">
        <f t="shared" si="1"/>
        <v>2</v>
      </c>
      <c r="M37" s="284">
        <f t="shared" si="2"/>
        <v>187</v>
      </c>
      <c r="N37" s="257">
        <f t="shared" si="3"/>
        <v>529.38214181072374</v>
      </c>
      <c r="O37" s="269">
        <f t="shared" si="4"/>
        <v>1</v>
      </c>
      <c r="P37" s="269" t="str">
        <f t="shared" si="5"/>
        <v/>
      </c>
      <c r="Q37" s="1251">
        <f t="shared" si="6"/>
        <v>714.08629441624362</v>
      </c>
      <c r="R37" s="1252">
        <f>IF($O37=1,$L$9*'Clay Window Film'!$Q37,"")</f>
        <v>-0.84678535381216591</v>
      </c>
    </row>
    <row r="38" spans="2:18" ht="14.4">
      <c r="B38" s="1134">
        <v>4728366</v>
      </c>
      <c r="C38" s="1185"/>
      <c r="D38" s="1134">
        <v>1900624</v>
      </c>
      <c r="E38" s="1148">
        <v>42108</v>
      </c>
      <c r="F38" s="1186">
        <v>125</v>
      </c>
      <c r="G38" s="1186">
        <v>2</v>
      </c>
      <c r="H38" s="1187">
        <v>0.37</v>
      </c>
      <c r="I38" s="1141">
        <v>600</v>
      </c>
      <c r="J38" s="1134"/>
      <c r="K38" s="1188">
        <v>42139</v>
      </c>
      <c r="L38" s="269">
        <f t="shared" si="1"/>
        <v>2</v>
      </c>
      <c r="M38" s="284">
        <f t="shared" si="2"/>
        <v>55</v>
      </c>
      <c r="N38" s="257">
        <f t="shared" si="3"/>
        <v>174.38470553765018</v>
      </c>
      <c r="O38" s="269">
        <f t="shared" si="4"/>
        <v>1</v>
      </c>
      <c r="P38" s="269" t="str">
        <f t="shared" si="5"/>
        <v/>
      </c>
      <c r="Q38" s="1251">
        <f t="shared" si="6"/>
        <v>210.0253807106599</v>
      </c>
      <c r="R38" s="1252">
        <f>IF($O38=1,$L$9*'Clay Window Film'!$Q38,"")</f>
        <v>-0.24905451582710764</v>
      </c>
    </row>
    <row r="39" spans="2:18" ht="14.4">
      <c r="B39" s="1134">
        <v>2313823</v>
      </c>
      <c r="C39" s="1185"/>
      <c r="D39" s="1134">
        <v>231382</v>
      </c>
      <c r="E39" s="1148">
        <v>42115</v>
      </c>
      <c r="F39" s="1186">
        <v>193</v>
      </c>
      <c r="G39" s="1186">
        <v>2</v>
      </c>
      <c r="H39" s="1187">
        <v>0.31</v>
      </c>
      <c r="I39" s="1141">
        <v>1360</v>
      </c>
      <c r="J39" s="1134"/>
      <c r="K39" s="1188">
        <v>42142</v>
      </c>
      <c r="L39" s="269">
        <f t="shared" si="1"/>
        <v>2</v>
      </c>
      <c r="M39" s="284">
        <f t="shared" si="2"/>
        <v>84.92</v>
      </c>
      <c r="N39" s="257">
        <f t="shared" si="3"/>
        <v>326.94641078230296</v>
      </c>
      <c r="O39" s="269">
        <f t="shared" si="4"/>
        <v>1</v>
      </c>
      <c r="P39" s="269" t="str">
        <f t="shared" si="5"/>
        <v/>
      </c>
      <c r="Q39" s="1251">
        <f t="shared" si="6"/>
        <v>324.2791878172589</v>
      </c>
      <c r="R39" s="1252">
        <f>IF($O39=1,$L$9*'Clay Window Film'!$Q39,"")</f>
        <v>-0.38454017243705418</v>
      </c>
    </row>
    <row r="40" spans="2:18" ht="14.4">
      <c r="B40" s="1134">
        <v>6024160</v>
      </c>
      <c r="C40" s="1185"/>
      <c r="D40" s="1134">
        <v>428443</v>
      </c>
      <c r="E40" s="1148">
        <v>42128</v>
      </c>
      <c r="F40" s="1186">
        <v>88</v>
      </c>
      <c r="G40" s="1186">
        <v>2</v>
      </c>
      <c r="H40" s="1187">
        <v>0.31</v>
      </c>
      <c r="I40" s="1141">
        <v>555</v>
      </c>
      <c r="J40" s="1134"/>
      <c r="K40" s="1188">
        <v>42143</v>
      </c>
      <c r="L40" s="269">
        <f t="shared" si="1"/>
        <v>2</v>
      </c>
      <c r="M40" s="284">
        <f t="shared" si="2"/>
        <v>38.72</v>
      </c>
      <c r="N40" s="257">
        <f t="shared" si="3"/>
        <v>149.0740111338998</v>
      </c>
      <c r="O40" s="269">
        <f t="shared" si="4"/>
        <v>1</v>
      </c>
      <c r="P40" s="269" t="str">
        <f t="shared" si="5"/>
        <v/>
      </c>
      <c r="Q40" s="1251">
        <f t="shared" si="6"/>
        <v>147.85786802030458</v>
      </c>
      <c r="R40" s="1252">
        <f>IF($O40=1,$L$9*'Clay Window Film'!$Q40,"")</f>
        <v>-0.17533437914228378</v>
      </c>
    </row>
    <row r="41" spans="2:18" ht="14.4">
      <c r="B41" s="1134">
        <v>5546759</v>
      </c>
      <c r="C41" s="1185"/>
      <c r="D41" s="1134">
        <v>262976</v>
      </c>
      <c r="E41" s="1148">
        <v>42064</v>
      </c>
      <c r="F41" s="1186">
        <v>66</v>
      </c>
      <c r="G41" s="1186">
        <v>2</v>
      </c>
      <c r="H41" s="1187">
        <v>0.25</v>
      </c>
      <c r="I41" s="1141">
        <v>50.62</v>
      </c>
      <c r="J41" s="1134"/>
      <c r="K41" s="1188">
        <v>42153</v>
      </c>
      <c r="L41" s="269">
        <f t="shared" si="1"/>
        <v>2</v>
      </c>
      <c r="M41" s="284">
        <f t="shared" si="2"/>
        <v>29.04</v>
      </c>
      <c r="N41" s="257">
        <f t="shared" si="3"/>
        <v>131.53589217697041</v>
      </c>
      <c r="O41" s="269">
        <f t="shared" si="4"/>
        <v>1</v>
      </c>
      <c r="P41" s="269" t="str">
        <f t="shared" si="5"/>
        <v/>
      </c>
      <c r="Q41" s="1251">
        <f t="shared" si="6"/>
        <v>110.89340101522843</v>
      </c>
      <c r="R41" s="1252">
        <f>IF($O41=1,$L$9*'Clay Window Film'!$Q41,"")</f>
        <v>-0.13150078435671284</v>
      </c>
    </row>
    <row r="42" spans="2:18" ht="14.4">
      <c r="B42" s="1134">
        <v>4526109</v>
      </c>
      <c r="C42" s="1185"/>
      <c r="D42" s="1134">
        <v>450330</v>
      </c>
      <c r="E42" s="1148">
        <v>42137</v>
      </c>
      <c r="F42" s="1186">
        <v>194</v>
      </c>
      <c r="G42" s="1186">
        <v>2</v>
      </c>
      <c r="H42" s="1187">
        <v>0.28999999999999998</v>
      </c>
      <c r="I42" s="1141">
        <v>1470</v>
      </c>
      <c r="J42" s="1134"/>
      <c r="K42" s="1188">
        <v>42158</v>
      </c>
      <c r="L42" s="269">
        <f t="shared" si="1"/>
        <v>2</v>
      </c>
      <c r="M42" s="284">
        <f t="shared" si="2"/>
        <v>85.36</v>
      </c>
      <c r="N42" s="257">
        <f t="shared" si="3"/>
        <v>347.97222384998543</v>
      </c>
      <c r="O42" s="269">
        <f t="shared" si="4"/>
        <v>1</v>
      </c>
      <c r="P42" s="269" t="str">
        <f t="shared" si="5"/>
        <v/>
      </c>
      <c r="Q42" s="1251">
        <f t="shared" si="6"/>
        <v>325.95939086294419</v>
      </c>
      <c r="R42" s="1252">
        <f>IF($O42=1,$L$9*'Clay Window Film'!$Q42,"")</f>
        <v>-0.38653260856367105</v>
      </c>
    </row>
    <row r="43" spans="2:18" ht="14.4">
      <c r="B43" s="1134">
        <v>8873321</v>
      </c>
      <c r="C43" s="1185"/>
      <c r="D43" s="1134">
        <v>480566</v>
      </c>
      <c r="E43" s="1148">
        <v>42125</v>
      </c>
      <c r="F43" s="1186">
        <v>151</v>
      </c>
      <c r="G43" s="1186">
        <v>2</v>
      </c>
      <c r="H43" s="1187">
        <v>0.15</v>
      </c>
      <c r="I43" s="1141">
        <v>1132</v>
      </c>
      <c r="J43" s="1134"/>
      <c r="K43" s="1188">
        <v>42159</v>
      </c>
      <c r="L43" s="269">
        <f t="shared" si="1"/>
        <v>2</v>
      </c>
      <c r="M43" s="284">
        <f t="shared" si="2"/>
        <v>66.44</v>
      </c>
      <c r="N43" s="257">
        <f t="shared" si="3"/>
        <v>376.17272194550247</v>
      </c>
      <c r="O43" s="269">
        <f t="shared" si="4"/>
        <v>1</v>
      </c>
      <c r="P43" s="269" t="str">
        <f t="shared" si="5"/>
        <v/>
      </c>
      <c r="Q43" s="1251">
        <f t="shared" si="6"/>
        <v>253.71065989847716</v>
      </c>
      <c r="R43" s="1252">
        <f>IF($O43=1,$L$9*'Clay Window Film'!$Q43,"")</f>
        <v>-0.30085785511914603</v>
      </c>
    </row>
    <row r="44" spans="2:18" ht="14.4">
      <c r="B44" s="1134">
        <v>4347217</v>
      </c>
      <c r="C44" s="1185"/>
      <c r="D44" s="1134">
        <v>434721</v>
      </c>
      <c r="E44" s="1148">
        <v>42132</v>
      </c>
      <c r="F44" s="1186">
        <v>129</v>
      </c>
      <c r="G44" s="1186">
        <v>2</v>
      </c>
      <c r="H44" s="1187">
        <v>0.28999999999999998</v>
      </c>
      <c r="I44" s="1141">
        <v>1096</v>
      </c>
      <c r="J44" s="1134"/>
      <c r="K44" s="1188">
        <v>42190</v>
      </c>
      <c r="L44" s="269">
        <f t="shared" si="1"/>
        <v>3</v>
      </c>
      <c r="M44" s="284">
        <f t="shared" si="2"/>
        <v>56.76</v>
      </c>
      <c r="N44" s="257">
        <f t="shared" si="3"/>
        <v>231.38359214767073</v>
      </c>
      <c r="O44" s="269">
        <f t="shared" si="4"/>
        <v>1</v>
      </c>
      <c r="P44" s="269" t="str">
        <f t="shared" si="5"/>
        <v/>
      </c>
      <c r="Q44" s="1251">
        <f t="shared" si="6"/>
        <v>216.74619289340103</v>
      </c>
      <c r="R44" s="1252">
        <f>IF($O44=1,$L$9*'Clay Window Film'!$Q44,"")</f>
        <v>-0.25702426033357506</v>
      </c>
    </row>
    <row r="45" spans="2:18" ht="14.4">
      <c r="B45" s="1134">
        <v>8891080</v>
      </c>
      <c r="C45" s="1185"/>
      <c r="D45" s="1134">
        <v>419539</v>
      </c>
      <c r="E45" s="1148">
        <v>42138</v>
      </c>
      <c r="F45" s="1186">
        <v>24</v>
      </c>
      <c r="G45" s="1186">
        <v>2</v>
      </c>
      <c r="H45" s="1187">
        <v>0.28000000000000003</v>
      </c>
      <c r="I45" s="1141">
        <v>200</v>
      </c>
      <c r="J45" s="1134"/>
      <c r="K45" s="1188">
        <v>42190</v>
      </c>
      <c r="L45" s="269">
        <f t="shared" si="1"/>
        <v>3</v>
      </c>
      <c r="M45" s="284">
        <f t="shared" si="2"/>
        <v>10.56</v>
      </c>
      <c r="N45" s="257">
        <f t="shared" si="3"/>
        <v>44.243891004980952</v>
      </c>
      <c r="O45" s="269">
        <f t="shared" si="4"/>
        <v>1</v>
      </c>
      <c r="P45" s="269" t="str">
        <f t="shared" si="5"/>
        <v/>
      </c>
      <c r="Q45" s="1251">
        <f t="shared" si="6"/>
        <v>40.324873096446701</v>
      </c>
      <c r="R45" s="1252">
        <f>IF($O45=1,$L$9*'Clay Window Film'!$Q45,"")</f>
        <v>-0.047818467038804664</v>
      </c>
    </row>
    <row r="46" spans="2:18" ht="14.4">
      <c r="B46" s="1134">
        <v>8891081</v>
      </c>
      <c r="C46" s="1185"/>
      <c r="D46" s="1134">
        <v>419539</v>
      </c>
      <c r="E46" s="1148">
        <v>42130</v>
      </c>
      <c r="F46" s="1186">
        <v>436</v>
      </c>
      <c r="G46" s="1186">
        <v>2</v>
      </c>
      <c r="H46" s="1187">
        <v>0.44</v>
      </c>
      <c r="I46" s="1141">
        <v>5000</v>
      </c>
      <c r="J46" s="1134"/>
      <c r="K46" s="1188">
        <v>42190</v>
      </c>
      <c r="L46" s="269">
        <f t="shared" si="1"/>
        <v>3</v>
      </c>
      <c r="M46" s="284">
        <f t="shared" si="2"/>
        <v>191.84</v>
      </c>
      <c r="N46" s="257">
        <f t="shared" si="3"/>
        <v>456.19038968649289</v>
      </c>
      <c r="O46" s="269">
        <f t="shared" si="4"/>
        <v>1</v>
      </c>
      <c r="P46" s="269" t="str">
        <f t="shared" si="5"/>
        <v/>
      </c>
      <c r="Q46" s="1251">
        <f t="shared" si="6"/>
        <v>732.5685279187818</v>
      </c>
      <c r="R46" s="1252">
        <f>IF($O46=1,$L$9*'Clay Window Film'!$Q46,"")</f>
        <v>-0.86870215120495142</v>
      </c>
    </row>
    <row r="47" spans="2:18" ht="14.4">
      <c r="B47" s="1134">
        <v>8823476</v>
      </c>
      <c r="C47" s="1185"/>
      <c r="D47" s="1134">
        <v>677300</v>
      </c>
      <c r="E47" s="1148">
        <v>42180</v>
      </c>
      <c r="F47" s="1186">
        <v>235</v>
      </c>
      <c r="G47" s="1186">
        <v>2</v>
      </c>
      <c r="H47" s="1187">
        <v>0.23</v>
      </c>
      <c r="I47" s="1141">
        <v>1297</v>
      </c>
      <c r="J47" s="1134"/>
      <c r="K47" s="1188">
        <v>42209</v>
      </c>
      <c r="L47" s="269">
        <f t="shared" si="1"/>
        <v>3</v>
      </c>
      <c r="M47" s="284">
        <f t="shared" si="2"/>
        <v>103.40</v>
      </c>
      <c r="N47" s="257">
        <f t="shared" si="3"/>
        <v>491.76486961617348</v>
      </c>
      <c r="O47" s="269">
        <f t="shared" si="4"/>
        <v>1</v>
      </c>
      <c r="P47" s="269" t="str">
        <f t="shared" si="5"/>
        <v/>
      </c>
      <c r="Q47" s="1251">
        <f t="shared" si="6"/>
        <v>394.84771573604064</v>
      </c>
      <c r="R47" s="1252">
        <f>IF($O47=1,$L$9*'Clay Window Film'!$Q47,"")</f>
        <v>-0.46822248975496239</v>
      </c>
    </row>
    <row r="48" spans="2:18" ht="14.4">
      <c r="B48" s="1134">
        <v>5819131</v>
      </c>
      <c r="C48" s="1185"/>
      <c r="D48" s="1134">
        <v>254125</v>
      </c>
      <c r="E48" s="1148">
        <v>42182</v>
      </c>
      <c r="F48" s="1186">
        <v>126</v>
      </c>
      <c r="G48" s="1186">
        <v>2</v>
      </c>
      <c r="H48" s="1187">
        <v>0.21</v>
      </c>
      <c r="I48" s="1141">
        <v>898.80</v>
      </c>
      <c r="J48" s="1134"/>
      <c r="K48" s="1188">
        <v>42214</v>
      </c>
      <c r="L48" s="269">
        <f t="shared" si="1"/>
        <v>3</v>
      </c>
      <c r="M48" s="284">
        <f t="shared" si="2"/>
        <v>55.44</v>
      </c>
      <c r="N48" s="257">
        <f t="shared" si="3"/>
        <v>276.22537357163787</v>
      </c>
      <c r="O48" s="269">
        <f t="shared" si="4"/>
        <v>1</v>
      </c>
      <c r="P48" s="269" t="str">
        <f t="shared" si="5"/>
        <v/>
      </c>
      <c r="Q48" s="1251">
        <f t="shared" si="6"/>
        <v>211.70558375634519</v>
      </c>
      <c r="R48" s="1252">
        <f>IF($O48=1,$L$9*'Clay Window Film'!$Q48,"")</f>
        <v>-0.25104695195372451</v>
      </c>
    </row>
    <row r="49" spans="2:18" ht="14.4">
      <c r="B49" s="1134">
        <v>8914077</v>
      </c>
      <c r="C49" s="1185"/>
      <c r="D49" s="1134">
        <v>161755</v>
      </c>
      <c r="E49" s="1148">
        <v>42158</v>
      </c>
      <c r="F49" s="1186">
        <v>250</v>
      </c>
      <c r="G49" s="1186">
        <v>2</v>
      </c>
      <c r="H49" s="1187">
        <v>0.37</v>
      </c>
      <c r="I49" s="1141">
        <v>1221</v>
      </c>
      <c r="J49" s="1134"/>
      <c r="K49" s="1188">
        <v>42220</v>
      </c>
      <c r="L49" s="269">
        <f t="shared" si="1"/>
        <v>3</v>
      </c>
      <c r="M49" s="284">
        <f t="shared" si="2"/>
        <v>110</v>
      </c>
      <c r="N49" s="257">
        <f t="shared" si="3"/>
        <v>348.76941107530035</v>
      </c>
      <c r="O49" s="269">
        <f t="shared" si="4"/>
        <v>1</v>
      </c>
      <c r="P49" s="269" t="str">
        <f t="shared" si="5"/>
        <v/>
      </c>
      <c r="Q49" s="1251">
        <f t="shared" si="6"/>
        <v>420.05076142131981</v>
      </c>
      <c r="R49" s="1252">
        <f>IF($O49=1,$L$9*'Clay Window Film'!$Q49,"")</f>
        <v>-0.49810903165421527</v>
      </c>
    </row>
    <row r="50" spans="2:18" ht="14.4">
      <c r="B50" s="1134">
        <v>8891080</v>
      </c>
      <c r="C50" s="1185"/>
      <c r="D50" s="1134">
        <v>138256</v>
      </c>
      <c r="E50" s="1148">
        <v>42138</v>
      </c>
      <c r="F50" s="1186">
        <v>45</v>
      </c>
      <c r="G50" s="1186">
        <v>2</v>
      </c>
      <c r="H50" s="1187">
        <v>0.28000000000000003</v>
      </c>
      <c r="I50" s="1141">
        <v>200</v>
      </c>
      <c r="J50" s="1134"/>
      <c r="K50" s="1188">
        <v>42220</v>
      </c>
      <c r="L50" s="269">
        <f t="shared" si="1"/>
        <v>3</v>
      </c>
      <c r="M50" s="284">
        <f t="shared" si="2"/>
        <v>19.80</v>
      </c>
      <c r="N50" s="257">
        <f t="shared" si="3"/>
        <v>82.957295634339289</v>
      </c>
      <c r="O50" s="269">
        <f t="shared" si="4"/>
        <v>1</v>
      </c>
      <c r="P50" s="269" t="str">
        <f t="shared" si="5"/>
        <v/>
      </c>
      <c r="Q50" s="1251">
        <f t="shared" si="6"/>
        <v>75.609137055837564</v>
      </c>
      <c r="R50" s="1252">
        <f>IF($O50=1,$L$9*'Clay Window Film'!$Q50,"")</f>
        <v>-0.089659625697758746</v>
      </c>
    </row>
    <row r="51" spans="2:18" ht="14.4">
      <c r="B51" s="1134">
        <v>8900564</v>
      </c>
      <c r="C51" s="1185"/>
      <c r="D51" s="1134">
        <v>280345</v>
      </c>
      <c r="E51" s="1148">
        <v>42182</v>
      </c>
      <c r="F51" s="1186">
        <v>538</v>
      </c>
      <c r="G51" s="1186">
        <v>2</v>
      </c>
      <c r="H51" s="1187">
        <v>0.39</v>
      </c>
      <c r="I51" s="1141">
        <v>2000</v>
      </c>
      <c r="J51" s="1134"/>
      <c r="K51" s="1188">
        <v>42241</v>
      </c>
      <c r="L51" s="269">
        <f t="shared" si="1"/>
        <v>3</v>
      </c>
      <c r="M51" s="284">
        <f t="shared" si="2"/>
        <v>236.72</v>
      </c>
      <c r="N51" s="257">
        <f t="shared" si="3"/>
        <v>696.94093173161446</v>
      </c>
      <c r="O51" s="269">
        <f t="shared" si="4"/>
        <v>1</v>
      </c>
      <c r="P51" s="269" t="str">
        <f t="shared" si="5"/>
        <v/>
      </c>
      <c r="Q51" s="1251">
        <f t="shared" si="6"/>
        <v>903.94923857868025</v>
      </c>
      <c r="R51" s="1252">
        <f>IF($O51=1,$L$9*'Clay Window Film'!$Q51,"")</f>
        <v>-1.0719306361198713</v>
      </c>
    </row>
    <row r="52" spans="2:18" ht="14.4">
      <c r="B52" s="1134">
        <v>3189925</v>
      </c>
      <c r="C52" s="1185"/>
      <c r="D52" s="1134">
        <v>190339</v>
      </c>
      <c r="E52" s="1148">
        <v>42219</v>
      </c>
      <c r="F52" s="1186">
        <v>115</v>
      </c>
      <c r="G52" s="1186">
        <v>2</v>
      </c>
      <c r="H52" s="1187">
        <v>0.32</v>
      </c>
      <c r="I52" s="1141">
        <v>690</v>
      </c>
      <c r="J52" s="1134"/>
      <c r="K52" s="1188">
        <v>42241</v>
      </c>
      <c r="L52" s="269">
        <f t="shared" si="1"/>
        <v>3</v>
      </c>
      <c r="M52" s="284">
        <f t="shared" si="2"/>
        <v>50.60</v>
      </c>
      <c r="N52" s="257">
        <f t="shared" si="3"/>
        <v>189.08284500439495</v>
      </c>
      <c r="O52" s="269">
        <f t="shared" si="4"/>
        <v>1</v>
      </c>
      <c r="P52" s="269" t="str">
        <f t="shared" si="5"/>
        <v/>
      </c>
      <c r="Q52" s="1251">
        <f t="shared" si="6"/>
        <v>193.2233502538071</v>
      </c>
      <c r="R52" s="1252">
        <f>IF($O52=1,$L$9*'Clay Window Film'!$Q52,"")</f>
        <v>-0.22913015456093899</v>
      </c>
    </row>
    <row r="53" spans="2:18" ht="14.4">
      <c r="B53" s="1134">
        <v>2543205</v>
      </c>
      <c r="C53" s="1185"/>
      <c r="D53" s="1134">
        <v>254320</v>
      </c>
      <c r="E53" s="1148">
        <v>42228</v>
      </c>
      <c r="F53" s="1186">
        <v>300</v>
      </c>
      <c r="G53" s="1186">
        <v>2</v>
      </c>
      <c r="H53" s="1187">
        <v>0.30</v>
      </c>
      <c r="I53" s="1141">
        <v>2204.25</v>
      </c>
      <c r="J53" s="1134"/>
      <c r="K53" s="1188">
        <v>42241</v>
      </c>
      <c r="L53" s="269">
        <f t="shared" si="1"/>
        <v>3</v>
      </c>
      <c r="M53" s="284">
        <f t="shared" si="2"/>
        <v>132</v>
      </c>
      <c r="N53" s="257">
        <f t="shared" si="3"/>
        <v>523.15411661295047</v>
      </c>
      <c r="O53" s="269">
        <f t="shared" si="4"/>
        <v>1</v>
      </c>
      <c r="P53" s="269" t="str">
        <f t="shared" si="5"/>
        <v/>
      </c>
      <c r="Q53" s="1251">
        <f t="shared" si="6"/>
        <v>504.06091370558374</v>
      </c>
      <c r="R53" s="1252">
        <f>IF($O53=1,$L$9*'Clay Window Film'!$Q53,"")</f>
        <v>-0.59773083798505833</v>
      </c>
    </row>
    <row r="54" spans="2:18" ht="14.4">
      <c r="B54" s="1134">
        <v>8883472</v>
      </c>
      <c r="C54" s="1185"/>
      <c r="D54" s="1134">
        <v>162241</v>
      </c>
      <c r="E54" s="1148">
        <v>42206</v>
      </c>
      <c r="F54" s="1186">
        <v>211</v>
      </c>
      <c r="G54" s="1186">
        <v>2</v>
      </c>
      <c r="H54" s="1187">
        <v>0.32</v>
      </c>
      <c r="I54" s="1141">
        <v>1055</v>
      </c>
      <c r="J54" s="1134"/>
      <c r="K54" s="1188">
        <v>42236</v>
      </c>
      <c r="L54" s="269">
        <f t="shared" si="1"/>
        <v>3</v>
      </c>
      <c r="M54" s="284">
        <f t="shared" si="2"/>
        <v>92.84</v>
      </c>
      <c r="N54" s="257">
        <f t="shared" si="3"/>
        <v>346.92591561675948</v>
      </c>
      <c r="O54" s="269">
        <f t="shared" si="4"/>
        <v>1</v>
      </c>
      <c r="P54" s="269" t="str">
        <f t="shared" si="5"/>
        <v/>
      </c>
      <c r="Q54" s="1251">
        <f t="shared" si="6"/>
        <v>354.52284263959393</v>
      </c>
      <c r="R54" s="1252">
        <f>IF($O54=1,$L$9*'Clay Window Film'!$Q54,"")</f>
        <v>-0.42040402271615768</v>
      </c>
    </row>
    <row r="55" spans="2:18" ht="14.4">
      <c r="B55" s="1134">
        <v>8923531</v>
      </c>
      <c r="C55" s="1185"/>
      <c r="D55" s="1134">
        <v>161432</v>
      </c>
      <c r="E55" s="1148">
        <v>42179</v>
      </c>
      <c r="F55" s="1186">
        <v>109.50</v>
      </c>
      <c r="G55" s="1186">
        <v>2</v>
      </c>
      <c r="H55" s="1187">
        <v>0.33</v>
      </c>
      <c r="I55" s="1141">
        <v>547.50</v>
      </c>
      <c r="J55" s="1134"/>
      <c r="K55" s="1148">
        <v>42235</v>
      </c>
      <c r="L55" s="269">
        <f t="shared" si="1"/>
        <v>3</v>
      </c>
      <c r="M55" s="284">
        <f t="shared" si="2"/>
        <v>48.18</v>
      </c>
      <c r="N55" s="257">
        <f t="shared" si="3"/>
        <v>174.58400234397891</v>
      </c>
      <c r="O55" s="269">
        <f t="shared" si="4"/>
        <v>1</v>
      </c>
      <c r="P55" s="269" t="str">
        <f t="shared" si="5"/>
        <v/>
      </c>
      <c r="Q55" s="1251">
        <f t="shared" si="6"/>
        <v>183.98223350253807</v>
      </c>
      <c r="R55" s="1252">
        <f>IF($O55=1,$L$9*'Clay Window Film'!$Q55,"")</f>
        <v>-0.21817175586454626</v>
      </c>
    </row>
    <row r="56" spans="2:18" ht="14.4">
      <c r="B56" s="1134">
        <v>8728784</v>
      </c>
      <c r="C56" s="1185"/>
      <c r="D56" s="1134">
        <v>563388</v>
      </c>
      <c r="E56" s="1148">
        <v>42137</v>
      </c>
      <c r="F56" s="1186">
        <v>147</v>
      </c>
      <c r="G56" s="1186">
        <v>2</v>
      </c>
      <c r="H56" s="1187">
        <v>0.45</v>
      </c>
      <c r="I56" s="1141">
        <v>1348</v>
      </c>
      <c r="J56" s="1134"/>
      <c r="K56" s="1188">
        <v>42258</v>
      </c>
      <c r="L56" s="269">
        <f t="shared" si="1"/>
        <v>3</v>
      </c>
      <c r="M56" s="284">
        <f t="shared" si="2"/>
        <v>64.680000000000007</v>
      </c>
      <c r="N56" s="257">
        <f t="shared" si="3"/>
        <v>146.48315265162614</v>
      </c>
      <c r="O56" s="269">
        <f t="shared" si="4"/>
        <v>1</v>
      </c>
      <c r="P56" s="269" t="str">
        <f t="shared" si="5"/>
        <v/>
      </c>
      <c r="Q56" s="1251">
        <f t="shared" si="6"/>
        <v>246.98984771573603</v>
      </c>
      <c r="R56" s="1252">
        <f>IF($O56=1,$L$9*'Clay Window Film'!$Q56,"")</f>
        <v>-0.29288811061267855</v>
      </c>
    </row>
    <row r="57" spans="2:18" ht="14.4">
      <c r="B57" s="1134">
        <v>8835898</v>
      </c>
      <c r="C57" s="1185"/>
      <c r="D57" s="1134">
        <v>467341</v>
      </c>
      <c r="E57" s="1148">
        <v>42206</v>
      </c>
      <c r="F57" s="1186">
        <v>138</v>
      </c>
      <c r="G57" s="1186">
        <v>2</v>
      </c>
      <c r="H57" s="1187">
        <v>0.32</v>
      </c>
      <c r="I57" s="1141">
        <v>780</v>
      </c>
      <c r="J57" s="1134"/>
      <c r="K57" s="1188">
        <v>42262</v>
      </c>
      <c r="L57" s="269">
        <f t="shared" si="1"/>
        <v>3</v>
      </c>
      <c r="M57" s="284">
        <f t="shared" si="2"/>
        <v>60.72</v>
      </c>
      <c r="N57" s="257">
        <f t="shared" si="3"/>
        <v>226.89941400527397</v>
      </c>
      <c r="O57" s="269">
        <f t="shared" si="4"/>
        <v>1</v>
      </c>
      <c r="P57" s="269" t="str">
        <f t="shared" si="5"/>
        <v/>
      </c>
      <c r="Q57" s="1251">
        <f t="shared" si="6"/>
        <v>231.86802030456855</v>
      </c>
      <c r="R57" s="1252">
        <f>IF($O57=1,$L$9*'Clay Window Film'!$Q57,"")</f>
        <v>-0.27495618547312684</v>
      </c>
    </row>
    <row r="58" spans="2:18" ht="14.4">
      <c r="B58" s="1134">
        <v>8920207</v>
      </c>
      <c r="C58" s="1185"/>
      <c r="D58" s="1134">
        <v>658909</v>
      </c>
      <c r="E58" s="1148">
        <v>42237</v>
      </c>
      <c r="F58" s="1186">
        <v>78</v>
      </c>
      <c r="G58" s="1186">
        <v>2</v>
      </c>
      <c r="H58" s="1187">
        <v>0.37</v>
      </c>
      <c r="I58" s="1141">
        <v>900</v>
      </c>
      <c r="J58" s="1134"/>
      <c r="K58" s="1188">
        <v>42262</v>
      </c>
      <c r="L58" s="269">
        <f t="shared" si="1"/>
        <v>3</v>
      </c>
      <c r="M58" s="284">
        <f t="shared" si="2"/>
        <v>34.32</v>
      </c>
      <c r="N58" s="257">
        <f t="shared" si="3"/>
        <v>108.81605625549372</v>
      </c>
      <c r="O58" s="269">
        <f t="shared" si="4"/>
        <v>1</v>
      </c>
      <c r="P58" s="269" t="str">
        <f t="shared" si="5"/>
        <v/>
      </c>
      <c r="Q58" s="1251">
        <f t="shared" si="6"/>
        <v>131.05583756345177</v>
      </c>
      <c r="R58" s="1252">
        <f>IF($O58=1,$L$9*'Clay Window Film'!$Q58,"")</f>
        <v>-0.15541001787611516</v>
      </c>
    </row>
    <row r="59" spans="2:18" ht="14.4">
      <c r="B59" s="1134">
        <v>1450386</v>
      </c>
      <c r="C59" s="1185"/>
      <c r="D59" s="1134">
        <v>145038</v>
      </c>
      <c r="E59" s="1148">
        <v>42228</v>
      </c>
      <c r="F59" s="1186">
        <v>249</v>
      </c>
      <c r="G59" s="1186">
        <v>2</v>
      </c>
      <c r="H59" s="1187">
        <v>0.33</v>
      </c>
      <c r="I59" s="1141">
        <v>2863</v>
      </c>
      <c r="J59" s="1134"/>
      <c r="K59" s="1188">
        <v>42320</v>
      </c>
      <c r="L59" s="269">
        <f t="shared" si="1"/>
        <v>4</v>
      </c>
      <c r="M59" s="284">
        <f t="shared" si="2"/>
        <v>109.56</v>
      </c>
      <c r="N59" s="257">
        <f t="shared" si="3"/>
        <v>396.99923820685621</v>
      </c>
      <c r="O59" s="269">
        <f t="shared" si="4"/>
        <v>1</v>
      </c>
      <c r="P59" s="269" t="str">
        <f t="shared" si="5"/>
        <v/>
      </c>
      <c r="Q59" s="1251">
        <f t="shared" si="6"/>
        <v>418.37055837563452</v>
      </c>
      <c r="R59" s="1252">
        <f>IF($O59=1,$L$9*'Clay Window Film'!$Q59,"")</f>
        <v>-0.4961165955275984</v>
      </c>
    </row>
    <row r="60" spans="2:18" ht="14.4">
      <c r="B60" s="1134">
        <v>3763786</v>
      </c>
      <c r="C60" s="1185"/>
      <c r="D60" s="1134">
        <v>376378</v>
      </c>
      <c r="E60" s="1148">
        <v>42221</v>
      </c>
      <c r="F60" s="1186">
        <v>42.80</v>
      </c>
      <c r="G60" s="1186">
        <v>1</v>
      </c>
      <c r="H60" s="1187">
        <v>0.30</v>
      </c>
      <c r="I60" s="1141">
        <v>180</v>
      </c>
      <c r="J60" s="1134"/>
      <c r="K60" s="1188">
        <v>42293</v>
      </c>
      <c r="L60" s="269">
        <f t="shared" si="1"/>
        <v>4</v>
      </c>
      <c r="M60" s="284">
        <f t="shared" si="2"/>
        <v>18.831999999999997</v>
      </c>
      <c r="N60" s="257">
        <f t="shared" si="3"/>
        <v>213.24758277175505</v>
      </c>
      <c r="O60" s="269">
        <f t="shared" si="4"/>
        <v>1</v>
      </c>
      <c r="P60" s="269" t="str">
        <f t="shared" si="5"/>
        <v/>
      </c>
      <c r="Q60" s="1251">
        <f t="shared" si="6"/>
        <v>71.586802030456852</v>
      </c>
      <c r="R60" s="1252">
        <f>IF($O60=1,$L$9*'Clay Window Film'!$Q60,"")</f>
        <v>-0.08488981788286086</v>
      </c>
    </row>
    <row r="61" spans="2:18" ht="14.4">
      <c r="B61" s="1134">
        <v>2645877</v>
      </c>
      <c r="C61" s="1185"/>
      <c r="D61" s="1134">
        <v>264587</v>
      </c>
      <c r="E61" s="1148">
        <v>42223</v>
      </c>
      <c r="F61" s="1186">
        <v>192</v>
      </c>
      <c r="G61" s="1186">
        <v>2</v>
      </c>
      <c r="H61" s="1187">
        <v>0.44</v>
      </c>
      <c r="I61" s="1141">
        <v>2208</v>
      </c>
      <c r="J61" s="1134"/>
      <c r="K61" s="1188">
        <v>42303</v>
      </c>
      <c r="L61" s="269">
        <f t="shared" si="1"/>
        <v>4</v>
      </c>
      <c r="M61" s="284">
        <f t="shared" si="2"/>
        <v>84.48</v>
      </c>
      <c r="N61" s="257">
        <f t="shared" si="3"/>
        <v>200.891180779373</v>
      </c>
      <c r="O61" s="269">
        <f t="shared" si="4"/>
        <v>1</v>
      </c>
      <c r="P61" s="269" t="str">
        <f t="shared" si="5"/>
        <v/>
      </c>
      <c r="Q61" s="1251">
        <f t="shared" si="6"/>
        <v>322.59898477157361</v>
      </c>
      <c r="R61" s="1252">
        <f>IF($O61=1,$L$9*'Clay Window Film'!$Q61,"")</f>
        <v>-0.38254773631043731</v>
      </c>
    </row>
    <row r="62" spans="2:18" ht="14.4">
      <c r="B62" s="1134">
        <v>8857424</v>
      </c>
      <c r="C62" s="1185"/>
      <c r="D62" s="1134">
        <v>8767141</v>
      </c>
      <c r="E62" s="1148">
        <v>42154</v>
      </c>
      <c r="F62" s="1186">
        <v>92</v>
      </c>
      <c r="G62" s="1186">
        <v>2</v>
      </c>
      <c r="H62" s="1187">
        <v>0.45</v>
      </c>
      <c r="I62" s="1141">
        <v>1058</v>
      </c>
      <c r="J62" s="1134"/>
      <c r="K62" s="1188">
        <v>42306</v>
      </c>
      <c r="L62" s="269">
        <f t="shared" si="1"/>
        <v>4</v>
      </c>
      <c r="M62" s="284">
        <f t="shared" si="2"/>
        <v>40.479999999999997</v>
      </c>
      <c r="N62" s="257">
        <f t="shared" si="3"/>
        <v>91.676530911221803</v>
      </c>
      <c r="O62" s="269">
        <f t="shared" si="4"/>
        <v>1</v>
      </c>
      <c r="P62" s="269" t="str">
        <f t="shared" si="5"/>
        <v/>
      </c>
      <c r="Q62" s="1251">
        <f t="shared" si="6"/>
        <v>154.57868020304568</v>
      </c>
      <c r="R62" s="1252">
        <f>IF($O62=1,$L$9*'Clay Window Film'!$Q62,"")</f>
        <v>-0.18330412364875121</v>
      </c>
    </row>
    <row r="63" spans="2:18" ht="14.4">
      <c r="B63" s="1134">
        <v>8877062</v>
      </c>
      <c r="C63" s="1185"/>
      <c r="D63" s="1134">
        <v>8767013</v>
      </c>
      <c r="E63" s="1148">
        <v>42273</v>
      </c>
      <c r="F63" s="1186">
        <v>85.30</v>
      </c>
      <c r="G63" s="1186">
        <v>2</v>
      </c>
      <c r="H63" s="1187">
        <v>0.20</v>
      </c>
      <c r="I63" s="1141">
        <v>375</v>
      </c>
      <c r="J63" s="1134"/>
      <c r="K63" s="1188">
        <v>42306</v>
      </c>
      <c r="L63" s="269">
        <f t="shared" si="1"/>
        <v>4</v>
      </c>
      <c r="M63" s="284">
        <f t="shared" si="2"/>
        <v>37.531999999999996</v>
      </c>
      <c r="N63" s="257">
        <f t="shared" si="3"/>
        <v>191.25019777322004</v>
      </c>
      <c r="O63" s="269">
        <f t="shared" si="4"/>
        <v>1</v>
      </c>
      <c r="P63" s="269" t="str">
        <f t="shared" si="5"/>
        <v/>
      </c>
      <c r="Q63" s="1251">
        <f t="shared" si="6"/>
        <v>143.32131979695433</v>
      </c>
      <c r="R63" s="1252">
        <f>IF($O63=1,$L$9*'Clay Window Film'!$Q63,"")</f>
        <v>-0.16995480160041826</v>
      </c>
    </row>
    <row r="64" spans="2:18" ht="14.4">
      <c r="B64" s="1134">
        <v>8907021</v>
      </c>
      <c r="C64" s="1185"/>
      <c r="D64" s="1134">
        <v>282593</v>
      </c>
      <c r="E64" s="1148">
        <v>42221</v>
      </c>
      <c r="F64" s="1186">
        <v>200</v>
      </c>
      <c r="G64" s="1186">
        <v>2</v>
      </c>
      <c r="H64" s="1187">
        <v>0.37</v>
      </c>
      <c r="I64" s="1141">
        <v>1000</v>
      </c>
      <c r="J64" s="1134"/>
      <c r="K64" s="1188">
        <v>42313</v>
      </c>
      <c r="L64" s="269">
        <f t="shared" si="1"/>
        <v>4</v>
      </c>
      <c r="M64" s="284">
        <f t="shared" si="2"/>
        <v>88</v>
      </c>
      <c r="N64" s="257">
        <f t="shared" si="3"/>
        <v>279.01552886024029</v>
      </c>
      <c r="O64" s="269">
        <f t="shared" si="4"/>
        <v>1</v>
      </c>
      <c r="P64" s="269" t="str">
        <f t="shared" si="5"/>
        <v/>
      </c>
      <c r="Q64" s="1251">
        <f t="shared" si="6"/>
        <v>336.04060913705587</v>
      </c>
      <c r="R64" s="1252">
        <f>IF($O64=1,$L$9*'Clay Window Film'!$Q64,"")</f>
        <v>-0.39848722532337222</v>
      </c>
    </row>
    <row r="65" spans="2:18" ht="14.4">
      <c r="B65" s="1134">
        <v>8833733</v>
      </c>
      <c r="C65" s="1185"/>
      <c r="D65" s="1134">
        <v>637995</v>
      </c>
      <c r="E65" s="1148">
        <v>42233</v>
      </c>
      <c r="F65" s="1186">
        <v>119</v>
      </c>
      <c r="G65" s="1186">
        <v>1</v>
      </c>
      <c r="H65" s="1187">
        <v>0.40</v>
      </c>
      <c r="I65" s="1141">
        <v>952</v>
      </c>
      <c r="J65" s="1134"/>
      <c r="K65" s="1188">
        <v>42313</v>
      </c>
      <c r="L65" s="269">
        <f t="shared" si="1"/>
        <v>4</v>
      </c>
      <c r="M65" s="284">
        <f t="shared" si="2"/>
        <v>52.36</v>
      </c>
      <c r="N65" s="257">
        <f t="shared" si="3"/>
        <v>592.90799882801059</v>
      </c>
      <c r="O65" s="269">
        <f t="shared" si="4"/>
        <v>1</v>
      </c>
      <c r="P65" s="269" t="str">
        <f t="shared" si="5"/>
        <v/>
      </c>
      <c r="Q65" s="1251">
        <f t="shared" si="6"/>
        <v>199.03807106598987</v>
      </c>
      <c r="R65" s="1252">
        <f>IF($O65=1,$L$9*'Clay Window Film'!$Q65,"")</f>
        <v>-0.23602542822571129</v>
      </c>
    </row>
    <row r="66" spans="2:18" ht="14.4">
      <c r="B66" s="1134">
        <v>8802859</v>
      </c>
      <c r="C66" s="1185"/>
      <c r="D66" s="1134">
        <v>639589</v>
      </c>
      <c r="E66" s="1148">
        <v>42229</v>
      </c>
      <c r="F66" s="1186">
        <v>235</v>
      </c>
      <c r="G66" s="1186">
        <v>2</v>
      </c>
      <c r="H66" s="1187">
        <v>0.21</v>
      </c>
      <c r="I66" s="1141">
        <v>1912.50</v>
      </c>
      <c r="J66" s="1134"/>
      <c r="K66" s="1188">
        <v>42313</v>
      </c>
      <c r="L66" s="269">
        <f t="shared" si="1"/>
        <v>4</v>
      </c>
      <c r="M66" s="284">
        <f t="shared" si="2"/>
        <v>103.40</v>
      </c>
      <c r="N66" s="257">
        <f t="shared" si="3"/>
        <v>515.18224435980085</v>
      </c>
      <c r="O66" s="269">
        <f t="shared" si="4"/>
        <v>1</v>
      </c>
      <c r="P66" s="269" t="str">
        <f t="shared" si="5"/>
        <v/>
      </c>
      <c r="Q66" s="1251">
        <f t="shared" si="6"/>
        <v>394.84771573604064</v>
      </c>
      <c r="R66" s="1252">
        <f>IF($O66=1,$L$9*'Clay Window Film'!$Q66,"")</f>
        <v>-0.46822248975496239</v>
      </c>
    </row>
    <row r="67" spans="2:18" ht="14.4">
      <c r="B67" s="1134">
        <v>8871423</v>
      </c>
      <c r="C67" s="1185"/>
      <c r="D67" s="1134">
        <v>110100</v>
      </c>
      <c r="E67" s="1148">
        <v>42240</v>
      </c>
      <c r="F67" s="1186">
        <v>110</v>
      </c>
      <c r="G67" s="1186">
        <v>2</v>
      </c>
      <c r="H67" s="1187">
        <v>0.35</v>
      </c>
      <c r="I67" s="1141">
        <v>1600</v>
      </c>
      <c r="J67" s="1134"/>
      <c r="K67" s="1188">
        <v>42326</v>
      </c>
      <c r="L67" s="269">
        <f t="shared" si="1"/>
        <v>4</v>
      </c>
      <c r="M67" s="284">
        <f t="shared" si="2"/>
        <v>48.40</v>
      </c>
      <c r="N67" s="257">
        <f t="shared" si="3"/>
        <v>164.41986522121306</v>
      </c>
      <c r="O67" s="269">
        <f t="shared" si="4"/>
        <v>1</v>
      </c>
      <c r="P67" s="269" t="str">
        <f t="shared" si="5"/>
        <v/>
      </c>
      <c r="Q67" s="1251">
        <f t="shared" si="6"/>
        <v>184.82233502538071</v>
      </c>
      <c r="R67" s="1252">
        <f>IF($O67=1,$L$9*'Clay Window Film'!$Q67,"")</f>
        <v>-0.2191679739278547</v>
      </c>
    </row>
    <row r="68" spans="2:18" ht="14.4">
      <c r="B68" s="1134">
        <v>8904874</v>
      </c>
      <c r="C68" s="1185"/>
      <c r="D68" s="1134">
        <v>194263</v>
      </c>
      <c r="E68" s="1148">
        <v>42306</v>
      </c>
      <c r="F68" s="1186">
        <v>23</v>
      </c>
      <c r="G68" s="1186">
        <v>1</v>
      </c>
      <c r="H68" s="1187">
        <v>0.27</v>
      </c>
      <c r="I68" s="1141">
        <v>138</v>
      </c>
      <c r="J68" s="1134"/>
      <c r="K68" s="1188">
        <v>42324</v>
      </c>
      <c r="L68" s="269">
        <f t="shared" si="1"/>
        <v>4</v>
      </c>
      <c r="M68" s="284">
        <f t="shared" si="2"/>
        <v>10.119999999999999</v>
      </c>
      <c r="N68" s="257">
        <f t="shared" si="3"/>
        <v>114.59566363902725</v>
      </c>
      <c r="O68" s="269">
        <f t="shared" si="4"/>
        <v>1</v>
      </c>
      <c r="P68" s="269" t="str">
        <f t="shared" si="5"/>
        <v/>
      </c>
      <c r="Q68" s="1251">
        <f t="shared" si="6"/>
        <v>38.469543147208121</v>
      </c>
      <c r="R68" s="1252">
        <f>IF($O68=1,$L$9*'Clay Window Film'!$Q68,"")</f>
        <v>-0.04561836007723831</v>
      </c>
    </row>
    <row r="69" spans="2:18" ht="14.4">
      <c r="B69" s="1134">
        <v>62111379</v>
      </c>
      <c r="C69" s="1185"/>
      <c r="D69" s="1134">
        <v>605800</v>
      </c>
      <c r="E69" s="1148">
        <v>42263</v>
      </c>
      <c r="F69" s="1186">
        <v>202.90</v>
      </c>
      <c r="G69" s="1186">
        <v>2</v>
      </c>
      <c r="H69" s="1187">
        <v>0.37</v>
      </c>
      <c r="I69" s="1141">
        <v>1250</v>
      </c>
      <c r="J69" s="1134"/>
      <c r="K69" s="1188">
        <v>42339</v>
      </c>
      <c r="L69" s="269">
        <f t="shared" si="1"/>
        <v>4</v>
      </c>
      <c r="M69" s="284">
        <f t="shared" si="2"/>
        <v>89.275999999999996</v>
      </c>
      <c r="N69" s="257">
        <f t="shared" si="3"/>
        <v>283.06125402871373</v>
      </c>
      <c r="O69" s="269">
        <f t="shared" si="4"/>
        <v>1</v>
      </c>
      <c r="P69" s="269" t="str">
        <f t="shared" si="5"/>
        <v/>
      </c>
      <c r="Q69" s="1251">
        <f t="shared" si="6"/>
        <v>340.91319796954315</v>
      </c>
      <c r="R69" s="1252">
        <f>IF($O69=1,$L$9*'Clay Window Film'!$Q69,"")</f>
        <v>-0.40426529009056111</v>
      </c>
    </row>
    <row r="70" spans="2:18" ht="14.4">
      <c r="B70" s="1134">
        <v>1890805</v>
      </c>
      <c r="C70" s="1185"/>
      <c r="D70" s="1134">
        <v>189080</v>
      </c>
      <c r="E70" s="1148">
        <v>42293</v>
      </c>
      <c r="F70" s="1186">
        <v>247</v>
      </c>
      <c r="G70" s="1186">
        <v>2</v>
      </c>
      <c r="H70" s="1187">
        <v>0.31</v>
      </c>
      <c r="I70" s="1141">
        <v>1470</v>
      </c>
      <c r="J70" s="1134"/>
      <c r="K70" s="1188">
        <v>42339</v>
      </c>
      <c r="L70" s="269">
        <f t="shared" si="1"/>
        <v>4</v>
      </c>
      <c r="M70" s="284">
        <f t="shared" si="2"/>
        <v>108.68</v>
      </c>
      <c r="N70" s="257">
        <f t="shared" si="3"/>
        <v>418.42364488719608</v>
      </c>
      <c r="O70" s="269">
        <f t="shared" si="4"/>
        <v>1</v>
      </c>
      <c r="P70" s="269" t="str">
        <f t="shared" si="5"/>
        <v/>
      </c>
      <c r="Q70" s="1251">
        <f t="shared" si="6"/>
        <v>415.010152284264</v>
      </c>
      <c r="R70" s="1252">
        <f>IF($O70=1,$L$9*'Clay Window Film'!$Q70,"")</f>
        <v>-0.49213172327436472</v>
      </c>
    </row>
    <row r="71" spans="2:18" ht="14.4">
      <c r="B71" s="1134">
        <v>8760316</v>
      </c>
      <c r="C71" s="1185"/>
      <c r="D71" s="1134">
        <v>152819</v>
      </c>
      <c r="E71" s="1148">
        <v>42335</v>
      </c>
      <c r="F71" s="1186">
        <v>44</v>
      </c>
      <c r="G71" s="1186">
        <v>2</v>
      </c>
      <c r="H71" s="1187">
        <v>0.20</v>
      </c>
      <c r="I71" s="1141">
        <v>3992</v>
      </c>
      <c r="J71" s="1134"/>
      <c r="K71" s="1188">
        <v>42352</v>
      </c>
      <c r="L71" s="269">
        <f t="shared" si="1"/>
        <v>4</v>
      </c>
      <c r="M71" s="284">
        <f t="shared" si="2"/>
        <v>19.36</v>
      </c>
      <c r="N71" s="257">
        <f t="shared" si="3"/>
        <v>98.651919132727812</v>
      </c>
      <c r="O71" s="269">
        <f t="shared" si="4"/>
        <v>1</v>
      </c>
      <c r="P71" s="269" t="str">
        <f t="shared" si="5"/>
        <v/>
      </c>
      <c r="Q71" s="1251">
        <f t="shared" si="6"/>
        <v>73.92893401015229</v>
      </c>
      <c r="R71" s="1252">
        <f>IF($O71=1,$L$9*'Clay Window Film'!$Q71,"")</f>
        <v>-0.08766718957114189</v>
      </c>
    </row>
    <row r="72" ht="14.4">
      <c r="R72" s="1253"/>
    </row>
  </sheetData>
  <mergeCells count="8">
    <mergeCell ref="B22:P22"/>
    <mergeCell ref="Q22:R22"/>
    <mergeCell ref="B2:G2"/>
    <mergeCell ref="B3:G3"/>
    <mergeCell ref="K14:L14"/>
    <mergeCell ref="K17:L17"/>
    <mergeCell ref="B13:I13"/>
    <mergeCell ref="B12:I12"/>
  </mergeCells>
  <pageMargins left="0.7" right="0.7" top="0.75" bottom="0.75" header="0.3" footer="0.3"/>
  <pageSetup orientation="portrait"/>
  <headerFooter alignWithMargins="0"/>
  <ignoredErrors>
    <ignoredError sqref="D15:D19" formula="1"/>
  </ignoredError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4" tint="0.39998"/>
  </sheetPr>
  <dimension ref="B1:J52"/>
  <sheetViews>
    <sheetView tabSelected="1" zoomScale="70" zoomScaleNormal="70" workbookViewId="0" topLeftCell="A1">
      <selection pane="topLeft" activeCell="A1" sqref="A1"/>
    </sheetView>
  </sheetViews>
  <sheetFormatPr defaultColWidth="8.88888888888889" defaultRowHeight="14.4"/>
  <cols>
    <col min="2" max="4" width="21.2222222222222" customWidth="1"/>
    <col min="5" max="5" width="15.2222222222222" bestFit="1" customWidth="1"/>
    <col min="6" max="6" width="23.2222222222222" bestFit="1" customWidth="1"/>
    <col min="7" max="8" width="20" bestFit="1" customWidth="1"/>
    <col min="9" max="9" width="21.5555555555556" bestFit="1" customWidth="1"/>
    <col min="10" max="10" width="13" bestFit="1" customWidth="1"/>
  </cols>
  <sheetData>
    <row r="1" spans="2:4" ht="14.4">
      <c r="B1" s="338" t="s">
        <v>1632</v>
      </c>
      <c r="D1" s="79"/>
    </row>
    <row r="2" spans="2:10" ht="43.2">
      <c r="B2" s="1864" t="s">
        <v>419</v>
      </c>
      <c r="C2" s="1857" t="s">
        <v>1667</v>
      </c>
      <c r="D2" s="286"/>
      <c r="I2" s="1864" t="s">
        <v>419</v>
      </c>
      <c r="J2" s="283" t="s">
        <v>378</v>
      </c>
    </row>
    <row r="3" spans="2:10" ht="28.8">
      <c r="B3" s="1864"/>
      <c r="C3" s="1857"/>
      <c r="D3" s="285"/>
      <c r="I3" s="1864"/>
      <c r="J3" s="283" t="s">
        <v>425</v>
      </c>
    </row>
    <row r="4" spans="2:10" ht="14.4">
      <c r="B4" s="264">
        <v>1</v>
      </c>
      <c r="C4" s="167">
        <f>J4</f>
        <v>0.022481671680950905</v>
      </c>
      <c r="D4" s="285"/>
      <c r="I4" s="264">
        <v>1</v>
      </c>
      <c r="J4" s="282">
        <f>ABS(AVERAGE(J10,J16,J22,J28)*$I$34)</f>
        <v>0.022481671680950905</v>
      </c>
    </row>
    <row r="5" spans="2:10" ht="14.4">
      <c r="B5" s="264">
        <v>2</v>
      </c>
      <c r="C5" s="167">
        <f>J5</f>
        <v>0.0049743227279904637</v>
      </c>
      <c r="D5" s="285"/>
      <c r="I5" s="264">
        <v>2</v>
      </c>
      <c r="J5" s="282">
        <f>ABS(AVERAGE(J11,J17,J23,J29)*$I$34)</f>
        <v>0.0049743227279904637</v>
      </c>
    </row>
    <row r="6" spans="4:9" ht="14.4">
      <c r="D6" s="79"/>
      <c r="I6" t="s">
        <v>424</v>
      </c>
    </row>
    <row r="7" ht="14.4">
      <c r="B7" s="281" t="s">
        <v>423</v>
      </c>
    </row>
    <row r="8" spans="2:10" ht="43.2">
      <c r="B8" s="1857" t="s">
        <v>419</v>
      </c>
      <c r="C8" s="283" t="s">
        <v>383</v>
      </c>
      <c r="D8" s="283" t="s">
        <v>382</v>
      </c>
      <c r="E8" s="283" t="s">
        <v>382</v>
      </c>
      <c r="F8" s="283" t="s">
        <v>381</v>
      </c>
      <c r="G8" s="283" t="s">
        <v>110</v>
      </c>
      <c r="H8" s="283" t="s">
        <v>380</v>
      </c>
      <c r="I8" s="283" t="s">
        <v>379</v>
      </c>
      <c r="J8" s="283" t="s">
        <v>378</v>
      </c>
    </row>
    <row r="9" spans="2:10" ht="28.8">
      <c r="B9" s="1857"/>
      <c r="C9" s="283" t="s">
        <v>171</v>
      </c>
      <c r="D9" s="283" t="s">
        <v>171</v>
      </c>
      <c r="E9" s="283" t="s">
        <v>377</v>
      </c>
      <c r="F9" s="283" t="s">
        <v>171</v>
      </c>
      <c r="G9" s="283" t="s">
        <v>171</v>
      </c>
      <c r="H9" s="283" t="s">
        <v>165</v>
      </c>
      <c r="I9" s="283" t="s">
        <v>377</v>
      </c>
      <c r="J9" s="283" t="s">
        <v>376</v>
      </c>
    </row>
    <row r="10" spans="2:10" ht="14.4">
      <c r="B10" s="282">
        <v>1</v>
      </c>
      <c r="C10" s="282">
        <v>1.95</v>
      </c>
      <c r="D10" s="282">
        <v>-0.12</v>
      </c>
      <c r="E10" s="282">
        <v>-0.17</v>
      </c>
      <c r="F10" s="282">
        <v>-2.09</v>
      </c>
      <c r="G10" s="282">
        <v>0.25</v>
      </c>
      <c r="H10" s="282">
        <v>0.0013699999999999999</v>
      </c>
      <c r="I10" s="282">
        <v>-0.0011000000000000001</v>
      </c>
      <c r="J10" s="282">
        <f>H10/AVERAGE(C10,F10:G10)</f>
        <v>0.037363636363636328</v>
      </c>
    </row>
    <row r="11" spans="2:10" ht="14.4">
      <c r="B11" s="282">
        <v>2</v>
      </c>
      <c r="C11" s="282">
        <v>0.90</v>
      </c>
      <c r="D11" s="282">
        <v>-0.06</v>
      </c>
      <c r="E11" s="282">
        <v>-0.09</v>
      </c>
      <c r="F11" s="282">
        <v>-1.07</v>
      </c>
      <c r="G11" s="282">
        <v>0.08</v>
      </c>
      <c r="H11" s="282">
        <v>0.00068999999999999997</v>
      </c>
      <c r="I11" s="282">
        <v>-0.00055000000000000003</v>
      </c>
      <c r="J11" s="282">
        <f>H11/AVERAGE(C11,F11:G11)</f>
        <v>-0.022999999999999989</v>
      </c>
    </row>
    <row r="12" ht="14.4"/>
    <row r="13" ht="14.1" customHeight="1">
      <c r="B13" s="281" t="s">
        <v>422</v>
      </c>
    </row>
    <row r="14" spans="2:10" ht="43.2">
      <c r="B14" s="1857" t="s">
        <v>419</v>
      </c>
      <c r="C14" s="283" t="s">
        <v>383</v>
      </c>
      <c r="D14" s="283" t="s">
        <v>382</v>
      </c>
      <c r="E14" s="283" t="s">
        <v>382</v>
      </c>
      <c r="F14" s="283" t="s">
        <v>381</v>
      </c>
      <c r="G14" s="283" t="s">
        <v>110</v>
      </c>
      <c r="H14" s="283" t="s">
        <v>380</v>
      </c>
      <c r="I14" s="283" t="s">
        <v>379</v>
      </c>
      <c r="J14" s="283" t="s">
        <v>378</v>
      </c>
    </row>
    <row r="15" spans="2:10" ht="28.8">
      <c r="B15" s="1857"/>
      <c r="C15" s="283" t="s">
        <v>171</v>
      </c>
      <c r="D15" s="283" t="s">
        <v>171</v>
      </c>
      <c r="E15" s="283" t="s">
        <v>377</v>
      </c>
      <c r="F15" s="283" t="s">
        <v>171</v>
      </c>
      <c r="G15" s="283" t="s">
        <v>171</v>
      </c>
      <c r="H15" s="283" t="s">
        <v>165</v>
      </c>
      <c r="I15" s="283" t="s">
        <v>377</v>
      </c>
      <c r="J15" s="283" t="s">
        <v>376</v>
      </c>
    </row>
    <row r="16" spans="2:10" ht="14.4">
      <c r="B16" s="282">
        <v>1</v>
      </c>
      <c r="C16" s="87">
        <v>2.21</v>
      </c>
      <c r="D16" s="87">
        <v>-0.12</v>
      </c>
      <c r="E16" s="87">
        <v>-0.19</v>
      </c>
      <c r="F16" s="87">
        <v>-2.35</v>
      </c>
      <c r="G16" s="87">
        <v>0.11</v>
      </c>
      <c r="H16" s="282">
        <v>0.0011800000000000001</v>
      </c>
      <c r="I16" s="163">
        <v>-0.0016800000000000001</v>
      </c>
      <c r="J16" s="282">
        <f>H16/AVERAGE(C16,F16:G16)</f>
        <v>-0.11799999999999951</v>
      </c>
    </row>
    <row r="17" spans="2:10" ht="14.4">
      <c r="B17" s="282">
        <v>2</v>
      </c>
      <c r="C17" s="87">
        <v>1.19</v>
      </c>
      <c r="D17" s="87">
        <v>-0.06</v>
      </c>
      <c r="E17" s="87">
        <v>-0.09</v>
      </c>
      <c r="F17" s="87">
        <v>-0.76</v>
      </c>
      <c r="G17" s="87">
        <v>0.32</v>
      </c>
      <c r="H17" s="282">
        <v>0.00063000000000000003</v>
      </c>
      <c r="I17" s="163">
        <v>-0.00068999999999999997</v>
      </c>
      <c r="J17" s="282">
        <f>H17/AVERAGE(C17,F17:G17)</f>
        <v>0.0025200000000000001</v>
      </c>
    </row>
    <row r="18" ht="14.4"/>
    <row r="19" ht="14.4">
      <c r="B19" s="281" t="s">
        <v>421</v>
      </c>
    </row>
    <row r="20" spans="2:10" ht="43.2">
      <c r="B20" s="1857" t="s">
        <v>419</v>
      </c>
      <c r="C20" s="283" t="s">
        <v>383</v>
      </c>
      <c r="D20" s="283" t="s">
        <v>382</v>
      </c>
      <c r="E20" s="283" t="s">
        <v>382</v>
      </c>
      <c r="F20" s="283" t="s">
        <v>381</v>
      </c>
      <c r="G20" s="283" t="s">
        <v>110</v>
      </c>
      <c r="H20" s="283" t="s">
        <v>380</v>
      </c>
      <c r="I20" s="283" t="s">
        <v>379</v>
      </c>
      <c r="J20" s="283" t="s">
        <v>378</v>
      </c>
    </row>
    <row r="21" spans="2:10" ht="28.8">
      <c r="B21" s="1857"/>
      <c r="C21" s="283" t="s">
        <v>171</v>
      </c>
      <c r="D21" s="283" t="s">
        <v>171</v>
      </c>
      <c r="E21" s="283" t="s">
        <v>377</v>
      </c>
      <c r="F21" s="283" t="s">
        <v>171</v>
      </c>
      <c r="G21" s="283" t="s">
        <v>171</v>
      </c>
      <c r="H21" s="283" t="s">
        <v>165</v>
      </c>
      <c r="I21" s="283" t="s">
        <v>377</v>
      </c>
      <c r="J21" s="283" t="s">
        <v>376</v>
      </c>
    </row>
    <row r="22" spans="2:10" ht="14.4">
      <c r="B22" s="282">
        <v>1</v>
      </c>
      <c r="C22" s="87">
        <v>2.06</v>
      </c>
      <c r="D22" s="87">
        <v>-0.10</v>
      </c>
      <c r="E22" s="87">
        <v>-0.15</v>
      </c>
      <c r="F22" s="87">
        <v>-1.28</v>
      </c>
      <c r="G22" s="87">
        <v>0.71</v>
      </c>
      <c r="H22" s="282">
        <v>0.0012899999999999999</v>
      </c>
      <c r="I22" s="163">
        <v>-0.0013500000000000001</v>
      </c>
      <c r="J22" s="282">
        <f>H22/AVERAGE(C22,F22:G22)</f>
        <v>0.0025973154362416108</v>
      </c>
    </row>
    <row r="23" spans="2:10" ht="14.4">
      <c r="B23" s="282">
        <v>2</v>
      </c>
      <c r="C23" s="87">
        <v>1.08</v>
      </c>
      <c r="D23" s="87">
        <v>-0.05</v>
      </c>
      <c r="E23" s="87">
        <v>-0.070000000000000007</v>
      </c>
      <c r="F23" s="87">
        <v>-0.60</v>
      </c>
      <c r="G23" s="87">
        <v>0.36</v>
      </c>
      <c r="H23" s="282">
        <v>0.00068000000000000005</v>
      </c>
      <c r="I23" s="163">
        <v>-0.00068000000000000005</v>
      </c>
      <c r="J23" s="282">
        <f>H23/AVERAGE(C23,F23:G23)</f>
        <v>0.0024285714285714284</v>
      </c>
    </row>
    <row r="24" ht="14.4"/>
    <row r="25" ht="14.4">
      <c r="B25" s="281" t="s">
        <v>420</v>
      </c>
    </row>
    <row r="26" spans="2:10" ht="43.2">
      <c r="B26" s="1857" t="s">
        <v>419</v>
      </c>
      <c r="C26" s="283" t="s">
        <v>383</v>
      </c>
      <c r="D26" s="283" t="s">
        <v>382</v>
      </c>
      <c r="E26" s="283" t="s">
        <v>382</v>
      </c>
      <c r="F26" s="283" t="s">
        <v>381</v>
      </c>
      <c r="G26" s="283" t="s">
        <v>110</v>
      </c>
      <c r="H26" s="283" t="s">
        <v>380</v>
      </c>
      <c r="I26" s="283" t="s">
        <v>379</v>
      </c>
      <c r="J26" s="283" t="s">
        <v>378</v>
      </c>
    </row>
    <row r="27" spans="2:10" ht="28.8">
      <c r="B27" s="1857"/>
      <c r="C27" s="283" t="s">
        <v>171</v>
      </c>
      <c r="D27" s="283" t="s">
        <v>171</v>
      </c>
      <c r="E27" s="283" t="s">
        <v>377</v>
      </c>
      <c r="F27" s="283" t="s">
        <v>171</v>
      </c>
      <c r="G27" s="283" t="s">
        <v>171</v>
      </c>
      <c r="H27" s="283" t="s">
        <v>165</v>
      </c>
      <c r="I27" s="283" t="s">
        <v>377</v>
      </c>
      <c r="J27" s="283" t="s">
        <v>376</v>
      </c>
    </row>
    <row r="28" spans="2:10" ht="14.4">
      <c r="B28" s="282">
        <v>1</v>
      </c>
      <c r="C28" s="87">
        <v>2.4300000000000002</v>
      </c>
      <c r="D28" s="87">
        <v>-0.08</v>
      </c>
      <c r="E28" s="87">
        <v>-0.12</v>
      </c>
      <c r="F28" s="87">
        <v>-0.26</v>
      </c>
      <c r="G28" s="87">
        <v>1.33</v>
      </c>
      <c r="H28" s="282">
        <v>0.00133</v>
      </c>
      <c r="I28" s="163">
        <v>-0.00093000000000000005</v>
      </c>
      <c r="J28" s="282">
        <f>H28/AVERAGE(C28,F28:G28)</f>
        <v>0.00114</v>
      </c>
    </row>
    <row r="29" spans="2:10" ht="14.4">
      <c r="B29" s="282">
        <v>2</v>
      </c>
      <c r="C29" s="87">
        <v>1.26</v>
      </c>
      <c r="D29" s="87">
        <v>-0.04</v>
      </c>
      <c r="E29" s="87">
        <v>-0.06</v>
      </c>
      <c r="F29" s="87">
        <v>-0.06</v>
      </c>
      <c r="G29" s="87">
        <v>0.71</v>
      </c>
      <c r="H29" s="282">
        <v>0.00066</v>
      </c>
      <c r="I29" s="163">
        <v>-0.00046999999999999999</v>
      </c>
      <c r="J29" s="282">
        <f>H29/AVERAGE(C29,F29:G29)</f>
        <v>0.001036649214659686</v>
      </c>
    </row>
    <row r="30" ht="14.4"/>
    <row r="31" ht="14.55" customHeight="1">
      <c r="B31" s="281" t="s">
        <v>371</v>
      </c>
    </row>
    <row r="32" spans="2:9" ht="14.55" customHeight="1">
      <c r="B32" s="1858" t="s">
        <v>370</v>
      </c>
      <c r="C32" s="1858" t="s">
        <v>366</v>
      </c>
      <c r="D32" s="1858" t="s">
        <v>365</v>
      </c>
      <c r="E32" s="1858" t="s">
        <v>369</v>
      </c>
      <c r="F32" s="1858"/>
      <c r="G32" s="1858" t="s">
        <v>368</v>
      </c>
      <c r="H32" s="1858"/>
      <c r="I32" s="1860" t="s">
        <v>367</v>
      </c>
    </row>
    <row r="33" spans="2:9" ht="14.4">
      <c r="B33" s="1858"/>
      <c r="C33" s="1858"/>
      <c r="D33" s="1858"/>
      <c r="E33" s="87" t="s">
        <v>366</v>
      </c>
      <c r="F33" s="87" t="s">
        <v>365</v>
      </c>
      <c r="G33" s="87" t="s">
        <v>366</v>
      </c>
      <c r="H33" s="87" t="s">
        <v>365</v>
      </c>
      <c r="I33" s="1861"/>
    </row>
    <row r="34" spans="2:9" ht="14.4">
      <c r="B34" s="87">
        <v>9</v>
      </c>
      <c r="C34" s="279">
        <v>1233</v>
      </c>
      <c r="D34" s="279">
        <v>1923</v>
      </c>
      <c r="E34" s="278">
        <f>$E$44/C34</f>
        <v>1.8069748580697487</v>
      </c>
      <c r="F34" s="278">
        <f>F44/$D$34</f>
        <v>0.46229849193967759</v>
      </c>
      <c r="G34" s="280">
        <f>AVERAGE(E34:E37)</f>
        <v>1.4967414852521785</v>
      </c>
      <c r="H34" s="280">
        <f>AVERAGE(F34:F37)</f>
        <v>0.34906396255850231</v>
      </c>
      <c r="I34" s="278">
        <f>(G34*E52)+(H34*F52)</f>
        <v>1.1694122206789741</v>
      </c>
    </row>
    <row r="35" spans="2:6" ht="14.4">
      <c r="B35" s="87">
        <v>8</v>
      </c>
      <c r="C35" s="279">
        <v>1493</v>
      </c>
      <c r="D35" s="279">
        <v>1793</v>
      </c>
      <c r="E35" s="278">
        <f>$E$44/C35</f>
        <v>1.4922973878097789</v>
      </c>
      <c r="F35" s="278">
        <f>F45/$D$34</f>
        <v>0.26209048361934478</v>
      </c>
    </row>
    <row r="36" spans="2:6" ht="14.4">
      <c r="B36" s="87">
        <v>7</v>
      </c>
      <c r="C36" s="279">
        <v>1669</v>
      </c>
      <c r="D36" s="279">
        <v>1682</v>
      </c>
      <c r="E36" s="278">
        <f>$E$44/C36</f>
        <v>1.334931096464949</v>
      </c>
      <c r="F36" s="278">
        <f>F46/$D$34</f>
        <v>0.36869474778991157</v>
      </c>
    </row>
    <row r="37" spans="2:6" ht="14.4">
      <c r="B37" s="87">
        <v>6</v>
      </c>
      <c r="C37" s="279">
        <v>1647</v>
      </c>
      <c r="D37" s="279">
        <v>1474</v>
      </c>
      <c r="E37" s="278">
        <f>$E$44/C37</f>
        <v>1.352762598664238</v>
      </c>
      <c r="F37" s="278">
        <f>F47/$D$34</f>
        <v>0.30317212688507539</v>
      </c>
    </row>
    <row r="38" ht="14.4">
      <c r="B38" t="s">
        <v>364</v>
      </c>
    </row>
    <row r="39" ht="14.4"/>
    <row r="40" spans="2:6" ht="14.4">
      <c r="B40" s="1852" t="s">
        <v>363</v>
      </c>
      <c r="C40" s="1852" t="s">
        <v>362</v>
      </c>
      <c r="D40" s="1852" t="s">
        <v>361</v>
      </c>
      <c r="E40" s="1855" t="s">
        <v>360</v>
      </c>
      <c r="F40" s="1856"/>
    </row>
    <row r="41" spans="2:6" ht="14.4">
      <c r="B41" s="1853"/>
      <c r="C41" s="1853"/>
      <c r="D41" s="1853"/>
      <c r="E41" s="277" t="s">
        <v>359</v>
      </c>
      <c r="F41" s="277" t="s">
        <v>358</v>
      </c>
    </row>
    <row r="42" spans="2:6" ht="14.4">
      <c r="B42" s="1854"/>
      <c r="C42" s="1854"/>
      <c r="D42" s="1854"/>
      <c r="E42" s="273" t="s">
        <v>357</v>
      </c>
      <c r="F42" s="273" t="s">
        <v>357</v>
      </c>
    </row>
    <row r="43" spans="2:6" ht="26.4">
      <c r="B43" s="273" t="s">
        <v>356</v>
      </c>
      <c r="C43" s="273" t="s">
        <v>355</v>
      </c>
      <c r="D43" s="163" t="s">
        <v>342</v>
      </c>
      <c r="E43" s="163">
        <f>VLOOKUP($D43,'EStar EFLH'!$B$36:$D$46,2,FALSE)</f>
        <v>2228</v>
      </c>
      <c r="F43" s="163">
        <f>VLOOKUP($D43,'EStar EFLH'!$B$36:$D$46,3,FALSE)</f>
        <v>889</v>
      </c>
    </row>
    <row r="44" spans="2:6" ht="39.6">
      <c r="B44" s="276" t="s">
        <v>354</v>
      </c>
      <c r="C44" s="276" t="s">
        <v>353</v>
      </c>
      <c r="D44" s="275" t="s">
        <v>342</v>
      </c>
      <c r="E44" s="275">
        <f>VLOOKUP($D44,'EStar EFLH'!$B$36:$D$46,2,FALSE)</f>
        <v>2228</v>
      </c>
      <c r="F44" s="275">
        <f>VLOOKUP($D44,'EStar EFLH'!$B$36:$D$46,3,FALSE)</f>
        <v>889</v>
      </c>
    </row>
    <row r="45" spans="2:6" ht="26.4">
      <c r="B45" s="273" t="s">
        <v>352</v>
      </c>
      <c r="C45" s="273" t="s">
        <v>351</v>
      </c>
      <c r="D45" s="163" t="s">
        <v>350</v>
      </c>
      <c r="E45" s="163">
        <f>VLOOKUP($D45,'EStar EFLH'!$B$36:$D$46,2,FALSE)</f>
        <v>3288</v>
      </c>
      <c r="F45" s="163">
        <f>VLOOKUP($D45,'EStar EFLH'!$B$36:$D$46,3,FALSE)</f>
        <v>504</v>
      </c>
    </row>
    <row r="46" spans="2:6" ht="26.4">
      <c r="B46" s="273" t="s">
        <v>349</v>
      </c>
      <c r="C46" s="273" t="s">
        <v>348</v>
      </c>
      <c r="D46" s="163" t="s">
        <v>334</v>
      </c>
      <c r="E46" s="163">
        <f>VLOOKUP($D46,'EStar EFLH'!$B$36:$D$46,2,FALSE)</f>
        <v>3068</v>
      </c>
      <c r="F46" s="163">
        <f>VLOOKUP($D46,'EStar EFLH'!$B$36:$D$46,3,FALSE)</f>
        <v>709</v>
      </c>
    </row>
    <row r="47" spans="2:6" ht="39.6">
      <c r="B47" s="273" t="s">
        <v>347</v>
      </c>
      <c r="C47" s="273" t="s">
        <v>346</v>
      </c>
      <c r="D47" s="163" t="s">
        <v>345</v>
      </c>
      <c r="E47" s="163">
        <f>VLOOKUP($D47,'EStar EFLH'!$B$36:$D$46,2,FALSE)</f>
        <v>2915</v>
      </c>
      <c r="F47" s="163">
        <f>VLOOKUP($D47,'EStar EFLH'!$B$36:$D$46,3,FALSE)</f>
        <v>583</v>
      </c>
    </row>
    <row r="48" spans="2:6" ht="26.4">
      <c r="B48" s="273" t="s">
        <v>344</v>
      </c>
      <c r="C48" s="273" t="s">
        <v>343</v>
      </c>
      <c r="D48" s="163" t="s">
        <v>342</v>
      </c>
      <c r="E48" s="163">
        <f>VLOOKUP($D48,'EStar EFLH'!$B$36:$D$46,2,FALSE)</f>
        <v>2228</v>
      </c>
      <c r="F48" s="163">
        <f>VLOOKUP($D48,'EStar EFLH'!$B$36:$D$46,3,FALSE)</f>
        <v>889</v>
      </c>
    </row>
    <row r="49" spans="2:6" ht="26.4">
      <c r="B49" s="274" t="s">
        <v>341</v>
      </c>
      <c r="C49" s="273" t="s">
        <v>340</v>
      </c>
      <c r="D49" s="163" t="s">
        <v>337</v>
      </c>
      <c r="E49" s="163">
        <f>VLOOKUP($D49,'EStar EFLH'!$B$36:$D$46,2,FALSE)</f>
        <v>2215</v>
      </c>
      <c r="F49" s="163">
        <f>VLOOKUP($D49,'EStar EFLH'!$B$36:$D$46,3,FALSE)</f>
        <v>1133</v>
      </c>
    </row>
    <row r="50" spans="2:6" ht="26.4">
      <c r="B50" s="274" t="s">
        <v>339</v>
      </c>
      <c r="C50" s="273" t="s">
        <v>338</v>
      </c>
      <c r="D50" s="163" t="s">
        <v>337</v>
      </c>
      <c r="E50" s="163">
        <f>VLOOKUP($D50,'EStar EFLH'!$B$36:$D$46,2,FALSE)</f>
        <v>2215</v>
      </c>
      <c r="F50" s="163">
        <f>VLOOKUP($D50,'EStar EFLH'!$B$36:$D$46,3,FALSE)</f>
        <v>1133</v>
      </c>
    </row>
    <row r="51" spans="2:6" ht="26.4">
      <c r="B51" s="274" t="s">
        <v>336</v>
      </c>
      <c r="C51" s="273" t="s">
        <v>335</v>
      </c>
      <c r="D51" s="163" t="s">
        <v>334</v>
      </c>
      <c r="E51" s="163">
        <f>VLOOKUP($D51,'EStar EFLH'!$B$36:$D$46,2,FALSE)</f>
        <v>3068</v>
      </c>
      <c r="F51" s="163">
        <f>VLOOKUP($D51,'EStar EFLH'!$B$36:$D$46,3,FALSE)</f>
        <v>709</v>
      </c>
    </row>
    <row r="52" spans="5:6" ht="14.4">
      <c r="E52" s="272">
        <f>E44/SUM($E$44:$F$44)</f>
        <v>0.71478986204683992</v>
      </c>
      <c r="F52" s="272">
        <f>F44/SUM($E$44:$F$44)</f>
        <v>0.28521013795316008</v>
      </c>
    </row>
  </sheetData>
  <mergeCells count="17">
    <mergeCell ref="I2:I3"/>
    <mergeCell ref="B8:B9"/>
    <mergeCell ref="B14:B15"/>
    <mergeCell ref="B20:B21"/>
    <mergeCell ref="B26:B27"/>
    <mergeCell ref="C2:C3"/>
    <mergeCell ref="B2:B3"/>
    <mergeCell ref="I32:I33"/>
    <mergeCell ref="B40:B42"/>
    <mergeCell ref="C40:C42"/>
    <mergeCell ref="D40:D42"/>
    <mergeCell ref="E40:F40"/>
    <mergeCell ref="B32:B33"/>
    <mergeCell ref="C32:C33"/>
    <mergeCell ref="D32:D33"/>
    <mergeCell ref="E32:F32"/>
    <mergeCell ref="G32:H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2" tint="-0.24997"/>
  </sheetPr>
  <dimension ref="A1:AD84"/>
  <sheetViews>
    <sheetView zoomScale="85" zoomScaleNormal="85" workbookViewId="0" topLeftCell="A21"/>
  </sheetViews>
  <sheetFormatPr defaultColWidth="9.21875" defaultRowHeight="14.4" outlineLevelRow="1" outlineLevelCol="1"/>
  <cols>
    <col min="1" max="1" width="9.22222222222222" style="267"/>
    <col min="2" max="2" width="48" style="267" bestFit="1" customWidth="1"/>
    <col min="3" max="3" width="19.5555555555556" style="267" bestFit="1" customWidth="1"/>
    <col min="4" max="4" width="31.2222222222222" style="267" bestFit="1" customWidth="1"/>
    <col min="5" max="5" width="16.7777777777778" style="267" bestFit="1" customWidth="1"/>
    <col min="6" max="6" width="20.2222222222222" style="267" bestFit="1" customWidth="1"/>
    <col min="7" max="8" width="17.2222222222222" style="267" bestFit="1" customWidth="1"/>
    <col min="9" max="9" width="19.2222222222222" style="267" bestFit="1" customWidth="1"/>
    <col min="10" max="10" width="6.22222222222222" style="267" bestFit="1" customWidth="1"/>
    <col min="11" max="12" width="13.7777777777778" style="267" bestFit="1" customWidth="1" outlineLevel="1"/>
    <col min="13" max="13" width="4.77777777777778" style="267" bestFit="1" customWidth="1" outlineLevel="1"/>
    <col min="14" max="14" width="16.5555555555556" style="267" bestFit="1" customWidth="1" outlineLevel="1"/>
    <col min="15" max="16" width="13.7777777777778" style="267" bestFit="1" customWidth="1"/>
    <col min="17" max="17" width="14.7777777777778" style="267" bestFit="1" customWidth="1"/>
    <col min="18" max="18" width="16.5555555555556" style="267" bestFit="1" customWidth="1"/>
    <col min="19" max="20" width="13.7777777777778" style="267" bestFit="1" customWidth="1" outlineLevel="1"/>
    <col min="21" max="21" width="4.77777777777778" style="267" bestFit="1" customWidth="1" outlineLevel="1"/>
    <col min="22" max="22" width="16.5555555555556" style="267" bestFit="1" customWidth="1" outlineLevel="1"/>
    <col min="23" max="24" width="13.7777777777778" style="267" bestFit="1" customWidth="1"/>
    <col min="25" max="25" width="14.7777777777778" style="267" bestFit="1" customWidth="1"/>
    <col min="26" max="26" width="16.5555555555556" style="267" bestFit="1" customWidth="1"/>
    <col min="27" max="27" width="14.7777777777778" style="267" customWidth="1"/>
    <col min="28" max="28" width="8" style="267" bestFit="1" customWidth="1"/>
    <col min="29" max="29" width="7.22222222222222" style="267" bestFit="1" customWidth="1"/>
    <col min="30" max="30" width="7.77777777777778" style="267" bestFit="1" customWidth="1"/>
    <col min="31" max="16384" width="9.22222222222222" style="267"/>
  </cols>
  <sheetData>
    <row r="1" spans="1:5" ht="14.4">
      <c r="A1" s="281" t="s">
        <v>1595</v>
      </c>
      <c r="C1" s="1613" t="s">
        <v>1622</v>
      </c>
      <c r="D1" s="1614"/>
      <c r="E1" s="1614"/>
    </row>
    <row r="2" ht="14.4">
      <c r="A2" s="281"/>
    </row>
    <row r="3" spans="1:2" ht="14.4">
      <c r="A3" s="281"/>
      <c r="B3" s="281" t="s">
        <v>1606</v>
      </c>
    </row>
    <row r="4" spans="1:6" ht="28.8">
      <c r="A4" s="281"/>
      <c r="B4" s="265" t="s">
        <v>1596</v>
      </c>
      <c r="C4" s="588" t="s">
        <v>1601</v>
      </c>
      <c r="D4" s="588" t="s">
        <v>1602</v>
      </c>
      <c r="E4" s="588" t="s">
        <v>1603</v>
      </c>
      <c r="F4" s="588" t="s">
        <v>837</v>
      </c>
    </row>
    <row r="5" spans="1:6" ht="14.4" outlineLevel="1">
      <c r="A5" s="281"/>
      <c r="B5" s="519" t="s">
        <v>1597</v>
      </c>
      <c r="C5" s="627">
        <f>K14</f>
        <v>0</v>
      </c>
      <c r="D5" s="627">
        <f>L14</f>
        <v>0</v>
      </c>
      <c r="E5" s="627">
        <f>M14</f>
        <v>0</v>
      </c>
      <c r="F5" s="517">
        <f>N14</f>
        <v>0</v>
      </c>
    </row>
    <row r="6" spans="1:6" ht="14.4" collapsed="1">
      <c r="A6" s="281"/>
      <c r="B6" s="519" t="s">
        <v>1598</v>
      </c>
      <c r="C6" s="627">
        <f>O18</f>
        <v>8264389.4617535742</v>
      </c>
      <c r="D6" s="627">
        <f>P18</f>
        <v>3528361.9393859869</v>
      </c>
      <c r="E6" s="627">
        <f>Q18</f>
        <v>4736027.5223675873</v>
      </c>
      <c r="F6" s="517">
        <f>R18</f>
        <v>2.3422737246711605</v>
      </c>
    </row>
    <row r="7" spans="1:6" ht="14.4" outlineLevel="1">
      <c r="A7" s="281"/>
      <c r="B7" s="519" t="s">
        <v>1599</v>
      </c>
      <c r="C7" s="627">
        <f>S14</f>
        <v>0</v>
      </c>
      <c r="D7" s="627">
        <f>T14</f>
        <v>0</v>
      </c>
      <c r="E7" s="627">
        <f>U14</f>
        <v>0</v>
      </c>
      <c r="F7" s="517">
        <f>V14</f>
        <v>0</v>
      </c>
    </row>
    <row r="8" spans="1:6" ht="14.4" collapsed="1">
      <c r="A8" s="281"/>
      <c r="B8" s="519" t="s">
        <v>1600</v>
      </c>
      <c r="C8" s="627">
        <f>W18</f>
        <v>8264389.4617535742</v>
      </c>
      <c r="D8" s="627">
        <f>X18</f>
        <v>7375848.6271610204</v>
      </c>
      <c r="E8" s="627">
        <f>Y18</f>
        <v>888540.83459255379</v>
      </c>
      <c r="F8" s="517">
        <f>Z18</f>
        <v>1.1204662513436849</v>
      </c>
    </row>
    <row r="9" ht="14.4"/>
    <row r="10" spans="2:26" ht="15" thickBot="1">
      <c r="B10" s="281" t="s">
        <v>1605</v>
      </c>
      <c r="K10" s="1627" t="s">
        <v>1161</v>
      </c>
      <c r="L10" s="1627"/>
      <c r="M10" s="1627"/>
      <c r="N10" s="1627"/>
      <c r="O10" s="628"/>
      <c r="P10" s="628"/>
      <c r="Q10" s="628"/>
      <c r="R10" s="628"/>
      <c r="S10" s="1627" t="s">
        <v>1161</v>
      </c>
      <c r="T10" s="1627"/>
      <c r="U10" s="1627"/>
      <c r="V10" s="1627"/>
      <c r="W10" s="628"/>
      <c r="X10" s="628"/>
      <c r="Y10" s="628"/>
      <c r="Z10" s="628"/>
    </row>
    <row r="11" spans="2:29" ht="18.6" thickBot="1">
      <c r="B11" s="1630" t="s">
        <v>855</v>
      </c>
      <c r="C11" s="1631"/>
      <c r="D11" s="1631"/>
      <c r="E11" s="1631"/>
      <c r="F11" s="1631"/>
      <c r="G11" s="1631"/>
      <c r="H11" s="1631"/>
      <c r="I11" s="1631"/>
      <c r="J11" s="1631"/>
      <c r="K11" s="1631" t="s">
        <v>854</v>
      </c>
      <c r="L11" s="1631"/>
      <c r="M11" s="1631"/>
      <c r="N11" s="1631"/>
      <c r="O11" s="1631"/>
      <c r="P11" s="1631"/>
      <c r="Q11" s="1631"/>
      <c r="R11" s="1631"/>
      <c r="S11" s="1631"/>
      <c r="T11" s="1631"/>
      <c r="U11" s="1631"/>
      <c r="V11" s="1631"/>
      <c r="W11" s="1631"/>
      <c r="X11" s="1631"/>
      <c r="Y11" s="1631"/>
      <c r="Z11" s="1632"/>
      <c r="AA11" s="629"/>
      <c r="AB11" s="341"/>
      <c r="AC11" s="630"/>
    </row>
    <row r="12" spans="2:30" ht="14.4">
      <c r="B12" s="1633"/>
      <c r="C12" s="1634"/>
      <c r="D12" s="1634"/>
      <c r="E12" s="1634"/>
      <c r="F12" s="1634"/>
      <c r="G12" s="1634"/>
      <c r="H12" s="1634"/>
      <c r="I12" s="1634"/>
      <c r="J12" s="1634"/>
      <c r="K12" s="1623" t="s">
        <v>853</v>
      </c>
      <c r="L12" s="1623"/>
      <c r="M12" s="1623"/>
      <c r="N12" s="1623"/>
      <c r="O12" s="1623" t="s">
        <v>852</v>
      </c>
      <c r="P12" s="1623"/>
      <c r="Q12" s="1623"/>
      <c r="R12" s="1623"/>
      <c r="S12" s="1623" t="s">
        <v>851</v>
      </c>
      <c r="T12" s="1623"/>
      <c r="U12" s="1623"/>
      <c r="V12" s="1623"/>
      <c r="W12" s="1623" t="s">
        <v>850</v>
      </c>
      <c r="X12" s="1623"/>
      <c r="Y12" s="1623"/>
      <c r="Z12" s="1624"/>
      <c r="AA12" s="629"/>
      <c r="AB12" s="1625" t="s">
        <v>849</v>
      </c>
      <c r="AC12" s="1626"/>
      <c r="AD12" s="631" t="s">
        <v>858</v>
      </c>
    </row>
    <row r="13" spans="2:30" ht="28.8">
      <c r="B13" s="632" t="s">
        <v>1588</v>
      </c>
      <c r="C13" s="633" t="s">
        <v>847</v>
      </c>
      <c r="D13" s="633" t="s">
        <v>846</v>
      </c>
      <c r="E13" s="633" t="s">
        <v>845</v>
      </c>
      <c r="F13" s="633" t="s">
        <v>844</v>
      </c>
      <c r="G13" s="633" t="s">
        <v>843</v>
      </c>
      <c r="H13" s="633" t="s">
        <v>842</v>
      </c>
      <c r="I13" s="633" t="s">
        <v>841</v>
      </c>
      <c r="J13" s="633" t="s">
        <v>78</v>
      </c>
      <c r="K13" s="633" t="s">
        <v>840</v>
      </c>
      <c r="L13" s="633" t="s">
        <v>839</v>
      </c>
      <c r="M13" s="633" t="s">
        <v>838</v>
      </c>
      <c r="N13" s="633" t="s">
        <v>837</v>
      </c>
      <c r="O13" s="633" t="s">
        <v>840</v>
      </c>
      <c r="P13" s="633" t="s">
        <v>839</v>
      </c>
      <c r="Q13" s="633" t="s">
        <v>838</v>
      </c>
      <c r="R13" s="633" t="s">
        <v>837</v>
      </c>
      <c r="S13" s="633" t="s">
        <v>840</v>
      </c>
      <c r="T13" s="633" t="s">
        <v>839</v>
      </c>
      <c r="U13" s="633" t="s">
        <v>838</v>
      </c>
      <c r="V13" s="633" t="s">
        <v>837</v>
      </c>
      <c r="W13" s="633" t="s">
        <v>840</v>
      </c>
      <c r="X13" s="633" t="s">
        <v>839</v>
      </c>
      <c r="Y13" s="633" t="s">
        <v>838</v>
      </c>
      <c r="Z13" s="634" t="s">
        <v>837</v>
      </c>
      <c r="AA13" s="629"/>
      <c r="AB13" s="632" t="s">
        <v>791</v>
      </c>
      <c r="AC13" s="633" t="s">
        <v>1164</v>
      </c>
      <c r="AD13" s="634" t="s">
        <v>752</v>
      </c>
    </row>
    <row r="14" spans="2:30" ht="14.4">
      <c r="B14" s="562" t="s">
        <v>136</v>
      </c>
      <c r="C14" s="635"/>
      <c r="D14" s="635"/>
      <c r="E14" s="636"/>
      <c r="F14" s="563"/>
      <c r="G14" s="563"/>
      <c r="H14" s="563"/>
      <c r="I14" s="564"/>
      <c r="J14" s="565"/>
      <c r="K14" s="564"/>
      <c r="L14" s="564"/>
      <c r="M14" s="564"/>
      <c r="N14" s="566"/>
      <c r="O14" s="564"/>
      <c r="P14" s="564"/>
      <c r="Q14" s="564"/>
      <c r="R14" s="566"/>
      <c r="S14" s="564"/>
      <c r="T14" s="564"/>
      <c r="U14" s="564"/>
      <c r="V14" s="566"/>
      <c r="W14" s="564"/>
      <c r="X14" s="567"/>
      <c r="Y14" s="564"/>
      <c r="Z14" s="568"/>
      <c r="AA14" s="629"/>
      <c r="AB14" s="569"/>
      <c r="AC14" s="637"/>
      <c r="AD14" s="571"/>
    </row>
    <row r="15" spans="2:30" ht="14.4">
      <c r="B15" s="624" t="s">
        <v>134</v>
      </c>
      <c r="C15" s="638" t="s">
        <v>259</v>
      </c>
      <c r="D15" s="638" t="s">
        <v>259</v>
      </c>
      <c r="E15" s="639">
        <v>0.90</v>
      </c>
      <c r="F15" s="546">
        <f>IF($E54*$C$71*1000=0,"",$E54*$C$71*1000)</f>
        <v>1038358.8276612493</v>
      </c>
      <c r="G15" s="546">
        <f>IFERROR($F15*((1+$C$68)/(1+$C$67)*(1-((1+$C$68)/(1+$C$67))^$C77)/(1-((1+$C$68)/(1+$C$67)))),"")</f>
        <v>5550407.1710700653</v>
      </c>
      <c r="H15" s="547">
        <f>IFERROR(D27/(E54*1000),"")</f>
        <v>0.02829438487051298</v>
      </c>
      <c r="I15" s="548" t="s">
        <v>1456</v>
      </c>
      <c r="J15" s="549"/>
      <c r="K15" s="548"/>
      <c r="L15" s="548"/>
      <c r="M15" s="550"/>
      <c r="N15" s="551"/>
      <c r="O15" s="548">
        <f>IFERROR(($AB15*$E54*1000*$E15*((1+$C$70)/(1+$C$67)*(1-((1+$C$70)/(1+$C$67))^$C77)/(1-((1+$C$70)/(1+$C$67)))))+($G54*$AC15),"")</f>
        <v>1430188.9147497048</v>
      </c>
      <c r="P15" s="550">
        <f>IFERROR(-PV($C$67,$C77,($E27)),"")</f>
        <v>3296806.2184086051</v>
      </c>
      <c r="Q15" s="388">
        <f>IFERROR(IF(O15="","",O15-P15),"")</f>
        <v>-1866617.3036589003</v>
      </c>
      <c r="R15" s="387">
        <f>IFERROR(O15/P15,"")</f>
        <v>0.43381042742635584</v>
      </c>
      <c r="S15" s="550"/>
      <c r="T15" s="550"/>
      <c r="U15" s="550"/>
      <c r="V15" s="551"/>
      <c r="W15" s="548">
        <f>IFERROR(($AB15*$E54*($E15*1000)*((1+$C$70)/(1+$C$67)*(1-((1+$C$70)/(1+$C$67))^$C77)/(1-((1+$C$70)/(1+$C$67)))))+($AC15*$G54),"")</f>
        <v>1430188.9147497045</v>
      </c>
      <c r="X15" s="552">
        <f>IFERROR(($C27/($E54*1000))+G15+H15,"")</f>
        <v>5550407.2461514277</v>
      </c>
      <c r="Y15" s="388">
        <f>IFERROR(IF(W15="","",W15-X15),"")</f>
        <v>-4120218.3314017234</v>
      </c>
      <c r="Z15" s="387">
        <f>IFERROR(W15/X15,"")</f>
        <v>0.25767278891857476</v>
      </c>
      <c r="AA15" s="629"/>
      <c r="AB15" s="409">
        <f>IFERROR(VLOOKUP(ROUND($C77,0),'Seminole Avoided Cost'!$B$15:$Y$41,8,FALSE),"")</f>
        <v>0.03499</v>
      </c>
      <c r="AC15" s="640">
        <f>IFERROR(VLOOKUP(ROUND($C77,0),'Seminole Avoided Cost'!$B$15:$Y$41,24,FALSE),"")</f>
        <v>100.44</v>
      </c>
      <c r="AD15" s="554"/>
    </row>
    <row r="16" spans="2:30" ht="14.4">
      <c r="B16" s="624" t="s">
        <v>132</v>
      </c>
      <c r="C16" s="638" t="s">
        <v>259</v>
      </c>
      <c r="D16" s="638" t="s">
        <v>259</v>
      </c>
      <c r="E16" s="639">
        <v>0.90</v>
      </c>
      <c r="F16" s="546">
        <f>IF($E55*$C$72*1000=0,"",$E55*$C$72*1000)</f>
        <v>31716.322787132438</v>
      </c>
      <c r="G16" s="546">
        <f>IFERROR($F16*((1+$C$68)/(1+$C$67)*(1-((1+$C$68)/(1+$C$67))^$C78)/(1-((1+$C$68)/(1+$C$67)))),"")</f>
        <v>222668.55463657572</v>
      </c>
      <c r="H16" s="547">
        <f>IFERROR(D28/(E55*1000),"")</f>
        <v>0</v>
      </c>
      <c r="I16" s="548" t="s">
        <v>1456</v>
      </c>
      <c r="J16" s="549"/>
      <c r="K16" s="548"/>
      <c r="L16" s="548"/>
      <c r="M16" s="550"/>
      <c r="N16" s="551"/>
      <c r="O16" s="548">
        <f>IFERROR(($AB16*$E55*1000*$E16*((1+$C$70)/(1+$C$67)*(1-((1+$C$70)/(1+$C$67))^$C78)/(1-((1+$C$70)/(1+$C$67)))))+($G55*$AC16),"")</f>
        <v>69132.667734015762</v>
      </c>
      <c r="P16" s="550">
        <f>IFERROR(-PV($C$67,$C78,($E28)),"")</f>
        <v>56372.973318113305</v>
      </c>
      <c r="Q16" s="388">
        <f>IFERROR(IF(O16="","",O16-P16),"")</f>
        <v>12759.694415902457</v>
      </c>
      <c r="R16" s="387">
        <f>IFERROR(O16/P16,"")</f>
        <v>1.2263441799299704</v>
      </c>
      <c r="S16" s="550"/>
      <c r="T16" s="550"/>
      <c r="U16" s="550"/>
      <c r="V16" s="551"/>
      <c r="W16" s="548">
        <f>IFERROR(($AB16*$E55*($E16*1000)*((1+$C$70)/(1+$C$67)*(1-((1+$C$70)/(1+$C$67))^$C78)/(1-((1+$C$70)/(1+$C$67)))))+($AC16*$G55),"")</f>
        <v>69132.667734015762</v>
      </c>
      <c r="X16" s="552">
        <f>IFERROR(($C28/($E55*1000))+G16+H16,"")</f>
        <v>222668.58198860343</v>
      </c>
      <c r="Y16" s="388">
        <f>IFERROR(IF(W16="","",W16-X16),"")</f>
        <v>-153535.91425458767</v>
      </c>
      <c r="Z16" s="387">
        <f>IFERROR(W16/X16,"")</f>
        <v>0.31047338208474373</v>
      </c>
      <c r="AA16" s="629"/>
      <c r="AB16" s="409">
        <f>IFERROR(VLOOKUP(ROUND($C78,0),'Seminole Avoided Cost'!$B$15:$Y$41,8,FALSE),"")</f>
        <v>0.037269999999999998</v>
      </c>
      <c r="AC16" s="640">
        <f>IFERROR(VLOOKUP(ROUND($C78,0),'Seminole Avoided Cost'!$B$15:$Y$41,24,FALSE),"")</f>
        <v>106.91999999999999</v>
      </c>
      <c r="AD16" s="554"/>
    </row>
    <row r="17" spans="2:30" ht="14.4">
      <c r="B17" s="624" t="s">
        <v>130</v>
      </c>
      <c r="C17" s="638" t="s">
        <v>259</v>
      </c>
      <c r="D17" s="638" t="s">
        <v>259</v>
      </c>
      <c r="E17" s="639">
        <v>0.90</v>
      </c>
      <c r="F17" s="546">
        <f>IF($E56*$C$73*1000=0,"",$E56*$C$73*1000)</f>
        <v>444980.03977698088</v>
      </c>
      <c r="G17" s="546">
        <f>IFERROR($F17*((1+$C$68)/(1+$C$67)*(1-((1+$C$68)/(1+$C$67))^$C79)/(1-((1+$C$68)/(1+$C$67)))),"")</f>
        <v>1430814.7039494487</v>
      </c>
      <c r="H17" s="547">
        <f>IFERROR(D29/(E56*1000),"")</f>
        <v>0</v>
      </c>
      <c r="I17" s="548" t="s">
        <v>1456</v>
      </c>
      <c r="J17" s="549"/>
      <c r="K17" s="548"/>
      <c r="L17" s="548"/>
      <c r="M17" s="550"/>
      <c r="N17" s="551"/>
      <c r="O17" s="548">
        <f>IFERROR(($AB17*$E56*1000*$E17*((1+$C$70)/(1+$C$67)*(1-((1+$C$70)/(1+$C$67))^$C79)/(1-((1+$C$70)/(1+$C$67)))))+($G56*$AC17),"")</f>
        <v>6179305.9473476429</v>
      </c>
      <c r="P17" s="550">
        <f>IFERROR(-PV($C$67,$C79,($E29)),"")</f>
        <v>0</v>
      </c>
      <c r="Q17" s="388">
        <f>IFERROR(IF(O17="","",O17-P17),"")</f>
        <v>6179305.9473476429</v>
      </c>
      <c r="R17" s="387" t="str">
        <f>IFERROR(O17/P17,"")</f>
        <v/>
      </c>
      <c r="S17" s="550"/>
      <c r="T17" s="550"/>
      <c r="U17" s="550"/>
      <c r="V17" s="551"/>
      <c r="W17" s="548">
        <f>IFERROR(($AB17*$E56*($E17*1000)*((1+$C$70)/(1+$C$67)*(1-((1+$C$70)/(1+$C$67))^$C79)/(1-((1+$C$70)/(1+$C$67)))))+($AC17*$G56),"")</f>
        <v>6179305.9473476429</v>
      </c>
      <c r="X17" s="552">
        <f>IFERROR(($C29/($E56*1000))+G17+H17,"")</f>
        <v>1430814.7039494487</v>
      </c>
      <c r="Y17" s="388">
        <f>IFERROR(IF(W17="","",W17-X17),"")</f>
        <v>4748491.2433981942</v>
      </c>
      <c r="Z17" s="387">
        <f>IFERROR(W17/X17,"")</f>
        <v>4.3187324887639402</v>
      </c>
      <c r="AA17" s="629"/>
      <c r="AB17" s="409">
        <f>IFERROR(VLOOKUP(ROUND($C79,0),'Seminole Avoided Cost'!$B$15:$Y$41,8,FALSE),"")</f>
        <v>0.031</v>
      </c>
      <c r="AC17" s="640">
        <f>IFERROR(VLOOKUP(ROUND($C79,0),'Seminole Avoided Cost'!$B$15:$Y$41,24,FALSE),"")</f>
        <v>88.44</v>
      </c>
      <c r="AD17" s="554"/>
    </row>
    <row r="18" spans="2:30" ht="14.4">
      <c r="B18" s="625" t="s">
        <v>128</v>
      </c>
      <c r="C18" s="638" t="s">
        <v>259</v>
      </c>
      <c r="D18" s="638" t="s">
        <v>259</v>
      </c>
      <c r="E18" s="639">
        <v>0.90</v>
      </c>
      <c r="F18" s="546">
        <f>IF($E57*$C$73*1000=0,"",$E57*$C$73*1000)</f>
        <v>1474160.0313261054</v>
      </c>
      <c r="G18" s="546">
        <f>IFERROR($F18*((1+$C$68)/(1+$C$67)*(1-((1+$C$68)/(1+$C$67))^$C80)/(1-((1+$C$68)/(1+$C$67)))),"")</f>
        <v>7375848.6014916254</v>
      </c>
      <c r="H18" s="547">
        <f>IFERROR(D31/(E57*1000),"")</f>
        <v>0.019072048909048709</v>
      </c>
      <c r="I18" s="548" t="s">
        <v>1456</v>
      </c>
      <c r="J18" s="549"/>
      <c r="K18" s="548"/>
      <c r="L18" s="548"/>
      <c r="M18" s="550"/>
      <c r="N18" s="551"/>
      <c r="O18" s="548">
        <f>IFERROR(($AB18*$E57*1000*$E18*((1+$C$70)/(1+$C$67)*(1-((1+$C$70)/(1+$C$67))^$C80)/(1-((1+$C$70)/(1+$C$67)))))+($G57*$AC18),"")</f>
        <v>8264389.4617535742</v>
      </c>
      <c r="P18" s="550">
        <f>IFERROR(-PV($C$67,$C80,($E31)),"")</f>
        <v>3528361.9393859869</v>
      </c>
      <c r="Q18" s="388">
        <f>IFERROR(IF(O18="","",O18-P18),"")</f>
        <v>4736027.5223675873</v>
      </c>
      <c r="R18" s="387">
        <f>IFERROR(O18/P18,"")</f>
        <v>2.3422737246711605</v>
      </c>
      <c r="S18" s="550"/>
      <c r="T18" s="550"/>
      <c r="U18" s="550"/>
      <c r="V18" s="551"/>
      <c r="W18" s="548">
        <f>IFERROR(($AB18*$E57*($E18*1000)*((1+$C$70)/(1+$C$67)*(1-((1+$C$70)/(1+$C$67))^$C80)/(1-((1+$C$70)/(1+$C$67)))))+($AC18*$G57),"")</f>
        <v>8264389.4617535742</v>
      </c>
      <c r="X18" s="552">
        <f>IFERROR(($C30/($E57*1000))+G18+H18,"")</f>
        <v>7375848.6271610204</v>
      </c>
      <c r="Y18" s="388">
        <f>IFERROR(IF(W18="","",W18-X18),"")</f>
        <v>888540.83459255379</v>
      </c>
      <c r="Z18" s="387">
        <f>IFERROR(W18/X18,"")</f>
        <v>1.1204662513436849</v>
      </c>
      <c r="AA18" s="629"/>
      <c r="AB18" s="409">
        <f>IFERROR(VLOOKUP(ROUND($C80,0),'Seminole Avoided Cost'!$B$15:$Y$41,8,FALSE),"")</f>
        <v>0.033779999999999998</v>
      </c>
      <c r="AC18" s="640">
        <f>IFERROR(VLOOKUP(ROUND($C80,0),'Seminole Avoided Cost'!$B$15:$Y$41,24,FALSE),"")</f>
        <v>96.24</v>
      </c>
      <c r="AD18" s="554"/>
    </row>
    <row r="19" spans="2:30" ht="14.4">
      <c r="B19" s="555" t="s">
        <v>127</v>
      </c>
      <c r="C19" s="635"/>
      <c r="D19" s="635"/>
      <c r="E19" s="636"/>
      <c r="F19" s="556"/>
      <c r="G19" s="556"/>
      <c r="H19" s="556"/>
      <c r="I19" s="557"/>
      <c r="J19" s="558"/>
      <c r="K19" s="557"/>
      <c r="L19" s="557"/>
      <c r="M19" s="557"/>
      <c r="N19" s="559"/>
      <c r="O19" s="557"/>
      <c r="P19" s="557"/>
      <c r="Q19" s="557"/>
      <c r="R19" s="559"/>
      <c r="S19" s="557"/>
      <c r="T19" s="557"/>
      <c r="U19" s="557"/>
      <c r="V19" s="559"/>
      <c r="W19" s="557"/>
      <c r="X19" s="560"/>
      <c r="Y19" s="557"/>
      <c r="Z19" s="561"/>
      <c r="AA19" s="629"/>
      <c r="AB19" s="569"/>
      <c r="AC19" s="641"/>
      <c r="AD19" s="570"/>
    </row>
    <row r="20" spans="2:30" ht="14.4">
      <c r="B20" s="624" t="s">
        <v>126</v>
      </c>
      <c r="C20" s="638" t="s">
        <v>259</v>
      </c>
      <c r="D20" s="638" t="s">
        <v>259</v>
      </c>
      <c r="E20" s="639">
        <v>0.90</v>
      </c>
      <c r="F20" s="546" t="s">
        <v>259</v>
      </c>
      <c r="G20" s="546" t="s">
        <v>259</v>
      </c>
      <c r="H20" s="547" t="s">
        <v>259</v>
      </c>
      <c r="I20" s="548" t="s">
        <v>259</v>
      </c>
      <c r="J20" s="549" t="s">
        <v>259</v>
      </c>
      <c r="K20" s="548" t="s">
        <v>259</v>
      </c>
      <c r="L20" s="548" t="s">
        <v>259</v>
      </c>
      <c r="M20" s="550" t="s">
        <v>259</v>
      </c>
      <c r="N20" s="551" t="s">
        <v>259</v>
      </c>
      <c r="O20" s="548" t="s">
        <v>259</v>
      </c>
      <c r="P20" s="550" t="s">
        <v>259</v>
      </c>
      <c r="Q20" s="550" t="s">
        <v>259</v>
      </c>
      <c r="R20" s="551" t="s">
        <v>259</v>
      </c>
      <c r="S20" s="550" t="s">
        <v>259</v>
      </c>
      <c r="T20" s="550" t="s">
        <v>259</v>
      </c>
      <c r="U20" s="550" t="s">
        <v>259</v>
      </c>
      <c r="V20" s="551" t="s">
        <v>259</v>
      </c>
      <c r="W20" s="550" t="s">
        <v>259</v>
      </c>
      <c r="X20" s="552" t="s">
        <v>259</v>
      </c>
      <c r="Y20" s="550" t="s">
        <v>259</v>
      </c>
      <c r="Z20" s="553" t="s">
        <v>259</v>
      </c>
      <c r="AA20" s="629"/>
      <c r="AB20" s="409" t="str">
        <f>IFERROR(VLOOKUP(ROUND($C84,0),'Seminole Avoided Cost'!$B$15:$Y$41,8,FALSE),"")</f>
        <v/>
      </c>
      <c r="AC20" s="640" t="str">
        <f>IFERROR(VLOOKUP(ROUND($C84,0),'Seminole Avoided Cost'!$B$15:$Y$41,24,FALSE),"")</f>
        <v/>
      </c>
      <c r="AD20" s="554"/>
    </row>
    <row r="21" spans="2:30" ht="14.4">
      <c r="B21" s="624" t="s">
        <v>124</v>
      </c>
      <c r="C21" s="638" t="s">
        <v>259</v>
      </c>
      <c r="D21" s="638" t="s">
        <v>259</v>
      </c>
      <c r="E21" s="639">
        <v>0.90</v>
      </c>
      <c r="F21" s="546" t="s">
        <v>259</v>
      </c>
      <c r="G21" s="546" t="s">
        <v>259</v>
      </c>
      <c r="H21" s="547" t="s">
        <v>259</v>
      </c>
      <c r="I21" s="548" t="s">
        <v>259</v>
      </c>
      <c r="J21" s="549" t="s">
        <v>259</v>
      </c>
      <c r="K21" s="548" t="s">
        <v>259</v>
      </c>
      <c r="L21" s="548" t="s">
        <v>259</v>
      </c>
      <c r="M21" s="550" t="s">
        <v>259</v>
      </c>
      <c r="N21" s="551" t="s">
        <v>259</v>
      </c>
      <c r="O21" s="548" t="s">
        <v>259</v>
      </c>
      <c r="P21" s="550" t="s">
        <v>259</v>
      </c>
      <c r="Q21" s="550" t="s">
        <v>259</v>
      </c>
      <c r="R21" s="551" t="s">
        <v>259</v>
      </c>
      <c r="S21" s="550" t="s">
        <v>259</v>
      </c>
      <c r="T21" s="550" t="s">
        <v>259</v>
      </c>
      <c r="U21" s="550" t="s">
        <v>259</v>
      </c>
      <c r="V21" s="551" t="s">
        <v>259</v>
      </c>
      <c r="W21" s="550" t="s">
        <v>259</v>
      </c>
      <c r="X21" s="552" t="s">
        <v>259</v>
      </c>
      <c r="Y21" s="550" t="s">
        <v>259</v>
      </c>
      <c r="Z21" s="553" t="s">
        <v>259</v>
      </c>
      <c r="AA21" s="629"/>
      <c r="AB21" s="409">
        <f>IFERROR(VLOOKUP(ROUND($C85,0),'Seminole Avoided Cost'!$B$15:$Y$41,8,FALSE),"")</f>
        <v>0.0292</v>
      </c>
      <c r="AC21" s="640">
        <f>IFERROR(VLOOKUP(ROUND($C85,0),'Seminole Avoided Cost'!$B$15:$Y$41,24,FALSE),"")</f>
        <v>76.44</v>
      </c>
      <c r="AD21" s="554"/>
    </row>
    <row r="22" spans="2:30" ht="14.4">
      <c r="B22" s="625" t="s">
        <v>1591</v>
      </c>
      <c r="C22" s="638" t="s">
        <v>259</v>
      </c>
      <c r="D22" s="638" t="s">
        <v>259</v>
      </c>
      <c r="E22" s="639">
        <v>0.90</v>
      </c>
      <c r="F22" s="546" t="s">
        <v>259</v>
      </c>
      <c r="G22" s="546" t="s">
        <v>259</v>
      </c>
      <c r="H22" s="547" t="s">
        <v>259</v>
      </c>
      <c r="I22" s="548" t="s">
        <v>259</v>
      </c>
      <c r="J22" s="549" t="s">
        <v>259</v>
      </c>
      <c r="K22" s="548" t="s">
        <v>259</v>
      </c>
      <c r="L22" s="548" t="s">
        <v>259</v>
      </c>
      <c r="M22" s="550" t="s">
        <v>259</v>
      </c>
      <c r="N22" s="551" t="s">
        <v>259</v>
      </c>
      <c r="O22" s="548" t="s">
        <v>259</v>
      </c>
      <c r="P22" s="550" t="s">
        <v>259</v>
      </c>
      <c r="Q22" s="550" t="s">
        <v>259</v>
      </c>
      <c r="R22" s="551" t="s">
        <v>259</v>
      </c>
      <c r="S22" s="550" t="s">
        <v>259</v>
      </c>
      <c r="T22" s="550" t="s">
        <v>259</v>
      </c>
      <c r="U22" s="550" t="s">
        <v>259</v>
      </c>
      <c r="V22" s="551" t="s">
        <v>259</v>
      </c>
      <c r="W22" s="550" t="s">
        <v>259</v>
      </c>
      <c r="X22" s="552" t="s">
        <v>259</v>
      </c>
      <c r="Y22" s="550" t="s">
        <v>259</v>
      </c>
      <c r="Z22" s="553" t="s">
        <v>259</v>
      </c>
      <c r="AA22" s="629"/>
      <c r="AB22" s="409">
        <f>IFERROR(VLOOKUP(ROUND($C86,0),'Seminole Avoided Cost'!$B$15:$Y$41,8,FALSE),"")</f>
        <v>0.0292</v>
      </c>
      <c r="AC22" s="640">
        <f>IFERROR(VLOOKUP(ROUND($C86,0),'Seminole Avoided Cost'!$B$15:$Y$41,24,FALSE),"")</f>
        <v>76.44</v>
      </c>
      <c r="AD22" s="554"/>
    </row>
    <row r="23" spans="2:30" ht="15" thickBot="1">
      <c r="B23" s="401"/>
      <c r="C23" s="402"/>
      <c r="D23" s="402"/>
      <c r="E23" s="402"/>
      <c r="F23" s="403"/>
      <c r="G23" s="403"/>
      <c r="H23" s="403"/>
      <c r="I23" s="404"/>
      <c r="J23" s="405"/>
      <c r="K23" s="404"/>
      <c r="L23" s="404"/>
      <c r="M23" s="404"/>
      <c r="N23" s="406"/>
      <c r="O23" s="404"/>
      <c r="P23" s="404"/>
      <c r="Q23" s="404"/>
      <c r="R23" s="406"/>
      <c r="S23" s="404"/>
      <c r="T23" s="404"/>
      <c r="U23" s="404"/>
      <c r="V23" s="406"/>
      <c r="W23" s="404"/>
      <c r="X23" s="404"/>
      <c r="Y23" s="404"/>
      <c r="Z23" s="407"/>
      <c r="AA23" s="629"/>
      <c r="AB23" s="411"/>
      <c r="AC23" s="491"/>
      <c r="AD23" s="412"/>
    </row>
    <row r="24" ht="14.4"/>
    <row r="25" spans="2:5" ht="28.8">
      <c r="B25" s="653" t="s">
        <v>1578</v>
      </c>
      <c r="C25" s="642" t="s">
        <v>1473</v>
      </c>
      <c r="D25" s="643" t="s">
        <v>87</v>
      </c>
      <c r="E25" s="642" t="s">
        <v>86</v>
      </c>
    </row>
    <row r="26" spans="2:5" ht="14.4">
      <c r="B26" s="582" t="s">
        <v>136</v>
      </c>
      <c r="C26" s="644"/>
      <c r="D26" s="644"/>
      <c r="E26" s="644"/>
    </row>
    <row r="27" spans="2:5" ht="14.4">
      <c r="B27" s="209" t="s">
        <v>134</v>
      </c>
      <c r="C27" s="207">
        <f>SUM('Seminole 2015'!B8,'Talquin 2015'!B8,'Tri-County 2015'!B8,'Suwannee 2015'!B8,'Clay 2015 without Resizing'!B8,'Central Florida 2015'!B8,'Sumter 2015'!B8,'Withlacoochee 2015'!B8,'Peace River 2015'!B8,'Glades 2015'!B8)</f>
        <v>384334.06815104518</v>
      </c>
      <c r="D27" s="207">
        <f>SUM('Seminole 2015'!C8,'Talquin 2015'!C8,'Tri-County 2015'!C8,'Suwannee 2015'!C8,'Clay 2015 without Resizing'!C8,'Central Florida 2015'!C8,'Sumter 2015'!C8,'Withlacoochee 2015'!C8,'Peace River 2015'!C8,'Glades 2015'!C8)</f>
        <v>232425.70</v>
      </c>
      <c r="E27" s="207">
        <f>SUM('Seminole 2015'!D8,'Talquin 2015'!D8,'Tri-County 2015'!D8,'Suwannee 2015'!D8,'Clay 2015 without Resizing'!D8,'Central Florida 2015'!D8,'Sumter 2015'!D8,'Withlacoochee 2015'!D8,'Peace River 2015'!D8,'Glades 2015'!D8)</f>
        <v>616759.76815104519</v>
      </c>
    </row>
    <row r="28" spans="2:5" ht="14.4">
      <c r="B28" s="209" t="s">
        <v>132</v>
      </c>
      <c r="C28" s="207">
        <f>SUM('Seminole 2015'!B9,'Talquin 2015'!B9,'Tri-County 2015'!B9,'Suwannee 2015'!B9,'Clay 2015 without Resizing'!B9,'Central Florida 2015'!B9,'Sumter 2015'!B9,'Withlacoochee 2015'!B9,'Peace River 2015'!B9,'Glades 2015'!B9)</f>
        <v>8029.6179276227022</v>
      </c>
      <c r="D28" s="207">
        <f>SUM('Seminole 2015'!C9,'Talquin 2015'!C9,'Tri-County 2015'!C9,'Suwannee 2015'!C9,'Clay 2015 without Resizing'!C9,'Central Florida 2015'!C9,'Sumter 2015'!C9,'Withlacoochee 2015'!C9,'Peace River 2015'!C9,'Glades 2015'!C9)</f>
        <v>0</v>
      </c>
      <c r="E28" s="207">
        <f>SUM('Seminole 2015'!D9,'Talquin 2015'!D9,'Tri-County 2015'!D9,'Suwannee 2015'!D9,'Clay 2015 without Resizing'!D9,'Central Florida 2015'!D9,'Sumter 2015'!D9,'Withlacoochee 2015'!D9,'Peace River 2015'!D9,'Glades 2015'!D9)</f>
        <v>8029.6179276227022</v>
      </c>
    </row>
    <row r="29" spans="2:5" ht="14.4">
      <c r="B29" s="209" t="s">
        <v>130</v>
      </c>
      <c r="C29" s="207">
        <f>SUM('Seminole 2015'!B10,'Talquin 2015'!B10,'Tri-County 2015'!B10,'Suwannee 2015'!B10,'Clay 2015 without Resizing'!B10,'Central Florida 2015'!B10,'Sumter 2015'!B10,'Withlacoochee 2015'!B10,'Peace River 2015'!B10,'Glades 2015'!B10)</f>
        <v>0</v>
      </c>
      <c r="D29" s="207">
        <f>SUM('Seminole 2015'!C10,'Talquin 2015'!C10,'Tri-County 2015'!C10,'Suwannee 2015'!C10,'Clay 2015 without Resizing'!C10,'Central Florida 2015'!C10,'Sumter 2015'!C10,'Withlacoochee 2015'!C10,'Peace River 2015'!C10,'Glades 2015'!C10)</f>
        <v>0</v>
      </c>
      <c r="E29" s="207">
        <f>SUM('Seminole 2015'!D10,'Talquin 2015'!D10,'Tri-County 2015'!D10,'Suwannee 2015'!D10,'Clay 2015 without Resizing'!D10,'Central Florida 2015'!D10,'Sumter 2015'!D10,'Withlacoochee 2015'!D10,'Peace River 2015'!D10,'Glades 2015'!D10)</f>
        <v>0</v>
      </c>
    </row>
    <row r="30" spans="2:5" ht="14.4">
      <c r="B30" s="209" t="s">
        <v>129</v>
      </c>
      <c r="C30" s="536">
        <f>SUM('Seminole 2015'!B11,'Talquin 2015'!B11,'Tri-County 2015'!B11,'Suwannee 2015'!B11,'Clay 2015 without Resizing'!B11,'Central Florida 2015'!B11,'Sumter 2015'!B11,'Withlacoochee 2015'!B11,'Peace River 2015'!B11,'Glades 2015'!B11)</f>
        <v>80400</v>
      </c>
      <c r="D30" s="207">
        <f>SUM('Seminole 2015'!C11,'Talquin 2015'!C11,'Tri-County 2015'!C11,'Suwannee 2015'!C11,'Clay 2015 without Resizing'!C11,'Central Florida 2015'!C11,'Sumter 2015'!C11,'Withlacoochee 2015'!C11,'Peace River 2015'!C11,'Glades 2015'!C11)</f>
        <v>0</v>
      </c>
      <c r="E30" s="207">
        <f>SUM('Seminole 2015'!D11,'Talquin 2015'!D11,'Tri-County 2015'!D11,'Suwannee 2015'!D11,'Clay 2015 without Resizing'!D11,'Central Florida 2015'!D11,'Sumter 2015'!D11,'Withlacoochee 2015'!D11,'Peace River 2015'!D11,'Glades 2015'!D11)</f>
        <v>80400</v>
      </c>
    </row>
    <row r="31" spans="2:5" ht="14.4">
      <c r="B31" s="537" t="s">
        <v>128</v>
      </c>
      <c r="C31" s="538">
        <f>SUM('Seminole 2015'!B12,'Talquin 2015'!B12,'Tri-County 2015'!B12,'Suwannee 2015'!B12,'Clay 2015 without Resizing'!B12,'Central Florida 2015'!B12,'Sumter 2015'!B12,'Withlacoochee 2015'!B12,'Peace River 2015'!B12,'Glades 2015'!B12)</f>
        <v>472763.68607866787</v>
      </c>
      <c r="D31" s="538">
        <f>SUM('Seminole 2015'!C12,'Talquin 2015'!C12,'Tri-County 2015'!C12,'Suwannee 2015'!C12,'Clay 2015 without Resizing'!C12,'Central Florida 2015'!C12,'Sumter 2015'!C12,'Withlacoochee 2015'!C12,'Peace River 2015'!C12,'Glades 2015'!C12)</f>
        <v>232425.70</v>
      </c>
      <c r="E31" s="538">
        <f>SUM('Seminole 2015'!D12,'Talquin 2015'!D12,'Tri-County 2015'!D12,'Suwannee 2015'!D12,'Clay 2015 without Resizing'!D12,'Central Florida 2015'!D12,'Sumter 2015'!D12,'Withlacoochee 2015'!D12,'Peace River 2015'!D12,'Glades 2015'!D12)</f>
        <v>705189.38607866783</v>
      </c>
    </row>
    <row r="32" spans="2:5" ht="14.4">
      <c r="B32" s="583" t="s">
        <v>127</v>
      </c>
      <c r="C32" s="539"/>
      <c r="D32" s="539"/>
      <c r="E32" s="539"/>
    </row>
    <row r="33" spans="2:5" ht="14.4">
      <c r="B33" s="209" t="s">
        <v>126</v>
      </c>
      <c r="C33" s="207">
        <f>SUM('Seminole 2015'!B14,'Talquin 2015'!B14,'Tri-County 2015'!B14,'Suwannee 2015'!B14,'Clay 2015 without Resizing'!B14,'Central Florida 2015'!B14,'Sumter 2015'!B14,'Withlacoochee 2015'!B14,'Peace River 2015'!B14,'Glades 2015'!B14)</f>
        <v>0</v>
      </c>
      <c r="D33" s="207">
        <f>SUM('Seminole 2015'!C14,'Talquin 2015'!C14,'Tri-County 2015'!C14,'Suwannee 2015'!C14,'Clay 2015 without Resizing'!C14,'Central Florida 2015'!C14,'Sumter 2015'!C14,'Withlacoochee 2015'!C14,'Peace River 2015'!C14,'Glades 2015'!C14)</f>
        <v>0</v>
      </c>
      <c r="E33" s="207">
        <f>SUM('Seminole 2015'!D14,'Talquin 2015'!D14,'Tri-County 2015'!D14,'Suwannee 2015'!D14,'Clay 2015 without Resizing'!D14,'Central Florida 2015'!D14,'Sumter 2015'!D14,'Withlacoochee 2015'!D14,'Peace River 2015'!D14,'Glades 2015'!D14)</f>
        <v>0</v>
      </c>
    </row>
    <row r="34" spans="2:5" ht="14.4">
      <c r="B34" s="209" t="s">
        <v>124</v>
      </c>
      <c r="C34" s="207">
        <f>SUM('Seminole 2015'!B15,'Talquin 2015'!B15,'Tri-County 2015'!B15,'Suwannee 2015'!B15,'Clay 2015 without Resizing'!B15,'Central Florida 2015'!B15,'Sumter 2015'!B15,'Withlacoochee 2015'!B15,'Peace River 2015'!B15,'Glades 2015'!B15)</f>
        <v>0</v>
      </c>
      <c r="D34" s="207">
        <f>SUM('Seminole 2015'!C15,'Talquin 2015'!C15,'Tri-County 2015'!C15,'Suwannee 2015'!C15,'Clay 2015 without Resizing'!C15,'Central Florida 2015'!C15,'Sumter 2015'!C15,'Withlacoochee 2015'!C15,'Peace River 2015'!C15,'Glades 2015'!C15)</f>
        <v>0</v>
      </c>
      <c r="E34" s="207">
        <f>SUM('Seminole 2015'!D15,'Talquin 2015'!D15,'Tri-County 2015'!D15,'Suwannee 2015'!D15,'Clay 2015 without Resizing'!D15,'Central Florida 2015'!D15,'Sumter 2015'!D15,'Withlacoochee 2015'!D15,'Peace River 2015'!D15,'Glades 2015'!D15)</f>
        <v>0</v>
      </c>
    </row>
    <row r="35" spans="2:5" ht="14.4">
      <c r="B35" s="537" t="s">
        <v>123</v>
      </c>
      <c r="C35" s="207">
        <f>SUM('Seminole 2015'!B16,'Talquin 2015'!B16,'Tri-County 2015'!B16,'Suwannee 2015'!B16,'Clay 2015 without Resizing'!B16,'Central Florida 2015'!B16,'Sumter 2015'!B16,'Withlacoochee 2015'!B16,'Peace River 2015'!B16,'Glades 2015'!B16)</f>
        <v>0</v>
      </c>
      <c r="D35" s="207">
        <f>SUM('Seminole 2015'!C16,'Talquin 2015'!C16,'Tri-County 2015'!C16,'Suwannee 2015'!C16,'Clay 2015 without Resizing'!C16,'Central Florida 2015'!C16,'Sumter 2015'!C16,'Withlacoochee 2015'!C16,'Peace River 2015'!C16,'Glades 2015'!C16)</f>
        <v>0</v>
      </c>
      <c r="E35" s="207">
        <f>SUM('Seminole 2015'!D16,'Talquin 2015'!D16,'Tri-County 2015'!D16,'Suwannee 2015'!D16,'Clay 2015 without Resizing'!D16,'Central Florida 2015'!D16,'Sumter 2015'!D16,'Withlacoochee 2015'!D16,'Peace River 2015'!D16,'Glades 2015'!D16)</f>
        <v>0</v>
      </c>
    </row>
    <row r="36" spans="2:5" ht="14.4">
      <c r="B36" s="645" t="s">
        <v>1591</v>
      </c>
      <c r="C36" s="646">
        <f>SUM(C31,C35)</f>
        <v>472763.68607866787</v>
      </c>
      <c r="D36" s="646">
        <f>SUM(D31,D35)</f>
        <v>232425.70</v>
      </c>
      <c r="E36" s="646">
        <f>SUM(E31,E35)</f>
        <v>705189.38607866783</v>
      </c>
    </row>
    <row r="37" ht="14.4"/>
    <row r="38" ht="14.4">
      <c r="B38" s="281" t="s">
        <v>1454</v>
      </c>
    </row>
    <row r="39" spans="2:7" ht="28.8">
      <c r="B39" s="1645" t="s">
        <v>1579</v>
      </c>
      <c r="C39" s="1645"/>
      <c r="D39" s="1645"/>
      <c r="E39" s="647" t="s">
        <v>80</v>
      </c>
      <c r="F39" s="647" t="s">
        <v>79</v>
      </c>
      <c r="G39" s="648" t="s">
        <v>95</v>
      </c>
    </row>
    <row r="40" spans="2:7" ht="14.4">
      <c r="B40" s="1644" t="s">
        <v>136</v>
      </c>
      <c r="C40" s="1644"/>
      <c r="D40" s="1644"/>
      <c r="E40" s="644"/>
      <c r="F40" s="644"/>
      <c r="G40" s="644"/>
    </row>
    <row r="41" spans="2:7" ht="14.4">
      <c r="B41" s="1646" t="s">
        <v>134</v>
      </c>
      <c r="C41" s="1647"/>
      <c r="D41" s="1648"/>
      <c r="E41" s="211">
        <f>SUM('Seminole 2015'!I8,'Talquin 2015'!I8,'Tri-County 2015'!I8,'Suwannee 2015'!I8,'Clay 2015 without Resizing'!I8,'Central Florida 2015'!I8,'Sumter 2015'!I8,'Withlacoochee 2015'!I8,'Peace River 2015'!I8,'Glades 2015'!I8)</f>
        <v>7788.6285433059174</v>
      </c>
      <c r="F41" s="211">
        <f>SUM('Seminole 2015'!J8,'Talquin 2015'!J8,'Tri-County 2015'!J8,'Suwannee 2015'!J8,'Clay 2015 without Resizing'!J8,'Central Florida 2015'!J8,'Sumter 2015'!J8,'Withlacoochee 2015'!J8,'Peace River 2015'!J8,'Glades 2015'!J8)</f>
        <v>19941.796385524773</v>
      </c>
      <c r="G41" s="211">
        <f>SUM('Seminole 2015'!K8,'Talquin 2015'!K8,'Tri-County 2015'!K8,'Suwannee 2015'!K8,'Clay 2015 without Resizing'!K8,'Central Florida 2015'!K8,'Sumter 2015'!K8,'Withlacoochee 2015'!K8,'Peace River 2015'!K8,'Glades 2015'!K8)</f>
        <v>435.88694772373111</v>
      </c>
    </row>
    <row r="42" spans="2:7" ht="14.4">
      <c r="B42" s="1646" t="s">
        <v>132</v>
      </c>
      <c r="C42" s="1647"/>
      <c r="D42" s="1648"/>
      <c r="E42" s="211">
        <f>SUM('Seminole 2015'!I9,'Talquin 2015'!I9,'Tri-County 2015'!I9,'Suwannee 2015'!I9,'Clay 2015 without Resizing'!I9,'Central Florida 2015'!I9,'Sumter 2015'!I9,'Withlacoochee 2015'!I9,'Peace River 2015'!I9,'Glades 2015'!I9)</f>
        <v>278.34437800000001</v>
      </c>
      <c r="F42" s="211">
        <f>SUM('Seminole 2015'!J9,'Talquin 2015'!J9,'Tri-County 2015'!J9,'Suwannee 2015'!J9,'Clay 2015 without Resizing'!J9,'Central Florida 2015'!J9,'Sumter 2015'!J9,'Withlacoochee 2015'!J9,'Peace River 2015'!J9,'Glades 2015'!J9)</f>
        <v>3442.2999999999997</v>
      </c>
      <c r="G42" s="211">
        <f>SUM('Seminole 2015'!K9,'Talquin 2015'!K9,'Tri-County 2015'!K9,'Suwannee 2015'!K9,'Clay 2015 without Resizing'!K9,'Central Florida 2015'!K9,'Sumter 2015'!K9,'Withlacoochee 2015'!K9,'Peace River 2015'!K9,'Glades 2015'!K9)</f>
        <v>0</v>
      </c>
    </row>
    <row r="43" spans="2:7" ht="14.4">
      <c r="B43" s="1646" t="s">
        <v>130</v>
      </c>
      <c r="C43" s="1647"/>
      <c r="D43" s="1648"/>
      <c r="E43" s="211">
        <f>SUM('Seminole 2015'!I10,'Talquin 2015'!I10,'Tri-County 2015'!I10,'Suwannee 2015'!I10,'Clay 2015 without Resizing'!I10,'Central Florida 2015'!I10,'Sumter 2015'!I10,'Withlacoochee 2015'!I10,'Peace River 2015'!I10,'Glades 2015'!I10)</f>
        <v>3218.1271157245401</v>
      </c>
      <c r="F43" s="211">
        <f>SUM('Seminole 2015'!J10,'Talquin 2015'!J10,'Tri-County 2015'!J10,'Suwannee 2015'!J10,'Clay 2015 without Resizing'!J10,'Central Florida 2015'!J10,'Sumter 2015'!J10,'Withlacoochee 2015'!J10,'Peace River 2015'!J10,'Glades 2015'!J10)</f>
        <v>8743.5684140364901</v>
      </c>
      <c r="G43" s="211">
        <f>SUM('Seminole 2015'!K10,'Talquin 2015'!K10,'Tri-County 2015'!K10,'Suwannee 2015'!K10,'Clay 2015 without Resizing'!K10,'Central Florida 2015'!K10,'Sumter 2015'!K10,'Withlacoochee 2015'!K10,'Peace River 2015'!K10,'Glades 2015'!K10)</f>
        <v>61041.300989290925</v>
      </c>
    </row>
    <row r="44" spans="2:7" ht="14.4">
      <c r="B44" s="1649" t="s">
        <v>128</v>
      </c>
      <c r="C44" s="1650"/>
      <c r="D44" s="1651"/>
      <c r="E44" s="540">
        <f>SUM('Seminole 2015'!I11,'Talquin 2015'!I11,'Tri-County 2015'!I11,'Suwannee 2015'!I11,'Clay 2015 without Resizing'!I11,'Central Florida 2015'!I11,'Sumter 2015'!I11,'Withlacoochee 2015'!I11,'Peace River 2015'!I11,'Glades 2015'!I11)</f>
        <v>11285.100037030456</v>
      </c>
      <c r="F44" s="540">
        <f>SUM('Seminole 2015'!J11,'Talquin 2015'!J11,'Tri-County 2015'!J11,'Suwannee 2015'!J11,'Clay 2015 without Resizing'!J11,'Central Florida 2015'!J11,'Sumter 2015'!J11,'Withlacoochee 2015'!J11,'Peace River 2015'!J11,'Glades 2015'!J11)</f>
        <v>32127.664799561266</v>
      </c>
      <c r="G44" s="540">
        <f>SUM('Seminole 2015'!K11,'Talquin 2015'!K11,'Tri-County 2015'!K11,'Suwannee 2015'!K11,'Clay 2015 without Resizing'!K11,'Central Florida 2015'!K11,'Sumter 2015'!K11,'Withlacoochee 2015'!K11,'Peace River 2015'!K11,'Glades 2015'!K11)</f>
        <v>61477.187937014663</v>
      </c>
    </row>
    <row r="45" spans="2:7" ht="14.4">
      <c r="B45" s="1661" t="s">
        <v>127</v>
      </c>
      <c r="C45" s="1662"/>
      <c r="D45" s="1663"/>
      <c r="E45" s="541"/>
      <c r="F45" s="541"/>
      <c r="G45" s="541"/>
    </row>
    <row r="46" spans="2:7" ht="14.4">
      <c r="B46" s="1646" t="s">
        <v>126</v>
      </c>
      <c r="C46" s="1647"/>
      <c r="D46" s="1648"/>
      <c r="E46" s="211">
        <f>SUM('Seminole 2015'!I13,'Talquin 2015'!I13,'Tri-County 2015'!I13,'Suwannee 2015'!I13,'Clay 2015 without Resizing'!I13,'Central Florida 2015'!I13,'Sumter 2015'!I13,'Withlacoochee 2015'!I13,'Peace River 2015'!I13,'Glades 2015'!I13)</f>
        <v>0</v>
      </c>
      <c r="F46" s="211">
        <f>SUM('Seminole 2015'!J13,'Talquin 2015'!J13,'Tri-County 2015'!J13,'Suwannee 2015'!J13,'Clay 2015 without Resizing'!J13,'Central Florida 2015'!J13,'Sumter 2015'!J13,'Withlacoochee 2015'!J13,'Peace River 2015'!J13,'Glades 2015'!J13)</f>
        <v>0</v>
      </c>
      <c r="G46" s="211">
        <f>SUM('Seminole 2015'!K13,'Talquin 2015'!K13,'Tri-County 2015'!K13,'Suwannee 2015'!K13,'Clay 2015 without Resizing'!K13,'Central Florida 2015'!K13,'Sumter 2015'!K13,'Withlacoochee 2015'!K13,'Peace River 2015'!K13,'Glades 2015'!K13)</f>
        <v>0</v>
      </c>
    </row>
    <row r="47" spans="2:7" ht="14.4">
      <c r="B47" s="1646" t="s">
        <v>125</v>
      </c>
      <c r="C47" s="1647"/>
      <c r="D47" s="1648"/>
      <c r="E47" s="211">
        <f>SUM('Seminole 2015'!I14,'Talquin 2015'!I14,'Tri-County 2015'!I14,'Suwannee 2015'!I14,'Clay 2015 without Resizing'!I14,'Central Florida 2015'!I14,'Sumter 2015'!I14,'Withlacoochee 2015'!I14,'Peace River 2015'!I14,'Glades 2015'!I14)</f>
        <v>158</v>
      </c>
      <c r="F47" s="211">
        <f>SUM('Seminole 2015'!J14,'Talquin 2015'!J14,'Tri-County 2015'!J14,'Suwannee 2015'!J14,'Clay 2015 without Resizing'!J14,'Central Florida 2015'!J14,'Sumter 2015'!J14,'Withlacoochee 2015'!J14,'Peace River 2015'!J14,'Glades 2015'!J14)</f>
        <v>158</v>
      </c>
      <c r="G47" s="211">
        <f>SUM('Seminole 2015'!K14,'Talquin 2015'!K14,'Tri-County 2015'!K14,'Suwannee 2015'!K14,'Clay 2015 without Resizing'!K14,'Central Florida 2015'!K14,'Sumter 2015'!K14,'Withlacoochee 2015'!K14,'Peace River 2015'!K14,'Glades 2015'!K14)</f>
        <v>17000</v>
      </c>
    </row>
    <row r="48" spans="2:7" ht="14.4">
      <c r="B48" s="1649" t="s">
        <v>123</v>
      </c>
      <c r="C48" s="1650"/>
      <c r="D48" s="1651"/>
      <c r="E48" s="211">
        <f>SUM('Seminole 2015'!I15,'Talquin 2015'!I15,'Tri-County 2015'!I15,'Suwannee 2015'!I15,'Clay 2015 without Resizing'!I15,'Central Florida 2015'!I15,'Sumter 2015'!I15,'Withlacoochee 2015'!I15,'Peace River 2015'!I15,'Glades 2015'!I15)</f>
        <v>158</v>
      </c>
      <c r="F48" s="211">
        <f>SUM('Seminole 2015'!J15,'Talquin 2015'!J15,'Tri-County 2015'!J15,'Suwannee 2015'!J15,'Clay 2015 without Resizing'!J15,'Central Florida 2015'!J15,'Sumter 2015'!J15,'Withlacoochee 2015'!J15,'Peace River 2015'!J15,'Glades 2015'!J15)</f>
        <v>158</v>
      </c>
      <c r="G48" s="211">
        <f>SUM('Seminole 2015'!K15,'Talquin 2015'!K15,'Tri-County 2015'!K15,'Suwannee 2015'!K15,'Clay 2015 without Resizing'!K15,'Central Florida 2015'!K15,'Sumter 2015'!K15,'Withlacoochee 2015'!K15,'Peace River 2015'!K15,'Glades 2015'!K15)</f>
        <v>17000</v>
      </c>
    </row>
    <row r="49" spans="2:7" ht="14.4">
      <c r="B49" s="1652" t="s">
        <v>1590</v>
      </c>
      <c r="C49" s="1653"/>
      <c r="D49" s="1654"/>
      <c r="E49" s="649">
        <f>SUM(E44,E48)</f>
        <v>11443.100037030456</v>
      </c>
      <c r="F49" s="649">
        <f>SUM(F44,F48)</f>
        <v>32285.664799561266</v>
      </c>
      <c r="G49" s="649">
        <f>SUM(G44,G48)</f>
        <v>78477.187937014663</v>
      </c>
    </row>
    <row r="50" spans="5:7" ht="14.4">
      <c r="E50" s="649">
        <f>'Save Spend Summary'!C16</f>
        <v>11443.100037030456</v>
      </c>
      <c r="F50" s="649">
        <f>'Save Spend Summary'!D16</f>
        <v>32285.664799561258</v>
      </c>
      <c r="G50" s="649">
        <f>'Save Spend Summary'!E16</f>
        <v>78477.187937014678</v>
      </c>
    </row>
    <row r="51" ht="14.4">
      <c r="B51" s="281" t="s">
        <v>1455</v>
      </c>
    </row>
    <row r="52" spans="2:7" ht="28.8">
      <c r="B52" s="1655" t="s">
        <v>1579</v>
      </c>
      <c r="C52" s="1656"/>
      <c r="D52" s="1657"/>
      <c r="E52" s="647" t="s">
        <v>80</v>
      </c>
      <c r="F52" s="647" t="s">
        <v>79</v>
      </c>
      <c r="G52" s="648" t="s">
        <v>95</v>
      </c>
    </row>
    <row r="53" spans="2:7" ht="14.4">
      <c r="B53" s="1658" t="s">
        <v>136</v>
      </c>
      <c r="C53" s="1659"/>
      <c r="D53" s="1660"/>
      <c r="E53" s="644"/>
      <c r="F53" s="644"/>
      <c r="G53" s="644"/>
    </row>
    <row r="54" spans="2:8" ht="14.4">
      <c r="B54" s="1635" t="s">
        <v>134</v>
      </c>
      <c r="C54" s="1635"/>
      <c r="D54" s="1635"/>
      <c r="E54" s="211">
        <f>E41*(('Save Spend Summary'!$C$30-'Save Spend Summary'!$C$29)/'Portfolio Cost Effectiveness'!$E$49)</f>
        <v>8214.5521474906727</v>
      </c>
      <c r="F54" s="211">
        <f>F41*(('Save Spend Summary'!$D$30-'Save Spend Summary'!$D$29)/'Portfolio Cost Effectiveness'!$F$49)</f>
        <v>18224.514525514634</v>
      </c>
      <c r="G54" s="211">
        <f>G41*(('Save Spend Summary'!$E$30-'Save Spend Summary'!$E$29)/'Portfolio Cost Effectiveness'!$G$49)</f>
        <v>472.18228199349255</v>
      </c>
      <c r="H54" s="354"/>
    </row>
    <row r="55" spans="2:8" ht="14.4">
      <c r="B55" s="1635" t="s">
        <v>132</v>
      </c>
      <c r="C55" s="1635"/>
      <c r="D55" s="1635"/>
      <c r="E55" s="211">
        <f>E42*(('Save Spend Summary'!$C$30-'Save Spend Summary'!$C$29)/'Portfolio Cost Effectiveness'!$E$49)</f>
        <v>293.56572794924324</v>
      </c>
      <c r="F55" s="211">
        <f>F42*(('Save Spend Summary'!$D$30-'Save Spend Summary'!$D$29)/'Portfolio Cost Effectiveness'!$F$49)</f>
        <v>3145.8673601098526</v>
      </c>
      <c r="G55" s="211">
        <f>G42*(('Save Spend Summary'!$E$30-'Save Spend Summary'!$E$29)/'Portfolio Cost Effectiveness'!$G$49)</f>
        <v>0</v>
      </c>
      <c r="H55" s="354"/>
    </row>
    <row r="56" spans="2:8" ht="14.4">
      <c r="B56" s="1635" t="s">
        <v>130</v>
      </c>
      <c r="C56" s="1635"/>
      <c r="D56" s="1635"/>
      <c r="E56" s="211">
        <f>(E43*(('Save Spend Summary'!$C$30-'Save Spend Summary'!$C$29)/'Portfolio Cost Effectiveness'!$E$49))+'Save Spend Summary'!$C$29</f>
        <v>3678.6010821507371</v>
      </c>
      <c r="F56" s="211">
        <f>F43*(('Save Spend Summary'!$D$30-'Save Spend Summary'!$D$29)/'Portfolio Cost Effectiveness'!$F$49)+'Save Spend Summary'!$D$29</f>
        <v>12963.920517432456</v>
      </c>
      <c r="G56" s="211">
        <f>G43*(('Save Spend Summary'!$E$30-'Save Spend Summary'!$E$29)/'Portfolio Cost Effectiveness'!$G$49)+'Save Spend Summary'!$E$29</f>
        <v>66138.556365145865</v>
      </c>
      <c r="H56" s="354"/>
    </row>
    <row r="57" spans="2:8" ht="14.4">
      <c r="B57" s="1636" t="s">
        <v>128</v>
      </c>
      <c r="C57" s="1636"/>
      <c r="D57" s="1636"/>
      <c r="E57" s="211">
        <f>SUM(E54:E56)</f>
        <v>12186.718957590652</v>
      </c>
      <c r="F57" s="211">
        <f>SUM(F54:F56)</f>
        <v>34334.302403056943</v>
      </c>
      <c r="G57" s="211">
        <f>SUM(G54:G56)</f>
        <v>66610.738647139355</v>
      </c>
      <c r="H57" s="354"/>
    </row>
    <row r="58" spans="2:7" ht="14.4">
      <c r="B58" s="1637" t="s">
        <v>127</v>
      </c>
      <c r="C58" s="1637"/>
      <c r="D58" s="1637"/>
      <c r="E58" s="541"/>
      <c r="F58" s="541"/>
      <c r="G58" s="541"/>
    </row>
    <row r="59" spans="2:7" ht="14.4">
      <c r="B59" s="1635" t="s">
        <v>126</v>
      </c>
      <c r="C59" s="1635"/>
      <c r="D59" s="1635"/>
      <c r="E59" s="211">
        <f>E46*(('Save Spend Summary'!$C$30-'Save Spend Summary'!$C$29)/'Portfolio Cost Effectiveness'!$E$49)</f>
        <v>0</v>
      </c>
      <c r="F59" s="211">
        <f>F46*(('Save Spend Summary'!$D$30-'Save Spend Summary'!$D$29)/'Portfolio Cost Effectiveness'!$F$49)</f>
        <v>0</v>
      </c>
      <c r="G59" s="211">
        <f>G46*(('Save Spend Summary'!$E$30-'Save Spend Summary'!$E$29)/'Portfolio Cost Effectiveness'!$G$49)</f>
        <v>0</v>
      </c>
    </row>
    <row r="60" spans="2:7" ht="14.4">
      <c r="B60" s="1635" t="s">
        <v>125</v>
      </c>
      <c r="C60" s="1635"/>
      <c r="D60" s="1635"/>
      <c r="E60" s="211">
        <f>E47*(('Save Spend Summary'!$C$30-'Save Spend Summary'!$C$29)/'Portfolio Cost Effectiveness'!$E$49)</f>
        <v>166.6402797472002</v>
      </c>
      <c r="F60" s="211">
        <f>F47*(('Save Spend Summary'!$D$30-'Save Spend Summary'!$D$29)/'Portfolio Cost Effectiveness'!$F$49)</f>
        <v>144.39387702912492</v>
      </c>
      <c r="G60" s="211">
        <f>G47*(('Save Spend Summary'!$E$30-'Save Spend Summary'!$E$29)/'Portfolio Cost Effectiveness'!$G$49)</f>
        <v>18415.552096267442</v>
      </c>
    </row>
    <row r="61" spans="2:7" ht="14.4">
      <c r="B61" s="1636" t="s">
        <v>123</v>
      </c>
      <c r="C61" s="1636"/>
      <c r="D61" s="1636"/>
      <c r="E61" s="211">
        <f>SUM(E59:E60)</f>
        <v>166.6402797472002</v>
      </c>
      <c r="F61" s="211">
        <f>SUM(F59:F60)</f>
        <v>144.39387702912492</v>
      </c>
      <c r="G61" s="211">
        <f>SUM(G59:G60)</f>
        <v>18415.552096267442</v>
      </c>
    </row>
    <row r="62" spans="2:7" ht="14.4">
      <c r="B62" s="1640" t="s">
        <v>1590</v>
      </c>
      <c r="C62" s="1640"/>
      <c r="D62" s="1640"/>
      <c r="E62" s="649">
        <f>SUM(E61,E57)</f>
        <v>12353.359237337852</v>
      </c>
      <c r="F62" s="649">
        <f>SUM(F61,F57)</f>
        <v>34478.696280086071</v>
      </c>
      <c r="G62" s="649">
        <f>SUM(G61,G57)</f>
        <v>85026.290743406804</v>
      </c>
    </row>
    <row r="63" spans="5:7" ht="14.4">
      <c r="E63" s="649">
        <f>'Save Spend Summary'!C30</f>
        <v>12353.359237337852</v>
      </c>
      <c r="F63" s="649">
        <f>'Save Spend Summary'!D30</f>
        <v>34478.696280086071</v>
      </c>
      <c r="G63" s="649">
        <f>'Save Spend Summary'!E30</f>
        <v>85026.290743406804</v>
      </c>
    </row>
    <row r="64" ht="14.4"/>
    <row r="65" spans="2:4" ht="18">
      <c r="B65" s="1641" t="s">
        <v>834</v>
      </c>
      <c r="C65" s="1642"/>
      <c r="D65" s="1643"/>
    </row>
    <row r="66" spans="2:4" ht="14.4">
      <c r="B66" s="633" t="s">
        <v>196</v>
      </c>
      <c r="C66" s="633" t="s">
        <v>194</v>
      </c>
      <c r="D66" s="633" t="s">
        <v>78</v>
      </c>
    </row>
    <row r="67" spans="2:4" ht="14.4">
      <c r="B67" s="650" t="s">
        <v>833</v>
      </c>
      <c r="C67" s="385">
        <f>'Seminole Avoided Cost'!$C$8</f>
        <v>0.06</v>
      </c>
      <c r="D67" s="651" t="s">
        <v>1120</v>
      </c>
    </row>
    <row r="68" spans="2:4" ht="14.4">
      <c r="B68" s="650" t="s">
        <v>832</v>
      </c>
      <c r="C68" s="652">
        <v>0</v>
      </c>
      <c r="D68" s="651" t="s">
        <v>857</v>
      </c>
    </row>
    <row r="69" spans="2:4" ht="14.4">
      <c r="B69" s="650" t="s">
        <v>831</v>
      </c>
      <c r="C69" s="652">
        <v>0</v>
      </c>
      <c r="D69" s="651" t="s">
        <v>857</v>
      </c>
    </row>
    <row r="70" spans="2:4" ht="14.4">
      <c r="B70" s="650" t="s">
        <v>830</v>
      </c>
      <c r="C70" s="652">
        <v>0</v>
      </c>
      <c r="D70" s="651" t="s">
        <v>857</v>
      </c>
    </row>
    <row r="71" spans="2:4" ht="14.4">
      <c r="B71" s="650" t="s">
        <v>829</v>
      </c>
      <c r="C71" s="383">
        <f>'2015 Annual Sales and Revenue '!H34</f>
        <v>0.12640480077522429</v>
      </c>
      <c r="D71" s="651" t="s">
        <v>1592</v>
      </c>
    </row>
    <row r="72" spans="2:4" ht="14.4">
      <c r="B72" s="650" t="s">
        <v>856</v>
      </c>
      <c r="C72" s="383">
        <f>'2015 Annual Sales and Revenue '!H32</f>
        <v>0.10803823392019421</v>
      </c>
      <c r="D72" s="651" t="s">
        <v>1592</v>
      </c>
    </row>
    <row r="73" spans="2:4" ht="14.4">
      <c r="B73" s="650" t="s">
        <v>1604</v>
      </c>
      <c r="C73" s="383">
        <f>'2015 Annual Sales and Revenue '!H35</f>
        <v>0.12096447259152605</v>
      </c>
      <c r="D73" s="651" t="s">
        <v>1592</v>
      </c>
    </row>
    <row r="74" ht="14.4"/>
    <row r="75" spans="2:3" ht="28.8">
      <c r="B75" s="588" t="s">
        <v>1593</v>
      </c>
      <c r="C75" s="588" t="s">
        <v>1594</v>
      </c>
    </row>
    <row r="76" spans="2:3" ht="14.4">
      <c r="B76" s="1628" t="s">
        <v>136</v>
      </c>
      <c r="C76" s="1629"/>
    </row>
    <row r="77" spans="2:3" ht="14.4">
      <c r="B77" s="520" t="s">
        <v>134</v>
      </c>
      <c r="C77" s="520">
        <f>('Talquin 2015'!J8/SUM('Seminole 2015'!J8,'Talquin 2015'!J8,'Tri-County 2015'!J8,'Suwannee 2015'!J8,'Clay 2015 without Resizing'!J8,'Central Florida 2015'!J8,'Sumter 2015'!J8,'Withlacoochee 2015'!J8,'Peace River 2015'!J8,'Glades 2015'!J8)*'Talquin 2015'!J24+('Tri-County 2015'!J8/SUM('Seminole 2015'!J8,'Talquin 2015'!J8,'Tri-County 2015'!J8,'Suwannee 2015'!J8,'Clay 2015 without Resizing'!J8,'Central Florida 2015'!J8,'Sumter 2015'!J8,'Withlacoochee 2015'!J8,'Peace River 2015'!J8,'Glades 2015'!J8)*'Tri-County 2015'!J24+('Suwannee 2015'!J8/SUM('Seminole 2015'!J8,'Talquin 2015'!J8,'Tri-County 2015'!J8,'Suwannee 2015'!J8,'Clay 2015 without Resizing'!J8,'Central Florida 2015'!J8,'Sumter 2015'!J8,'Withlacoochee 2015'!J8,'Peace River 2015'!J8,'Glades 2015'!J8)*'Suwannee 2015'!J24+('Clay 2015 without Resizing'!J8/SUM('Seminole 2015'!J8,'Talquin 2015'!J8,'Tri-County 2015'!J8,'Suwannee 2015'!J8,'Clay 2015 without Resizing'!J8,'Central Florida 2015'!J8,'Sumter 2015'!J8,'Withlacoochee 2015'!J8,'Peace River 2015'!J8,'Glades 2015'!J8)*'Clay 2015 without Resizing'!J29+('Central Florida 2015'!J8/SUM('Seminole 2015'!J8,'Talquin 2015'!J8,'Tri-County 2015'!J8,'Suwannee 2015'!J8,'Clay 2015 without Resizing'!J8,'Central Florida 2015'!J8,'Sumter 2015'!J8,'Withlacoochee 2015'!J8,'Peace River 2015'!J8,'Glades 2015'!J8)*'Central Florida 2015'!J26+('Sumter 2015'!J8/SUM('Seminole 2015'!J8,'Talquin 2015'!J8,'Tri-County 2015'!J8,'Suwannee 2015'!J8,'Clay 2015 without Resizing'!J8,'Central Florida 2015'!J8,'Sumter 2015'!J8,'Withlacoochee 2015'!J8,'Peace River 2015'!J8,'Glades 2015'!J8)*'Sumter 2015'!J24+('Withlacoochee 2015'!J8/SUM('Seminole 2015'!J8,'Talquin 2015'!J8,'Tri-County 2015'!J8,'Suwannee 2015'!J8,'Clay 2015 without Resizing'!J8,'Central Florida 2015'!J8,'Sumter 2015'!J8,'Withlacoochee 2015'!J8,'Peace River 2015'!J8,'Glades 2015'!J8)*'Withlacoochee 2015'!J23+('Peace River 2015'!J8/SUM('Seminole 2015'!J8,'Talquin 2015'!J8,'Tri-County 2015'!J8,'Suwannee 2015'!J8,'Clay 2015 without Resizing'!J8,'Central Florida 2015'!J8,'Sumter 2015'!J8,'Withlacoochee 2015'!J8,'Peace River 2015'!J8,'Glades 2015'!J8)*'Peace River 2015'!J25+('Glades 2015'!J8/SUM('Seminole 2015'!J8,'Talquin 2015'!J8,'Tri-County 2015'!J8,'Suwannee 2015'!J8,'Clay 2015 without Resizing'!J8,'Central Florida 2015'!J8,'Sumter 2015'!J8,'Withlacoochee 2015'!J8,'Peace River 2015'!J8,'Glades 2015'!J8)*'Glades 2015'!J23)))))))))</f>
        <v>6.6368959865888986</v>
      </c>
    </row>
    <row r="78" spans="2:3" ht="14.4">
      <c r="B78" s="520" t="s">
        <v>132</v>
      </c>
      <c r="C78" s="520">
        <f>('Talquin 2015'!J9/SUM('Seminole 2015'!J9,'Talquin 2015'!J9,'Tri-County 2015'!J9,'Suwannee 2015'!J9,'Clay 2015 without Resizing'!J9,'Central Florida 2015'!J9,'Sumter 2015'!J9,'Withlacoochee 2015'!J9,'Peace River 2015'!J9,'Glades 2015'!J9)*'Talquin 2015'!J24+('Tri-County 2015'!J9/SUM('Seminole 2015'!J9,'Talquin 2015'!J9,'Tri-County 2015'!J9,'Suwannee 2015'!J9,'Clay 2015 without Resizing'!J9,'Central Florida 2015'!J9,'Sumter 2015'!J9,'Withlacoochee 2015'!J9,'Peace River 2015'!J9,'Glades 2015'!J9)*'Tri-County 2015'!J24+('Suwannee 2015'!J9/SUM('Seminole 2015'!J9,'Talquin 2015'!J9,'Tri-County 2015'!J9,'Suwannee 2015'!J9,'Clay 2015 without Resizing'!J9,'Central Florida 2015'!J9,'Sumter 2015'!J9,'Withlacoochee 2015'!J9,'Peace River 2015'!J9,'Glades 2015'!J9)*'Suwannee 2015'!J24+('Clay 2015 without Resizing'!J9/SUM('Seminole 2015'!J9,'Talquin 2015'!J9,'Tri-County 2015'!J9,'Suwannee 2015'!J9,'Clay 2015 without Resizing'!J9,'Central Florida 2015'!J9,'Sumter 2015'!J9,'Withlacoochee 2015'!J9,'Peace River 2015'!J9,'Glades 2015'!J9)*'Clay 2015 without Resizing'!J29+('Central Florida 2015'!J9/SUM('Seminole 2015'!J9,'Talquin 2015'!J9,'Tri-County 2015'!J9,'Suwannee 2015'!J9,'Clay 2015 without Resizing'!J9,'Central Florida 2015'!J9,'Sumter 2015'!J9,'Withlacoochee 2015'!J9,'Peace River 2015'!J9,'Glades 2015'!J9)*'Central Florida 2015'!J26+('Sumter 2015'!J9/SUM('Seminole 2015'!J9,'Talquin 2015'!J9,'Tri-County 2015'!J9,'Suwannee 2015'!J9,'Clay 2015 without Resizing'!J9,'Central Florida 2015'!J9,'Sumter 2015'!J9,'Withlacoochee 2015'!J9,'Peace River 2015'!J9,'Glades 2015'!J9)*'Sumter 2015'!J24+('Withlacoochee 2015'!J9/SUM('Seminole 2015'!J9,'Talquin 2015'!J9,'Tri-County 2015'!J9,'Suwannee 2015'!J9,'Clay 2015 without Resizing'!J9,'Central Florida 2015'!J9,'Sumter 2015'!J9,'Withlacoochee 2015'!J9,'Peace River 2015'!J9,'Glades 2015'!J9)*'Withlacoochee 2015'!J23+('Peace River 2015'!J9/SUM('Seminole 2015'!J9,'Talquin 2015'!J9,'Tri-County 2015'!J9,'Suwannee 2015'!J9,'Clay 2015 without Resizing'!J9,'Central Florida 2015'!J9,'Sumter 2015'!J9,'Withlacoochee 2015'!J9,'Peace River 2015'!J9,'Glades 2015'!J9)*'Peace River 2015'!J25+('Glades 2015'!J9/SUM('Seminole 2015'!J9,'Talquin 2015'!J9,'Tri-County 2015'!J9,'Suwannee 2015'!J9,'Clay 2015 without Resizing'!J9,'Central Florida 2015'!J9,'Sumter 2015'!J9,'Withlacoochee 2015'!J9,'Peace River 2015'!J9,'Glades 2015'!J9)*'Glades 2015'!J23)))))))))</f>
        <v>9.3851690424859662</v>
      </c>
    </row>
    <row r="79" spans="2:3" ht="14.4">
      <c r="B79" s="520" t="s">
        <v>130</v>
      </c>
      <c r="C79" s="520">
        <f>('Talquin 2015'!J10/SUM('Seminole 2015'!J10,'Talquin 2015'!J10,'Tri-County 2015'!J10,'Suwannee 2015'!J10,'Clay 2015 without Resizing'!J10,'Central Florida 2015'!J10,'Sumter 2015'!J10,'Withlacoochee 2015'!J10,'Peace River 2015'!J10,'Glades 2015'!J10)*'Talquin 2015'!J24+('Tri-County 2015'!J10/SUM('Seminole 2015'!J10,'Talquin 2015'!J10,'Tri-County 2015'!J10,'Suwannee 2015'!J10,'Clay 2015 without Resizing'!J10,'Central Florida 2015'!J10,'Sumter 2015'!J10,'Withlacoochee 2015'!J10,'Peace River 2015'!J10,'Glades 2015'!J10)*'Tri-County 2015'!J24+('Suwannee 2015'!J10/SUM('Seminole 2015'!J10,'Talquin 2015'!J10,'Tri-County 2015'!J10,'Suwannee 2015'!J10,'Clay 2015 without Resizing'!J10,'Central Florida 2015'!J10,'Sumter 2015'!J10,'Withlacoochee 2015'!J10,'Peace River 2015'!J10,'Glades 2015'!J10)*'Suwannee 2015'!J24+('Clay 2015 without Resizing'!J10/SUM('Seminole 2015'!J10,'Talquin 2015'!J10,'Tri-County 2015'!J10,'Suwannee 2015'!J10,'Clay 2015 without Resizing'!J10,'Central Florida 2015'!J10,'Sumter 2015'!J10,'Withlacoochee 2015'!J10,'Peace River 2015'!J10,'Glades 2015'!J10)*'Clay 2015 without Resizing'!J29+('Central Florida 2015'!J10/SUM('Seminole 2015'!J10,'Talquin 2015'!J10,'Tri-County 2015'!J10,'Suwannee 2015'!J10,'Clay 2015 without Resizing'!J10,'Central Florida 2015'!J10,'Sumter 2015'!J10,'Withlacoochee 2015'!J10,'Peace River 2015'!J10,'Glades 2015'!J10)*'Central Florida 2015'!J26+('Sumter 2015'!J10/SUM('Seminole 2015'!J10,'Talquin 2015'!J10,'Tri-County 2015'!J10,'Suwannee 2015'!J10,'Clay 2015 without Resizing'!J10,'Central Florida 2015'!J10,'Sumter 2015'!J10,'Withlacoochee 2015'!J10,'Peace River 2015'!J10,'Glades 2015'!J10)*'Sumter 2015'!J24+('Withlacoochee 2015'!J10/SUM('Seminole 2015'!J10,'Talquin 2015'!J10,'Tri-County 2015'!J10,'Suwannee 2015'!J10,'Clay 2015 without Resizing'!J10,'Central Florida 2015'!J10,'Sumter 2015'!J10,'Withlacoochee 2015'!J10,'Peace River 2015'!J10,'Glades 2015'!J10)*'Withlacoochee 2015'!J23+('Peace River 2015'!J10/SUM('Seminole 2015'!J10,'Talquin 2015'!J10,'Tri-County 2015'!J10,'Suwannee 2015'!J10,'Clay 2015 without Resizing'!J10,'Central Florida 2015'!J10,'Sumter 2015'!J10,'Withlacoochee 2015'!J10,'Peace River 2015'!J10,'Glades 2015'!J10)*'Peace River 2015'!J25+('Glades 2015'!J10/SUM('Seminole 2015'!J10,'Talquin 2015'!J10,'Tri-County 2015'!J10,'Suwannee 2015'!J10,'Clay 2015 without Resizing'!J10,'Central Florida 2015'!J10,'Sumter 2015'!J10,'Withlacoochee 2015'!J10,'Peace River 2015'!J10,'Glades 2015'!J10)*'Glades 2015'!J23)))))))))</f>
        <v>3.6784928793583411</v>
      </c>
    </row>
    <row r="80" spans="2:3" ht="14.4">
      <c r="B80" s="361" t="s">
        <v>128</v>
      </c>
      <c r="C80" s="520">
        <f>('Talquin 2015'!J11/SUM('Seminole 2015'!J11,'Talquin 2015'!J11,'Tri-County 2015'!J11,'Suwannee 2015'!J11,'Clay 2015 without Resizing'!J11,'Central Florida 2015'!J11,'Sumter 2015'!J11,'Withlacoochee 2015'!J11,'Peace River 2015'!J11,'Glades 2015'!J11)*'Talquin 2015'!J24+('Tri-County 2015'!J11/SUM('Seminole 2015'!J11,'Talquin 2015'!J11,'Tri-County 2015'!J11,'Suwannee 2015'!J11,'Clay 2015 without Resizing'!J11,'Central Florida 2015'!J11,'Sumter 2015'!J11,'Withlacoochee 2015'!J11,'Peace River 2015'!J11,'Glades 2015'!J11)*'Tri-County 2015'!J24+('Suwannee 2015'!J11/SUM('Seminole 2015'!J11,'Talquin 2015'!J11,'Tri-County 2015'!J11,'Suwannee 2015'!J11,'Clay 2015 without Resizing'!J11,'Central Florida 2015'!J11,'Sumter 2015'!J11,'Withlacoochee 2015'!J11,'Peace River 2015'!J11,'Glades 2015'!J11)*'Suwannee 2015'!J24+('Clay 2015 without Resizing'!J11/SUM('Seminole 2015'!J11,'Talquin 2015'!J11,'Tri-County 2015'!J11,'Suwannee 2015'!J11,'Clay 2015 without Resizing'!J11,'Central Florida 2015'!J11,'Sumter 2015'!J11,'Withlacoochee 2015'!J11,'Peace River 2015'!J11,'Glades 2015'!J11)*'Clay 2015 without Resizing'!J29+('Central Florida 2015'!J11/SUM('Seminole 2015'!J11,'Talquin 2015'!J11,'Tri-County 2015'!J11,'Suwannee 2015'!J11,'Clay 2015 without Resizing'!J11,'Central Florida 2015'!J11,'Sumter 2015'!J11,'Withlacoochee 2015'!J11,'Peace River 2015'!J11,'Glades 2015'!J11)*'Central Florida 2015'!J26+('Sumter 2015'!J11/SUM('Seminole 2015'!J11,'Talquin 2015'!J11,'Tri-County 2015'!J11,'Suwannee 2015'!J11,'Clay 2015 without Resizing'!J11,'Central Florida 2015'!J11,'Sumter 2015'!J11,'Withlacoochee 2015'!J11,'Peace River 2015'!J11,'Glades 2015'!J11)*'Sumter 2015'!J24+('Withlacoochee 2015'!J11/SUM('Seminole 2015'!J11,'Talquin 2015'!J11,'Tri-County 2015'!J11,'Suwannee 2015'!J11,'Clay 2015 without Resizing'!J11,'Central Florida 2015'!J11,'Sumter 2015'!J11,'Withlacoochee 2015'!J11,'Peace River 2015'!J11,'Glades 2015'!J11)*'Withlacoochee 2015'!J23+('Peace River 2015'!J11/SUM('Seminole 2015'!J11,'Talquin 2015'!J11,'Tri-County 2015'!J11,'Suwannee 2015'!J11,'Clay 2015 without Resizing'!J11,'Central Florida 2015'!J11,'Sumter 2015'!J11,'Withlacoochee 2015'!J11,'Peace River 2015'!J11,'Glades 2015'!J11)*'Peace River 2015'!J25+('Glades 2015'!J11/SUM('Seminole 2015'!J11,'Talquin 2015'!J11,'Tri-County 2015'!J11,'Suwannee 2015'!J11,'Clay 2015 without Resizing'!J11,'Central Florida 2015'!J11,'Sumter 2015'!J11,'Withlacoochee 2015'!J11,'Peace River 2015'!J11,'Glades 2015'!J11)*'Glades 2015'!J23)))))))))</f>
        <v>6.1262264522043735</v>
      </c>
    </row>
    <row r="81" spans="2:3" ht="14.4">
      <c r="B81" s="1638" t="s">
        <v>127</v>
      </c>
      <c r="C81" s="1639"/>
    </row>
    <row r="82" spans="2:3" ht="14.4">
      <c r="B82" s="520" t="s">
        <v>126</v>
      </c>
      <c r="C82" s="520" t="s">
        <v>259</v>
      </c>
    </row>
    <row r="83" spans="2:3" ht="14.4">
      <c r="B83" s="520" t="s">
        <v>125</v>
      </c>
      <c r="C83" s="520" t="s">
        <v>259</v>
      </c>
    </row>
    <row r="84" spans="2:3" ht="14.4">
      <c r="B84" s="361" t="s">
        <v>123</v>
      </c>
      <c r="C84" s="520" t="s">
        <v>259</v>
      </c>
    </row>
  </sheetData>
  <mergeCells count="36">
    <mergeCell ref="C1:E1"/>
    <mergeCell ref="B40:D40"/>
    <mergeCell ref="B39:D39"/>
    <mergeCell ref="B59:D59"/>
    <mergeCell ref="B46:D46"/>
    <mergeCell ref="B47:D47"/>
    <mergeCell ref="B48:D48"/>
    <mergeCell ref="B49:D49"/>
    <mergeCell ref="B52:D52"/>
    <mergeCell ref="B53:D53"/>
    <mergeCell ref="B45:D45"/>
    <mergeCell ref="B44:D44"/>
    <mergeCell ref="B43:D43"/>
    <mergeCell ref="B42:D42"/>
    <mergeCell ref="B41:D41"/>
    <mergeCell ref="B81:C81"/>
    <mergeCell ref="B60:D60"/>
    <mergeCell ref="B61:D61"/>
    <mergeCell ref="B62:D62"/>
    <mergeCell ref="B65:D65"/>
    <mergeCell ref="W12:Z12"/>
    <mergeCell ref="AB12:AC12"/>
    <mergeCell ref="K10:N10"/>
    <mergeCell ref="S10:V10"/>
    <mergeCell ref="B76:C76"/>
    <mergeCell ref="B11:J11"/>
    <mergeCell ref="K11:Z11"/>
    <mergeCell ref="B12:J12"/>
    <mergeCell ref="K12:N12"/>
    <mergeCell ref="O12:R12"/>
    <mergeCell ref="S12:V12"/>
    <mergeCell ref="B54:D54"/>
    <mergeCell ref="B55:D55"/>
    <mergeCell ref="B56:D56"/>
    <mergeCell ref="B57:D57"/>
    <mergeCell ref="B58:D58"/>
  </mergeCells>
  <conditionalFormatting sqref="C30">
    <cfRule type="expression" priority="30" dxfId="9">
      <formula>ISBLANK(C30)</formula>
    </cfRule>
    <cfRule type="expression" priority="31">
      <formula>NOT(ISBLANK(C30))</formula>
    </cfRule>
  </conditionalFormatting>
  <conditionalFormatting sqref="N23">
    <cfRule type="cellIs" priority="21" dxfId="0" operator="lessThan">
      <formula>1</formula>
    </cfRule>
  </conditionalFormatting>
  <conditionalFormatting sqref="R23">
    <cfRule type="cellIs" priority="20" dxfId="0" operator="lessThan">
      <formula>1</formula>
    </cfRule>
  </conditionalFormatting>
  <conditionalFormatting sqref="V23">
    <cfRule type="cellIs" priority="19" dxfId="0" operator="lessThan">
      <formula>1</formula>
    </cfRule>
  </conditionalFormatting>
  <conditionalFormatting sqref="Z23">
    <cfRule type="cellIs" priority="18" dxfId="0" operator="lessThan">
      <formula>1</formula>
    </cfRule>
  </conditionalFormatting>
  <conditionalFormatting sqref="F5:F8">
    <cfRule type="colorScale" priority="16">
      <colorScale>
        <cfvo type="min" val="0"/>
        <cfvo type="percentile" val="50"/>
        <cfvo type="max" val="0"/>
        <color rgb="FF63BE7B"/>
        <color rgb="FFFFEB84"/>
        <color rgb="FFF8696B"/>
      </colorScale>
    </cfRule>
  </conditionalFormatting>
  <conditionalFormatting sqref="R15:R18">
    <cfRule type="colorScale" priority="12">
      <colorScale>
        <cfvo type="min" val="0"/>
        <cfvo type="percentile" val="50"/>
        <cfvo type="max" val="0"/>
        <color rgb="FFF8696B"/>
        <color rgb="FFFFEB84"/>
        <color rgb="FF63BE7B"/>
      </colorScale>
    </cfRule>
    <cfRule type="cellIs" priority="13" dxfId="0" operator="lessThan">
      <formula>1</formula>
    </cfRule>
  </conditionalFormatting>
  <conditionalFormatting sqref="N15:N18 N20:N22">
    <cfRule type="colorScale" priority="259">
      <colorScale>
        <cfvo type="min" val="0"/>
        <cfvo type="percentile" val="50"/>
        <cfvo type="max" val="0"/>
        <color rgb="FFF8696B"/>
        <color rgb="FFFFEB84"/>
        <color rgb="FF63BE7B"/>
      </colorScale>
    </cfRule>
    <cfRule type="cellIs" priority="260" dxfId="0" operator="lessThan">
      <formula>1</formula>
    </cfRule>
  </conditionalFormatting>
  <conditionalFormatting sqref="R20:R22">
    <cfRule type="colorScale" priority="265">
      <colorScale>
        <cfvo type="min" val="0"/>
        <cfvo type="percentile" val="50"/>
        <cfvo type="max" val="0"/>
        <color rgb="FFF8696B"/>
        <color rgb="FFFFEB84"/>
        <color rgb="FF63BE7B"/>
      </colorScale>
    </cfRule>
    <cfRule type="cellIs" priority="266" dxfId="0" operator="lessThan">
      <formula>1</formula>
    </cfRule>
  </conditionalFormatting>
  <conditionalFormatting sqref="V15:V18 V20:V22">
    <cfRule type="colorScale" priority="269">
      <colorScale>
        <cfvo type="min" val="0"/>
        <cfvo type="percentile" val="50"/>
        <cfvo type="max" val="0"/>
        <color rgb="FFF8696B"/>
        <color rgb="FFFFEB84"/>
        <color rgb="FF63BE7B"/>
      </colorScale>
    </cfRule>
    <cfRule type="cellIs" priority="270" dxfId="0" operator="lessThan">
      <formula>1</formula>
    </cfRule>
  </conditionalFormatting>
  <conditionalFormatting sqref="Z20:Z22">
    <cfRule type="colorScale" priority="275">
      <colorScale>
        <cfvo type="min" val="0"/>
        <cfvo type="percentile" val="50"/>
        <cfvo type="max" val="0"/>
        <color rgb="FFF8696B"/>
        <color rgb="FFFFEB84"/>
        <color rgb="FF63BE7B"/>
      </colorScale>
    </cfRule>
    <cfRule type="cellIs" priority="276" dxfId="0" operator="lessThan">
      <formula>1</formula>
    </cfRule>
  </conditionalFormatting>
  <conditionalFormatting sqref="Z15:Z18">
    <cfRule type="colorScale" priority="2">
      <colorScale>
        <cfvo type="min" val="0"/>
        <cfvo type="percentile" val="50"/>
        <cfvo type="max" val="0"/>
        <color rgb="FFF8696B"/>
        <color rgb="FFFFEB84"/>
        <color rgb="FF63BE7B"/>
      </colorScale>
    </cfRule>
    <cfRule type="cellIs" priority="3" dxfId="0" operator="lessThan">
      <formula>1</formula>
    </cfRule>
  </conditionalFormatting>
  <conditionalFormatting sqref="F6:F8">
    <cfRule type="colorScale" priority="1">
      <colorScale>
        <cfvo type="min" val="0"/>
        <cfvo type="percentile" val="50"/>
        <cfvo type="max" val="0"/>
        <color rgb="FFF8696B"/>
        <color rgb="FFFFEB84"/>
        <color rgb="FF63BE7B"/>
      </colorScale>
    </cfRule>
  </conditionalFormatting>
  <pageMargins left="0.7" right="0.7" top="0.75" bottom="0.75" header="0.3" footer="0.3"/>
  <pageSetup orientation="portrait" r:id="rId2"/>
  <ignoredErrors>
    <ignoredError sqref="O16:AD16 O18:AD22 O17 Q17:AD17 O15:AA15 AC15:AD15" unlockedFormula="1"/>
  </ignoredErrors>
  <legacy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0000"/>
  </sheetPr>
  <dimension ref="A1:A3"/>
  <sheetViews>
    <sheetView zoomScale="70" zoomScaleNormal="70" workbookViewId="0" topLeftCell="A1"/>
  </sheetViews>
  <sheetFormatPr defaultColWidth="8.88888888888889" defaultRowHeight="14.4"/>
  <cols>
    <col min="1" max="1" width="8.88888888888889" customWidth="1"/>
  </cols>
  <sheetData>
    <row r="1" ht="14.4">
      <c r="A1" s="381" t="s">
        <v>1536</v>
      </c>
    </row>
    <row r="2" ht="14.4"/>
    <row r="3" ht="14.4">
      <c r="A3" s="281" t="s">
        <v>1633</v>
      </c>
    </row>
  </sheetData>
  <pageMargins left="0.7" right="0.7" top="0.75" bottom="0.75" header="0.3" footer="0.3"/>
  <pageSetup orientation="portrait"/>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pageSetUpPr fitToPage="1"/>
  </sheetPr>
  <dimension ref="A1:J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10"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814</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'Talquin 2015'!$K$24</f>
        <v>232.97034523980852</v>
      </c>
      <c r="E12" s="76">
        <v>0</v>
      </c>
      <c r="F12" s="76">
        <v>0</v>
      </c>
      <c r="G12" s="76">
        <v>0</v>
      </c>
      <c r="H12" s="68">
        <f>SUM(D12:G12)</f>
        <v>232.97034523980852</v>
      </c>
    </row>
    <row r="13" spans="1:8" ht="15.6" thickTop="1" thickBot="1">
      <c r="A13" s="37">
        <v>2</v>
      </c>
      <c r="B13" s="49" t="s">
        <v>65</v>
      </c>
      <c r="C13" s="77"/>
      <c r="D13" s="75">
        <f>('Talquin 2015'!$M$24*10^3)*10^-6</f>
        <v>0.00064931673151750959</v>
      </c>
      <c r="E13" s="75">
        <v>0</v>
      </c>
      <c r="F13" s="75">
        <v>0</v>
      </c>
      <c r="G13" s="75">
        <v>0</v>
      </c>
      <c r="H13" s="74">
        <f>SUM(D13:G13)</f>
        <v>0.00064931673151750959</v>
      </c>
    </row>
    <row r="14" spans="1:8" ht="15.6" thickTop="1" thickBot="1">
      <c r="A14" s="67"/>
      <c r="B14" s="312"/>
      <c r="C14" s="312"/>
      <c r="D14" s="1889" t="s">
        <v>66</v>
      </c>
      <c r="E14" s="1870"/>
      <c r="F14" s="1870"/>
      <c r="G14" s="1870"/>
      <c r="H14" s="71"/>
    </row>
    <row r="15" spans="1:8" ht="15.6" thickTop="1" thickBot="1">
      <c r="A15" s="37">
        <v>3</v>
      </c>
      <c r="B15" s="49" t="s">
        <v>50</v>
      </c>
      <c r="C15" s="72"/>
      <c r="D15" s="76">
        <f>'Talquin 2015'!$L$24</f>
        <v>339.22947163980848</v>
      </c>
      <c r="E15" s="76">
        <v>0</v>
      </c>
      <c r="F15" s="76">
        <v>0</v>
      </c>
      <c r="G15" s="76">
        <v>0</v>
      </c>
      <c r="H15" s="68">
        <f>SUM(D15:G15)</f>
        <v>339.22947163980848</v>
      </c>
    </row>
    <row r="16" spans="1:8" ht="15.6" thickTop="1" thickBot="1">
      <c r="A16" s="37">
        <v>4</v>
      </c>
      <c r="B16" s="49" t="s">
        <v>65</v>
      </c>
      <c r="C16" s="72"/>
      <c r="D16" s="75">
        <f>('Talquin 2015'!$M$24*10^3)*10^-6</f>
        <v>0.00064931673151750959</v>
      </c>
      <c r="E16" s="75">
        <v>0</v>
      </c>
      <c r="F16" s="75">
        <v>0</v>
      </c>
      <c r="G16" s="75">
        <v>0</v>
      </c>
      <c r="H16" s="74">
        <f>SUM(D16:G16)</f>
        <v>0.00064931673151750959</v>
      </c>
    </row>
    <row r="17" spans="1:8" ht="16.5" customHeight="1" thickTop="1" thickBot="1">
      <c r="A17" s="34"/>
      <c r="B17" s="22"/>
      <c r="C17" s="312"/>
      <c r="D17" s="1889" t="s">
        <v>64</v>
      </c>
      <c r="E17" s="1870"/>
      <c r="F17" s="1870"/>
      <c r="G17" s="1870"/>
      <c r="H17" s="71"/>
    </row>
    <row r="18" spans="1:8" ht="15.6" thickTop="1" thickBot="1">
      <c r="A18" s="37">
        <v>5</v>
      </c>
      <c r="B18" s="49" t="s">
        <v>41</v>
      </c>
      <c r="C18" s="72"/>
      <c r="D18" s="70">
        <f>'Talquin 2015'!$C$8/1000</f>
        <v>1.847</v>
      </c>
      <c r="E18" s="69">
        <v>0</v>
      </c>
      <c r="F18" s="69">
        <v>0</v>
      </c>
      <c r="G18" s="69">
        <v>0</v>
      </c>
      <c r="H18" s="68">
        <f>SUM(D18:G18)</f>
        <v>1.847</v>
      </c>
    </row>
    <row r="19" spans="1:8" ht="15.6" thickTop="1" thickBot="1">
      <c r="A19" s="37">
        <v>6</v>
      </c>
      <c r="B19" s="73" t="s">
        <v>40</v>
      </c>
      <c r="C19" s="72"/>
      <c r="D19" s="70">
        <f>'Talquin 2015'!$B$12/1000</f>
        <v>251.16020999999998</v>
      </c>
      <c r="E19" s="69">
        <v>0</v>
      </c>
      <c r="F19" s="69">
        <v>0</v>
      </c>
      <c r="G19" s="69">
        <v>0</v>
      </c>
      <c r="H19" s="68">
        <f>SUM(D19:G19)</f>
        <v>251.16020999999998</v>
      </c>
    </row>
    <row r="20" spans="1:8" ht="15.6" thickTop="1" thickBot="1">
      <c r="A20" s="67"/>
      <c r="B20" s="67"/>
      <c r="C20" s="312"/>
      <c r="D20" s="1889" t="s">
        <v>63</v>
      </c>
      <c r="E20" s="1870"/>
      <c r="F20" s="1870"/>
      <c r="G20" s="1870"/>
      <c r="H20" s="71"/>
    </row>
    <row r="21" spans="1:8" ht="15.6" thickTop="1" thickBot="1">
      <c r="A21" s="37">
        <v>7</v>
      </c>
      <c r="B21" s="49" t="s">
        <v>41</v>
      </c>
      <c r="C21" s="61"/>
      <c r="D21" s="70">
        <f>'Talquin 2015'!$C$8/1000</f>
        <v>1.847</v>
      </c>
      <c r="E21" s="69">
        <v>0</v>
      </c>
      <c r="F21" s="69">
        <v>0</v>
      </c>
      <c r="G21" s="69">
        <v>0</v>
      </c>
      <c r="H21" s="68">
        <f>SUM(D21:G21)</f>
        <v>1.847</v>
      </c>
    </row>
    <row r="22" spans="1:10" ht="15.6" thickTop="1" thickBot="1">
      <c r="A22" s="37">
        <v>8</v>
      </c>
      <c r="B22" s="49" t="s">
        <v>40</v>
      </c>
      <c r="C22" s="61"/>
      <c r="D22" s="70">
        <f>'Talquin 2015'!$B$12/1000</f>
        <v>251.16020999999998</v>
      </c>
      <c r="E22" s="69">
        <v>0</v>
      </c>
      <c r="F22" s="69">
        <v>0</v>
      </c>
      <c r="G22" s="69">
        <v>0</v>
      </c>
      <c r="H22" s="68">
        <f>SUM(D22:G22)</f>
        <v>251.16020999999998</v>
      </c>
      <c r="J22" s="351"/>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'Talquin 2015'!$J$24</f>
        <v>1.4561058030395324</v>
      </c>
      <c r="E25" s="59">
        <v>0</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Talquin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311"/>
      <c r="D41" s="48">
        <v>0</v>
      </c>
      <c r="E41" s="48">
        <v>0</v>
      </c>
      <c r="F41" s="48">
        <v>0</v>
      </c>
      <c r="G41" s="48">
        <v>0</v>
      </c>
      <c r="H41" s="51">
        <f>SUM(D41:G41)</f>
        <v>0</v>
      </c>
    </row>
    <row r="42" spans="1:8" ht="15.6" thickTop="1" thickBot="1">
      <c r="A42" s="37">
        <v>4</v>
      </c>
      <c r="B42" s="53" t="s">
        <v>48</v>
      </c>
      <c r="C42" s="31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814</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25.05" customHeight="1" thickTop="1" thickBot="1">
      <c r="A63" s="37" t="s">
        <v>34</v>
      </c>
      <c r="B63" s="42" t="str">
        <f>$B$9</f>
        <v>Florida</v>
      </c>
      <c r="C63" s="41" t="s">
        <v>14</v>
      </c>
      <c r="D63" s="41"/>
      <c r="E63" s="310"/>
      <c r="F63" s="308"/>
      <c r="G63" s="308"/>
      <c r="H63" s="309"/>
    </row>
    <row r="64" spans="1:8" ht="25.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v>0</v>
      </c>
      <c r="F65" s="36">
        <v>0</v>
      </c>
      <c r="G65" s="36">
        <v>0</v>
      </c>
      <c r="H65" s="35">
        <f>SUM(D65:G65)</f>
        <v>0</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v>0</v>
      </c>
      <c r="E69" s="27">
        <v>0</v>
      </c>
      <c r="F69" s="27">
        <v>0</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Talquin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f>'Talquin 2015'!C46</f>
        <v>0</v>
      </c>
      <c r="E85" s="12">
        <f>'Talquin 2015'!C47</f>
        <v>0</v>
      </c>
      <c r="F85" s="12">
        <f>'Talquin 2015'!C48</f>
        <v>0</v>
      </c>
      <c r="G85" s="11">
        <v>0</v>
      </c>
      <c r="H85" s="7">
        <f>SUM(D85:G85)</f>
        <v>0</v>
      </c>
    </row>
    <row r="86" spans="1:8" ht="42" customHeight="1" thickTop="1" thickBot="1">
      <c r="A86" s="6">
        <v>2</v>
      </c>
      <c r="B86" s="1937" t="s">
        <v>6</v>
      </c>
      <c r="C86" s="1937"/>
      <c r="D86" s="12">
        <f>'Talquin 2015'!B46</f>
        <v>51162</v>
      </c>
      <c r="E86" s="12">
        <f>'Talquin 2015'!B47</f>
        <v>1500</v>
      </c>
      <c r="F86" s="12">
        <f>'Talquin 2015'!B48</f>
        <v>0</v>
      </c>
      <c r="G86" s="11">
        <v>0</v>
      </c>
      <c r="H86" s="7">
        <f>SUM(D86:G86)</f>
        <v>52662</v>
      </c>
    </row>
    <row r="87" spans="1:8" ht="31.95" customHeight="1" thickTop="1" thickBot="1">
      <c r="A87" s="6">
        <v>3</v>
      </c>
      <c r="B87" s="1942" t="s">
        <v>5</v>
      </c>
      <c r="C87" s="1943"/>
      <c r="D87" s="12">
        <v>0</v>
      </c>
      <c r="E87" s="12">
        <v>0</v>
      </c>
      <c r="F87" s="12">
        <v>0</v>
      </c>
      <c r="G87" s="12">
        <v>0</v>
      </c>
      <c r="H87" s="7">
        <f>SUM(D87:G87)</f>
        <v>0</v>
      </c>
    </row>
    <row r="88" spans="1:8" ht="15.6" customHeight="1" thickTop="1" thickBot="1">
      <c r="A88" s="6">
        <v>4</v>
      </c>
      <c r="B88" s="1937" t="s">
        <v>4</v>
      </c>
      <c r="C88" s="1937"/>
      <c r="D88" s="12">
        <v>0</v>
      </c>
      <c r="E88" s="12">
        <v>0</v>
      </c>
      <c r="F88" s="12">
        <v>0</v>
      </c>
      <c r="G88" s="12">
        <v>0</v>
      </c>
      <c r="H88" s="7">
        <f>SUM(D88:G88)</f>
        <v>0</v>
      </c>
    </row>
    <row r="89" spans="1:8" ht="36" customHeight="1" thickTop="1" thickBot="1">
      <c r="A89" s="6">
        <v>5</v>
      </c>
      <c r="B89" s="1944" t="s">
        <v>3</v>
      </c>
      <c r="C89" s="1944"/>
      <c r="D89" s="8">
        <f>D85+D86+D88</f>
        <v>51162</v>
      </c>
      <c r="E89" s="8">
        <f>E85+E86+E88</f>
        <v>1500</v>
      </c>
      <c r="F89" s="8">
        <f>F85+F86+F88</f>
        <v>0</v>
      </c>
      <c r="G89" s="8">
        <f>G85+G86+G88</f>
        <v>0</v>
      </c>
      <c r="H89" s="7">
        <f>SUM(D89:G89)</f>
        <v>52662</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c r="A93" s="1"/>
      <c r="B93" s="1"/>
      <c r="C93" s="1"/>
      <c r="D93" s="1"/>
      <c r="E93" s="1"/>
      <c r="F93" s="1"/>
      <c r="G93" s="1"/>
      <c r="H93" s="1"/>
    </row>
  </sheetData>
  <mergeCells count="71">
    <mergeCell ref="H90:H91"/>
    <mergeCell ref="B91:C91"/>
    <mergeCell ref="B86:C86"/>
    <mergeCell ref="B92:C92"/>
    <mergeCell ref="B87:C87"/>
    <mergeCell ref="B88:C88"/>
    <mergeCell ref="B89:C89"/>
    <mergeCell ref="B90:C90"/>
    <mergeCell ref="B79:G79"/>
    <mergeCell ref="A81:H81"/>
    <mergeCell ref="A82:H82"/>
    <mergeCell ref="D83:H83"/>
    <mergeCell ref="B85:C85"/>
    <mergeCell ref="A74:H74"/>
    <mergeCell ref="A75:B78"/>
    <mergeCell ref="C75:F76"/>
    <mergeCell ref="G75:H76"/>
    <mergeCell ref="C77:F78"/>
    <mergeCell ref="G77:H77"/>
    <mergeCell ref="G78:H78"/>
    <mergeCell ref="A67:H67"/>
    <mergeCell ref="H68:H73"/>
    <mergeCell ref="B69:C69"/>
    <mergeCell ref="B70:C70"/>
    <mergeCell ref="B71:C71"/>
    <mergeCell ref="B72:C72"/>
    <mergeCell ref="B73:C73"/>
    <mergeCell ref="A66:H66"/>
    <mergeCell ref="A45:H45"/>
    <mergeCell ref="C47:C48"/>
    <mergeCell ref="B51:G51"/>
    <mergeCell ref="A52:H52"/>
    <mergeCell ref="A53:B56"/>
    <mergeCell ref="A60:H60"/>
    <mergeCell ref="A62:H62"/>
    <mergeCell ref="B65:C65"/>
    <mergeCell ref="B57:F57"/>
    <mergeCell ref="A34:H34"/>
    <mergeCell ref="A61:H61"/>
    <mergeCell ref="A36:H36"/>
    <mergeCell ref="C39:C40"/>
    <mergeCell ref="C53:F54"/>
    <mergeCell ref="G53:H54"/>
    <mergeCell ref="C55:F56"/>
    <mergeCell ref="G55:H55"/>
    <mergeCell ref="G56:H56"/>
    <mergeCell ref="B32:G32"/>
    <mergeCell ref="A35:H35"/>
    <mergeCell ref="D14:G14"/>
    <mergeCell ref="D17:G17"/>
    <mergeCell ref="A44:H44"/>
    <mergeCell ref="C23:H23"/>
    <mergeCell ref="B24:C24"/>
    <mergeCell ref="F26:H26"/>
    <mergeCell ref="A27:H27"/>
    <mergeCell ref="A28:B31"/>
    <mergeCell ref="C28:F29"/>
    <mergeCell ref="G28:H29"/>
    <mergeCell ref="D20:G20"/>
    <mergeCell ref="C30:F31"/>
    <mergeCell ref="G30:H30"/>
    <mergeCell ref="G31:H31"/>
    <mergeCell ref="A7:H7"/>
    <mergeCell ref="A8:H8"/>
    <mergeCell ref="E9:H9"/>
    <mergeCell ref="D11:G11"/>
    <mergeCell ref="A1:B4"/>
    <mergeCell ref="C1:G2"/>
    <mergeCell ref="C3:G4"/>
    <mergeCell ref="C5:G5"/>
    <mergeCell ref="C6:F6"/>
  </mergeCells>
  <pageMargins left="0.7" right="0.7" top="0.75" bottom="0.75" header="0.3" footer="0.3"/>
  <pageSetup orientation="landscape" scale="10"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822</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'Tri-County 2015'!$K$24</f>
        <v>447.9731617142628</v>
      </c>
      <c r="E12" s="76">
        <v>0</v>
      </c>
      <c r="F12" s="76">
        <v>0</v>
      </c>
      <c r="G12" s="76">
        <v>0</v>
      </c>
      <c r="H12" s="68">
        <f>SUM(D12:G12)</f>
        <v>447.9731617142628</v>
      </c>
    </row>
    <row r="13" spans="1:8" ht="15.6" thickTop="1" thickBot="1">
      <c r="A13" s="37">
        <v>2</v>
      </c>
      <c r="B13" s="49" t="s">
        <v>65</v>
      </c>
      <c r="C13" s="77"/>
      <c r="D13" s="75">
        <f>('Tri-County 2015'!$M$24*10^3)*10^-6</f>
        <v>0.0064612332067296961</v>
      </c>
      <c r="E13" s="75">
        <v>0</v>
      </c>
      <c r="F13" s="75">
        <v>0</v>
      </c>
      <c r="G13" s="75">
        <v>0</v>
      </c>
      <c r="H13" s="74">
        <f>SUM(D13:G13)</f>
        <v>0.0064612332067296961</v>
      </c>
    </row>
    <row r="14" spans="1:8" ht="15.6" thickTop="1" thickBot="1">
      <c r="A14" s="67"/>
      <c r="B14" s="312"/>
      <c r="C14" s="312"/>
      <c r="D14" s="1889" t="s">
        <v>66</v>
      </c>
      <c r="E14" s="1870"/>
      <c r="F14" s="1870"/>
      <c r="G14" s="1870"/>
      <c r="H14" s="71"/>
    </row>
    <row r="15" spans="1:8" ht="15.6" thickTop="1" thickBot="1">
      <c r="A15" s="37">
        <v>3</v>
      </c>
      <c r="B15" s="49" t="s">
        <v>50</v>
      </c>
      <c r="C15" s="72"/>
      <c r="D15" s="76">
        <f>'Tri-County 2015'!$L$24</f>
        <v>554.23228811426281</v>
      </c>
      <c r="E15" s="76">
        <v>0</v>
      </c>
      <c r="F15" s="76">
        <v>0</v>
      </c>
      <c r="G15" s="76">
        <v>0</v>
      </c>
      <c r="H15" s="68">
        <f>SUM(D15:G15)</f>
        <v>554.23228811426281</v>
      </c>
    </row>
    <row r="16" spans="1:8" ht="15.6" thickTop="1" thickBot="1">
      <c r="A16" s="37">
        <v>4</v>
      </c>
      <c r="B16" s="49" t="s">
        <v>65</v>
      </c>
      <c r="C16" s="72"/>
      <c r="D16" s="75">
        <f>('Tri-County 2015'!$M$24*10^3)*10^-6</f>
        <v>0.0064612332067296961</v>
      </c>
      <c r="E16" s="75">
        <v>0</v>
      </c>
      <c r="F16" s="75">
        <v>0</v>
      </c>
      <c r="G16" s="75">
        <v>0</v>
      </c>
      <c r="H16" s="74">
        <f>SUM(D16:G16)</f>
        <v>0.0064612332067296961</v>
      </c>
    </row>
    <row r="17" spans="1:8" ht="16.5" customHeight="1" thickTop="1" thickBot="1">
      <c r="A17" s="34"/>
      <c r="B17" s="22"/>
      <c r="C17" s="312"/>
      <c r="D17" s="1889" t="s">
        <v>64</v>
      </c>
      <c r="E17" s="1870"/>
      <c r="F17" s="1870"/>
      <c r="G17" s="1870"/>
      <c r="H17" s="71"/>
    </row>
    <row r="18" spans="1:8" ht="15.6" thickTop="1" thickBot="1">
      <c r="A18" s="37">
        <v>5</v>
      </c>
      <c r="B18" s="49" t="s">
        <v>41</v>
      </c>
      <c r="C18" s="72"/>
      <c r="D18" s="70">
        <f>'Tri-County 2015'!$C$8/1000</f>
        <v>1.847</v>
      </c>
      <c r="E18" s="69">
        <v>0</v>
      </c>
      <c r="F18" s="69">
        <v>0</v>
      </c>
      <c r="G18" s="69">
        <v>0</v>
      </c>
      <c r="H18" s="68">
        <f>SUM(D18:G18)</f>
        <v>1.847</v>
      </c>
    </row>
    <row r="19" spans="1:8" ht="15.6" thickTop="1" thickBot="1">
      <c r="A19" s="37">
        <v>6</v>
      </c>
      <c r="B19" s="73" t="s">
        <v>40</v>
      </c>
      <c r="C19" s="72"/>
      <c r="D19" s="70">
        <f>'Tri-County 2015'!$B$8/1000</f>
        <v>0</v>
      </c>
      <c r="E19" s="69">
        <v>0</v>
      </c>
      <c r="F19" s="69">
        <v>0</v>
      </c>
      <c r="G19" s="69">
        <v>0</v>
      </c>
      <c r="H19" s="68">
        <f>SUM(D19:G19)</f>
        <v>0</v>
      </c>
    </row>
    <row r="20" spans="1:8" ht="15.6" thickTop="1" thickBot="1">
      <c r="A20" s="67"/>
      <c r="B20" s="67"/>
      <c r="C20" s="312"/>
      <c r="D20" s="1889" t="s">
        <v>63</v>
      </c>
      <c r="E20" s="1870"/>
      <c r="F20" s="1870"/>
      <c r="G20" s="1870"/>
      <c r="H20" s="71"/>
    </row>
    <row r="21" spans="1:8" ht="15.6" thickTop="1" thickBot="1">
      <c r="A21" s="37">
        <v>7</v>
      </c>
      <c r="B21" s="49" t="s">
        <v>41</v>
      </c>
      <c r="C21" s="61"/>
      <c r="D21" s="70">
        <f>'Tri-County 2015'!$C$8/1000</f>
        <v>1.847</v>
      </c>
      <c r="E21" s="69">
        <v>0</v>
      </c>
      <c r="F21" s="69">
        <v>0</v>
      </c>
      <c r="G21" s="69">
        <v>0</v>
      </c>
      <c r="H21" s="68">
        <f>SUM(D21:G21)</f>
        <v>1.847</v>
      </c>
    </row>
    <row r="22" spans="1:8" ht="15.6" thickTop="1" thickBot="1">
      <c r="A22" s="37">
        <v>8</v>
      </c>
      <c r="B22" s="49" t="s">
        <v>40</v>
      </c>
      <c r="C22" s="61"/>
      <c r="D22" s="70">
        <f>'Tri-County 2015'!$B$8/1000</f>
        <v>0</v>
      </c>
      <c r="E22" s="69">
        <v>0</v>
      </c>
      <c r="F22" s="69">
        <v>0</v>
      </c>
      <c r="G22" s="69">
        <v>0</v>
      </c>
      <c r="H22" s="68">
        <f>SUM(D22:G22)</f>
        <v>0</v>
      </c>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'Tri-County 2015'!$J$24</f>
        <v>1.237199759899404</v>
      </c>
      <c r="E25" s="59">
        <v>0</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Tri-County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311"/>
      <c r="D41" s="48">
        <v>0</v>
      </c>
      <c r="E41" s="48">
        <v>0</v>
      </c>
      <c r="F41" s="48">
        <v>0</v>
      </c>
      <c r="G41" s="48">
        <v>0</v>
      </c>
      <c r="H41" s="51">
        <f>SUM(D41:G41)</f>
        <v>0</v>
      </c>
    </row>
    <row r="42" spans="1:8" ht="15.6" thickTop="1" thickBot="1">
      <c r="A42" s="37">
        <v>4</v>
      </c>
      <c r="B42" s="53" t="s">
        <v>48</v>
      </c>
      <c r="C42" s="31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822</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310"/>
      <c r="F63" s="308"/>
      <c r="G63" s="308"/>
      <c r="H63" s="30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v>0</v>
      </c>
      <c r="F65" s="36">
        <v>0</v>
      </c>
      <c r="G65" s="36">
        <v>0</v>
      </c>
      <c r="H65" s="35">
        <f>SUM(D65:G65)</f>
        <v>0</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v>0</v>
      </c>
      <c r="E69" s="27">
        <v>0</v>
      </c>
      <c r="F69" s="27">
        <v>0</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Tri-County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f>'Tri-County 2015'!$C$46</f>
        <v>0</v>
      </c>
      <c r="E85" s="12">
        <f>'Tri-County 2015'!$C$47</f>
        <v>0</v>
      </c>
      <c r="F85" s="12">
        <f>'Tri-County 2015'!$C$48</f>
        <v>0</v>
      </c>
      <c r="G85" s="11">
        <v>0</v>
      </c>
      <c r="H85" s="7">
        <f>SUM(D85:G85)</f>
        <v>0</v>
      </c>
    </row>
    <row r="86" spans="1:8" ht="42" customHeight="1" thickTop="1" thickBot="1">
      <c r="A86" s="6">
        <v>2</v>
      </c>
      <c r="B86" s="1937" t="s">
        <v>6</v>
      </c>
      <c r="C86" s="1937"/>
      <c r="D86" s="12">
        <f>'Tri-County 2015'!$B$46</f>
        <v>15975</v>
      </c>
      <c r="E86" s="12">
        <f>'Tri-County 2015'!$B$47</f>
        <v>1521</v>
      </c>
      <c r="F86" s="12">
        <f>'Tri-County 2015'!$B$48</f>
        <v>276</v>
      </c>
      <c r="G86" s="11">
        <v>0</v>
      </c>
      <c r="H86" s="7">
        <f>SUM(D86:G86)</f>
        <v>17772</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15975</v>
      </c>
      <c r="E89" s="8">
        <f>E85+E86+E88</f>
        <v>1521</v>
      </c>
      <c r="F89" s="8">
        <f>F85+F86+F88</f>
        <v>276</v>
      </c>
      <c r="G89" s="8">
        <f>G85+G86+G88</f>
        <v>0</v>
      </c>
      <c r="H89" s="7">
        <f>SUM(D89:G89)</f>
        <v>17772</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1">
    <mergeCell ref="H90:H91"/>
    <mergeCell ref="B91:C91"/>
    <mergeCell ref="B86:C86"/>
    <mergeCell ref="B92:C92"/>
    <mergeCell ref="B87:C87"/>
    <mergeCell ref="B88:C88"/>
    <mergeCell ref="B89:C89"/>
    <mergeCell ref="B90:C90"/>
    <mergeCell ref="B79:G79"/>
    <mergeCell ref="A81:H81"/>
    <mergeCell ref="A82:H82"/>
    <mergeCell ref="D83:H83"/>
    <mergeCell ref="B85:C85"/>
    <mergeCell ref="G77:H77"/>
    <mergeCell ref="G78:H78"/>
    <mergeCell ref="A67:H67"/>
    <mergeCell ref="H68:H73"/>
    <mergeCell ref="B69:C69"/>
    <mergeCell ref="B70:C70"/>
    <mergeCell ref="B71:C71"/>
    <mergeCell ref="B72:C72"/>
    <mergeCell ref="B73:C73"/>
    <mergeCell ref="A74:H74"/>
    <mergeCell ref="A75:B78"/>
    <mergeCell ref="C75:F76"/>
    <mergeCell ref="G75:H76"/>
    <mergeCell ref="C77:F78"/>
    <mergeCell ref="A62:H62"/>
    <mergeCell ref="B65:C65"/>
    <mergeCell ref="A66:H66"/>
    <mergeCell ref="A45:H45"/>
    <mergeCell ref="C47:C48"/>
    <mergeCell ref="B51:G51"/>
    <mergeCell ref="A52:H52"/>
    <mergeCell ref="A53:B56"/>
    <mergeCell ref="C53:F54"/>
    <mergeCell ref="G53:H54"/>
    <mergeCell ref="C55:F56"/>
    <mergeCell ref="G55:H55"/>
    <mergeCell ref="G56:H56"/>
    <mergeCell ref="B57:F57"/>
    <mergeCell ref="A60:H60"/>
    <mergeCell ref="A61:H61"/>
    <mergeCell ref="A34:H34"/>
    <mergeCell ref="A35:H35"/>
    <mergeCell ref="A36:H36"/>
    <mergeCell ref="C39:C40"/>
    <mergeCell ref="A44:H44"/>
    <mergeCell ref="G30:H30"/>
    <mergeCell ref="G31:H31"/>
    <mergeCell ref="B32:G32"/>
    <mergeCell ref="C23:H23"/>
    <mergeCell ref="B24:C24"/>
    <mergeCell ref="F26:H26"/>
    <mergeCell ref="A27:H27"/>
    <mergeCell ref="A28:B31"/>
    <mergeCell ref="C28:F29"/>
    <mergeCell ref="G28:H29"/>
    <mergeCell ref="C30:F31"/>
    <mergeCell ref="D17:G17"/>
    <mergeCell ref="D20:G20"/>
    <mergeCell ref="A1:B4"/>
    <mergeCell ref="C1:G2"/>
    <mergeCell ref="C3:G4"/>
    <mergeCell ref="C5:G5"/>
    <mergeCell ref="C6:F6"/>
    <mergeCell ref="A7:H7"/>
    <mergeCell ref="A8:H8"/>
    <mergeCell ref="E9:H9"/>
    <mergeCell ref="D11:G11"/>
    <mergeCell ref="D14:G14"/>
  </mergeCells>
  <pageMargins left="0.7" right="0.7" top="0.75" bottom="0.75" header="0.3" footer="0.3"/>
  <pageSetup orientation="landscape" scale="10"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810</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'Suwannee 2015'!$K$24</f>
        <v>1812.1827299608965</v>
      </c>
      <c r="E12" s="76">
        <v>0</v>
      </c>
      <c r="F12" s="76">
        <v>0</v>
      </c>
      <c r="G12" s="76">
        <v>0</v>
      </c>
      <c r="H12" s="68">
        <f>SUM(D12:G12)</f>
        <v>1812.1827299608965</v>
      </c>
    </row>
    <row r="13" spans="1:8" ht="15.6" thickTop="1" thickBot="1">
      <c r="A13" s="37">
        <v>2</v>
      </c>
      <c r="B13" s="49" t="s">
        <v>65</v>
      </c>
      <c r="C13" s="77"/>
      <c r="D13" s="75">
        <f>('Suwannee 2015'!$M$24*10^3)*10^-6</f>
        <v>0.067518518660467944</v>
      </c>
      <c r="E13" s="75">
        <v>0</v>
      </c>
      <c r="F13" s="75">
        <v>0</v>
      </c>
      <c r="G13" s="75">
        <v>0</v>
      </c>
      <c r="H13" s="74">
        <f>SUM(D13:G13)</f>
        <v>0.067518518660467944</v>
      </c>
    </row>
    <row r="14" spans="1:8" ht="15.6" thickTop="1" thickBot="1">
      <c r="A14" s="67"/>
      <c r="B14" s="312"/>
      <c r="C14" s="312"/>
      <c r="D14" s="1889" t="s">
        <v>66</v>
      </c>
      <c r="E14" s="1870"/>
      <c r="F14" s="1870"/>
      <c r="G14" s="1870"/>
      <c r="H14" s="71"/>
    </row>
    <row r="15" spans="1:8" ht="15.6" thickTop="1" thickBot="1">
      <c r="A15" s="37">
        <v>3</v>
      </c>
      <c r="B15" s="49" t="s">
        <v>50</v>
      </c>
      <c r="C15" s="72"/>
      <c r="D15" s="76">
        <f>'Suwannee 2015'!$L$24</f>
        <v>1918.4418563608965</v>
      </c>
      <c r="E15" s="76">
        <v>0</v>
      </c>
      <c r="F15" s="76">
        <v>0</v>
      </c>
      <c r="G15" s="76">
        <v>0</v>
      </c>
      <c r="H15" s="68">
        <f>SUM(D15:G15)</f>
        <v>1918.4418563608965</v>
      </c>
    </row>
    <row r="16" spans="1:8" ht="15.6" thickTop="1" thickBot="1">
      <c r="A16" s="37">
        <v>4</v>
      </c>
      <c r="B16" s="49" t="s">
        <v>65</v>
      </c>
      <c r="C16" s="72"/>
      <c r="D16" s="75">
        <f>('Suwannee 2015'!$M$24*10^3)*10^-6</f>
        <v>0.067518518660467944</v>
      </c>
      <c r="E16" s="75">
        <v>0</v>
      </c>
      <c r="F16" s="75">
        <v>0</v>
      </c>
      <c r="G16" s="75">
        <v>0</v>
      </c>
      <c r="H16" s="74">
        <f>SUM(D16:G16)</f>
        <v>0.067518518660467944</v>
      </c>
    </row>
    <row r="17" spans="1:8" ht="16.5" customHeight="1" thickTop="1" thickBot="1">
      <c r="A17" s="34"/>
      <c r="B17" s="22"/>
      <c r="C17" s="312"/>
      <c r="D17" s="1889" t="s">
        <v>64</v>
      </c>
      <c r="E17" s="1870"/>
      <c r="F17" s="1870"/>
      <c r="G17" s="1870"/>
      <c r="H17" s="71"/>
    </row>
    <row r="18" spans="1:8" ht="15.6" thickTop="1" thickBot="1">
      <c r="A18" s="37">
        <v>5</v>
      </c>
      <c r="B18" s="49" t="s">
        <v>41</v>
      </c>
      <c r="C18" s="72"/>
      <c r="D18" s="70">
        <f>'Suwannee 2015'!$C$8/1000</f>
        <v>1.847</v>
      </c>
      <c r="E18" s="69">
        <v>0</v>
      </c>
      <c r="F18" s="69">
        <v>0</v>
      </c>
      <c r="G18" s="69">
        <v>0</v>
      </c>
      <c r="H18" s="68">
        <f>SUM(D18:G18)</f>
        <v>1.847</v>
      </c>
    </row>
    <row r="19" spans="1:8" ht="15.6" thickTop="1" thickBot="1">
      <c r="A19" s="37">
        <v>6</v>
      </c>
      <c r="B19" s="73" t="s">
        <v>40</v>
      </c>
      <c r="C19" s="72"/>
      <c r="D19" s="70">
        <f>'Suwannee 2015'!$B$8/1000</f>
        <v>0.20</v>
      </c>
      <c r="E19" s="69">
        <v>0</v>
      </c>
      <c r="F19" s="69">
        <v>0</v>
      </c>
      <c r="G19" s="69">
        <v>0</v>
      </c>
      <c r="H19" s="68">
        <f>SUM(D19:G19)</f>
        <v>0.20</v>
      </c>
    </row>
    <row r="20" spans="1:8" ht="15.6" thickTop="1" thickBot="1">
      <c r="A20" s="67"/>
      <c r="B20" s="67"/>
      <c r="C20" s="312"/>
      <c r="D20" s="1889" t="s">
        <v>63</v>
      </c>
      <c r="E20" s="1870"/>
      <c r="F20" s="1870"/>
      <c r="G20" s="1870"/>
      <c r="H20" s="71"/>
    </row>
    <row r="21" spans="1:8" ht="15.6" thickTop="1" thickBot="1">
      <c r="A21" s="37">
        <v>7</v>
      </c>
      <c r="B21" s="49" t="s">
        <v>41</v>
      </c>
      <c r="C21" s="61"/>
      <c r="D21" s="70">
        <f>'Suwannee 2015'!$C$8/1000</f>
        <v>1.847</v>
      </c>
      <c r="E21" s="69">
        <v>0</v>
      </c>
      <c r="F21" s="69">
        <v>0</v>
      </c>
      <c r="G21" s="69">
        <v>0</v>
      </c>
      <c r="H21" s="68">
        <f>SUM(D21:G21)</f>
        <v>1.847</v>
      </c>
    </row>
    <row r="22" spans="1:8" ht="15.6" thickTop="1" thickBot="1">
      <c r="A22" s="37">
        <v>8</v>
      </c>
      <c r="B22" s="49" t="s">
        <v>40</v>
      </c>
      <c r="C22" s="61"/>
      <c r="D22" s="70">
        <f>'Suwannee 2015'!$B$8/1000</f>
        <v>0.20</v>
      </c>
      <c r="E22" s="69">
        <v>0</v>
      </c>
      <c r="F22" s="69">
        <v>0</v>
      </c>
      <c r="G22" s="69">
        <v>0</v>
      </c>
      <c r="H22" s="68">
        <f>SUM(D22:G22)</f>
        <v>0.20</v>
      </c>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'Suwannee 2015'!$J$24</f>
        <v>1.0586359888786121</v>
      </c>
      <c r="E25" s="59">
        <v>0</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Suwannee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311"/>
      <c r="D41" s="48">
        <v>0</v>
      </c>
      <c r="E41" s="48">
        <v>0</v>
      </c>
      <c r="F41" s="48">
        <v>0</v>
      </c>
      <c r="G41" s="48">
        <v>0</v>
      </c>
      <c r="H41" s="51">
        <f>SUM(D41:G41)</f>
        <v>0</v>
      </c>
    </row>
    <row r="42" spans="1:8" ht="15.6" thickTop="1" thickBot="1">
      <c r="A42" s="37">
        <v>4</v>
      </c>
      <c r="B42" s="53" t="s">
        <v>48</v>
      </c>
      <c r="C42" s="31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809</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310"/>
      <c r="F63" s="308"/>
      <c r="G63" s="308"/>
      <c r="H63" s="30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f>'Suwannee 2015'!$G$36</f>
        <v>235</v>
      </c>
      <c r="F65" s="36">
        <f>'Suwannee 2015'!$G$37</f>
        <v>1</v>
      </c>
      <c r="G65" s="36">
        <v>0</v>
      </c>
      <c r="H65" s="35">
        <f>SUM(D65:G65)</f>
        <v>236</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v>0</v>
      </c>
      <c r="E69" s="27" t="s">
        <v>657</v>
      </c>
      <c r="F69" s="27" t="s">
        <v>657</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Suwannee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v>0</v>
      </c>
      <c r="E85" s="12">
        <v>0</v>
      </c>
      <c r="F85" s="12">
        <v>0</v>
      </c>
      <c r="G85" s="12">
        <v>0</v>
      </c>
      <c r="H85" s="7">
        <f>SUM(D85:G85)</f>
        <v>0</v>
      </c>
    </row>
    <row r="86" spans="1:8" ht="42" customHeight="1" thickTop="1" thickBot="1">
      <c r="A86" s="6">
        <v>2</v>
      </c>
      <c r="B86" s="1937" t="s">
        <v>6</v>
      </c>
      <c r="C86" s="1937"/>
      <c r="D86" s="12">
        <f>'Suwannee 2015'!$B$47</f>
        <v>22167</v>
      </c>
      <c r="E86" s="12">
        <f>'Suwannee 2015'!$B$48</f>
        <v>3239</v>
      </c>
      <c r="F86" s="12">
        <f>'Suwannee 2015'!$B$49</f>
        <v>9</v>
      </c>
      <c r="G86" s="11">
        <v>0</v>
      </c>
      <c r="H86" s="7">
        <f>SUM(D86:G86)</f>
        <v>25415</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22167</v>
      </c>
      <c r="E89" s="8">
        <f>E85+E86+E88</f>
        <v>3239</v>
      </c>
      <c r="F89" s="8">
        <f>F85+F86+F88</f>
        <v>9</v>
      </c>
      <c r="G89" s="8">
        <f>G85+G86+G88</f>
        <v>0</v>
      </c>
      <c r="H89" s="7">
        <f>SUM(D89:G89)</f>
        <v>25415</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1">
    <mergeCell ref="A7:H7"/>
    <mergeCell ref="A8:H8"/>
    <mergeCell ref="E9:H9"/>
    <mergeCell ref="D11:G11"/>
    <mergeCell ref="A1:B4"/>
    <mergeCell ref="C1:G2"/>
    <mergeCell ref="C3:G4"/>
    <mergeCell ref="C5:G5"/>
    <mergeCell ref="C6:F6"/>
    <mergeCell ref="B32:G32"/>
    <mergeCell ref="A35:H35"/>
    <mergeCell ref="D14:G14"/>
    <mergeCell ref="D17:G17"/>
    <mergeCell ref="A44:H44"/>
    <mergeCell ref="C23:H23"/>
    <mergeCell ref="B24:C24"/>
    <mergeCell ref="F26:H26"/>
    <mergeCell ref="A27:H27"/>
    <mergeCell ref="A28:B31"/>
    <mergeCell ref="C28:F29"/>
    <mergeCell ref="G28:H29"/>
    <mergeCell ref="D20:G20"/>
    <mergeCell ref="C30:F31"/>
    <mergeCell ref="G30:H30"/>
    <mergeCell ref="G31:H31"/>
    <mergeCell ref="B57:F57"/>
    <mergeCell ref="A34:H34"/>
    <mergeCell ref="A61:H61"/>
    <mergeCell ref="A36:H36"/>
    <mergeCell ref="C39:C40"/>
    <mergeCell ref="A45:H45"/>
    <mergeCell ref="C47:C48"/>
    <mergeCell ref="B51:G51"/>
    <mergeCell ref="A52:H52"/>
    <mergeCell ref="A53:B56"/>
    <mergeCell ref="C53:F54"/>
    <mergeCell ref="G53:H54"/>
    <mergeCell ref="C55:F56"/>
    <mergeCell ref="G55:H55"/>
    <mergeCell ref="G56:H56"/>
    <mergeCell ref="A60:H60"/>
    <mergeCell ref="A62:H62"/>
    <mergeCell ref="B65:C65"/>
    <mergeCell ref="A67:H67"/>
    <mergeCell ref="H68:H73"/>
    <mergeCell ref="B69:C69"/>
    <mergeCell ref="B70:C70"/>
    <mergeCell ref="B71:C71"/>
    <mergeCell ref="B72:C72"/>
    <mergeCell ref="B73:C73"/>
    <mergeCell ref="A66:H66"/>
    <mergeCell ref="A74:H74"/>
    <mergeCell ref="A75:B78"/>
    <mergeCell ref="C75:F76"/>
    <mergeCell ref="G75:H76"/>
    <mergeCell ref="C77:F78"/>
    <mergeCell ref="G77:H77"/>
    <mergeCell ref="G78:H78"/>
    <mergeCell ref="H90:H91"/>
    <mergeCell ref="B91:C91"/>
    <mergeCell ref="B79:G79"/>
    <mergeCell ref="A81:H81"/>
    <mergeCell ref="A82:H82"/>
    <mergeCell ref="D83:H83"/>
    <mergeCell ref="B85:C85"/>
    <mergeCell ref="B86:C86"/>
    <mergeCell ref="B92:C92"/>
    <mergeCell ref="B87:C87"/>
    <mergeCell ref="B88:C88"/>
    <mergeCell ref="B89:C89"/>
    <mergeCell ref="B90:C90"/>
  </mergeCells>
  <pageMargins left="0.7" right="0.7" top="0.75" bottom="0.75" header="0.3" footer="0.3"/>
  <pageSetup orientation="landscape" scale="10"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71</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'Clay 2015 without Resizing'!$K$29</f>
        <v>658.65125075790627</v>
      </c>
      <c r="E12" s="76">
        <v>0</v>
      </c>
      <c r="F12" s="76">
        <v>0</v>
      </c>
      <c r="G12" s="76">
        <v>0</v>
      </c>
      <c r="H12" s="68">
        <f>SUM(D12:G12)</f>
        <v>658.65125075790627</v>
      </c>
    </row>
    <row r="13" spans="1:8" ht="15.6" thickTop="1" thickBot="1">
      <c r="A13" s="37">
        <v>2</v>
      </c>
      <c r="B13" s="49" t="s">
        <v>65</v>
      </c>
      <c r="C13" s="77"/>
      <c r="D13" s="75">
        <f>('Clay 2015 without Resizing'!$M$29*10^3)*10^-6</f>
        <v>0.21971904371294182</v>
      </c>
      <c r="E13" s="75">
        <v>0</v>
      </c>
      <c r="F13" s="75">
        <v>0</v>
      </c>
      <c r="G13" s="75">
        <v>0</v>
      </c>
      <c r="H13" s="74">
        <f>SUM(D13:G13)</f>
        <v>0.21971904371294182</v>
      </c>
    </row>
    <row r="14" spans="1:8" ht="15.6" thickTop="1" thickBot="1">
      <c r="A14" s="67"/>
      <c r="B14" s="32"/>
      <c r="C14" s="32"/>
      <c r="D14" s="1889" t="s">
        <v>66</v>
      </c>
      <c r="E14" s="1870"/>
      <c r="F14" s="1870"/>
      <c r="G14" s="1870"/>
      <c r="H14" s="71"/>
    </row>
    <row r="15" spans="1:8" ht="15.6" thickTop="1" thickBot="1">
      <c r="A15" s="37">
        <v>3</v>
      </c>
      <c r="B15" s="49" t="s">
        <v>50</v>
      </c>
      <c r="C15" s="72"/>
      <c r="D15" s="76">
        <f>'Clay 2015 without Resizing'!$L$29</f>
        <v>8523.1441606240423</v>
      </c>
      <c r="E15" s="76">
        <v>0</v>
      </c>
      <c r="F15" s="76">
        <v>0</v>
      </c>
      <c r="G15" s="76">
        <v>0</v>
      </c>
      <c r="H15" s="68">
        <f>SUM(D15:G15)</f>
        <v>8523.1441606240423</v>
      </c>
    </row>
    <row r="16" spans="1:8" ht="15.6" thickTop="1" thickBot="1">
      <c r="A16" s="37">
        <v>4</v>
      </c>
      <c r="B16" s="49" t="s">
        <v>65</v>
      </c>
      <c r="C16" s="72"/>
      <c r="D16" s="75">
        <f>('Clay 2015 without Resizing'!$M$29*10^3)*10^-6</f>
        <v>0.21971904371294182</v>
      </c>
      <c r="E16" s="75">
        <v>0</v>
      </c>
      <c r="F16" s="75">
        <v>0</v>
      </c>
      <c r="G16" s="75">
        <v>0</v>
      </c>
      <c r="H16" s="74">
        <f>SUM(D16:G16)</f>
        <v>0.21971904371294182</v>
      </c>
    </row>
    <row r="17" spans="1:8" ht="16.5" customHeight="1" thickTop="1" thickBot="1">
      <c r="A17" s="34"/>
      <c r="B17" s="22"/>
      <c r="C17" s="32"/>
      <c r="D17" s="1889" t="s">
        <v>64</v>
      </c>
      <c r="E17" s="1870"/>
      <c r="F17" s="1870"/>
      <c r="G17" s="1870"/>
      <c r="H17" s="71"/>
    </row>
    <row r="18" spans="1:8" ht="15.6" thickTop="1" thickBot="1">
      <c r="A18" s="37">
        <v>5</v>
      </c>
      <c r="B18" s="49" t="s">
        <v>41</v>
      </c>
      <c r="C18" s="72"/>
      <c r="D18" s="70">
        <f>'Clay 2015 without Resizing'!$C$12/1000</f>
        <v>193.80840000000003</v>
      </c>
      <c r="E18" s="69">
        <v>0</v>
      </c>
      <c r="F18" s="69">
        <v>0</v>
      </c>
      <c r="G18" s="69">
        <v>0</v>
      </c>
      <c r="H18" s="68">
        <f>SUM(D18:G18)</f>
        <v>193.80840000000003</v>
      </c>
    </row>
    <row r="19" spans="1:8" ht="15.6" thickTop="1" thickBot="1">
      <c r="A19" s="37">
        <v>6</v>
      </c>
      <c r="B19" s="73" t="s">
        <v>40</v>
      </c>
      <c r="C19" s="72"/>
      <c r="D19" s="70">
        <f>SUM('Clay 2015 without Resizing'!$B$12:$B$12)/1000</f>
        <v>150.97385815104519</v>
      </c>
      <c r="E19" s="69">
        <v>0</v>
      </c>
      <c r="F19" s="69">
        <v>0</v>
      </c>
      <c r="G19" s="69">
        <v>0</v>
      </c>
      <c r="H19" s="68">
        <f>SUM(D19:G19)</f>
        <v>150.97385815104519</v>
      </c>
    </row>
    <row r="20" spans="1:8" ht="15.6" thickTop="1" thickBot="1">
      <c r="A20" s="67"/>
      <c r="B20" s="67"/>
      <c r="C20" s="32"/>
      <c r="D20" s="1889" t="s">
        <v>63</v>
      </c>
      <c r="E20" s="1870"/>
      <c r="F20" s="1870"/>
      <c r="G20" s="1870"/>
      <c r="H20" s="71"/>
    </row>
    <row r="21" spans="1:8" ht="15.6" thickTop="1" thickBot="1">
      <c r="A21" s="37">
        <v>7</v>
      </c>
      <c r="B21" s="49" t="s">
        <v>41</v>
      </c>
      <c r="C21" s="61"/>
      <c r="D21" s="70">
        <f>'Clay 2015 without Resizing'!$C$12/1000</f>
        <v>193.80840000000003</v>
      </c>
      <c r="E21" s="69">
        <f t="shared" si="0" ref="E21:G22">E18</f>
        <v>0</v>
      </c>
      <c r="F21" s="69">
        <f t="shared" si="0"/>
        <v>0</v>
      </c>
      <c r="G21" s="69">
        <f t="shared" si="0"/>
        <v>0</v>
      </c>
      <c r="H21" s="68">
        <f>SUM(D21:G21)</f>
        <v>193.80840000000003</v>
      </c>
    </row>
    <row r="22" spans="1:8" ht="15.6" thickTop="1" thickBot="1">
      <c r="A22" s="37">
        <v>8</v>
      </c>
      <c r="B22" s="49" t="s">
        <v>40</v>
      </c>
      <c r="C22" s="61"/>
      <c r="D22" s="70">
        <f>SUM('Clay 2015 without Resizing'!$B$12:$B$12)/1000</f>
        <v>150.97385815104519</v>
      </c>
      <c r="E22" s="69">
        <f t="shared" si="0"/>
        <v>0</v>
      </c>
      <c r="F22" s="69">
        <f t="shared" si="0"/>
        <v>0</v>
      </c>
      <c r="G22" s="69">
        <f t="shared" si="0"/>
        <v>0</v>
      </c>
      <c r="H22" s="68">
        <f>SUM(D22:G22)</f>
        <v>150.97385815104519</v>
      </c>
    </row>
    <row r="23" spans="1:8" ht="15.6" thickTop="1" thickBot="1">
      <c r="A23" s="67"/>
      <c r="B23" s="3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'Clay 2015 without Resizing'!$J$29</f>
        <v>12.940299059352741</v>
      </c>
      <c r="E25" s="59">
        <v>0</v>
      </c>
      <c r="F25" s="59">
        <v>0</v>
      </c>
      <c r="G25" s="59">
        <v>0</v>
      </c>
      <c r="H25" s="3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Clay Electric Coop, Inc. </v>
      </c>
      <c r="C32" s="1883"/>
      <c r="D32" s="1883"/>
      <c r="E32" s="1883"/>
      <c r="F32" s="1883"/>
      <c r="G32" s="1885"/>
      <c r="H32" s="22"/>
    </row>
    <row r="33" spans="1:8" ht="15.6" thickTop="1" thickBot="1">
      <c r="A33" s="22" t="s">
        <v>19</v>
      </c>
      <c r="B33" s="45"/>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1867"/>
      <c r="F37" s="1868"/>
      <c r="G37" s="1868"/>
      <c r="H37" s="1869"/>
    </row>
    <row r="38" spans="1:8" ht="15.6" thickTop="1" thickBot="1">
      <c r="A38" s="32"/>
      <c r="B38" s="54"/>
      <c r="C38" s="3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52"/>
      <c r="D41" s="48">
        <v>0</v>
      </c>
      <c r="E41" s="48">
        <v>0</v>
      </c>
      <c r="F41" s="48">
        <v>0</v>
      </c>
      <c r="G41" s="48">
        <v>0</v>
      </c>
      <c r="H41" s="51">
        <f>SUM(D41:G41)</f>
        <v>0</v>
      </c>
    </row>
    <row r="42" spans="1:8" ht="15.6" thickTop="1" thickBot="1">
      <c r="A42" s="37">
        <v>4</v>
      </c>
      <c r="B42" s="53" t="s">
        <v>48</v>
      </c>
      <c r="C42" s="52"/>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38</v>
      </c>
      <c r="C57" s="1917"/>
      <c r="D57" s="1917"/>
      <c r="E57" s="1917"/>
      <c r="F57" s="1918"/>
      <c r="G57" s="22"/>
      <c r="H57" s="22"/>
    </row>
    <row r="58" spans="1:8" ht="15.6" thickTop="1" thickBot="1">
      <c r="A58" s="22" t="s">
        <v>19</v>
      </c>
      <c r="B58" s="45"/>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1867"/>
      <c r="F63" s="1868"/>
      <c r="G63" s="1868"/>
      <c r="H63" s="186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v>0</v>
      </c>
      <c r="F65" s="36">
        <v>0</v>
      </c>
      <c r="G65" s="36">
        <v>0</v>
      </c>
      <c r="H65" s="35">
        <f>SUM(D65:G65)</f>
        <v>0</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2"/>
      <c r="D68" s="30" t="s">
        <v>12</v>
      </c>
      <c r="E68" s="30" t="s">
        <v>11</v>
      </c>
      <c r="F68" s="31" t="s">
        <v>10</v>
      </c>
      <c r="G68" s="30" t="s">
        <v>9</v>
      </c>
      <c r="H68" s="1922"/>
    </row>
    <row r="69" spans="1:9" ht="15.6" thickTop="1" thickBot="1">
      <c r="A69" s="28">
        <v>2</v>
      </c>
      <c r="B69" s="1924" t="s">
        <v>30</v>
      </c>
      <c r="C69" s="1925"/>
      <c r="D69" s="27">
        <v>0</v>
      </c>
      <c r="E69" s="27">
        <v>0</v>
      </c>
      <c r="F69" s="27">
        <v>0</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Clay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t="s">
        <v>13</v>
      </c>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v>0</v>
      </c>
      <c r="E85" s="12">
        <v>0</v>
      </c>
      <c r="F85" s="12">
        <v>0</v>
      </c>
      <c r="G85" s="11">
        <v>0</v>
      </c>
      <c r="H85" s="7">
        <f>SUM(D85:G85)</f>
        <v>0</v>
      </c>
    </row>
    <row r="86" spans="1:8" ht="42" customHeight="1" thickTop="1" thickBot="1">
      <c r="A86" s="6">
        <v>2</v>
      </c>
      <c r="B86" s="1937" t="s">
        <v>6</v>
      </c>
      <c r="C86" s="1937"/>
      <c r="D86" s="12">
        <v>0</v>
      </c>
      <c r="E86" s="12">
        <v>0</v>
      </c>
      <c r="F86" s="12">
        <v>0</v>
      </c>
      <c r="G86" s="11">
        <v>0</v>
      </c>
      <c r="H86" s="7">
        <f>SUM(D86:G86)</f>
        <v>0</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0</v>
      </c>
      <c r="E89" s="8">
        <f>E85+E86+E88</f>
        <v>0</v>
      </c>
      <c r="F89" s="8">
        <f>F85+F86+F88</f>
        <v>0</v>
      </c>
      <c r="G89" s="8">
        <f>G85+G86+G88</f>
        <v>0</v>
      </c>
      <c r="H89" s="7">
        <f>SUM(D89:G89)</f>
        <v>0</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3">
    <mergeCell ref="A74:H74"/>
    <mergeCell ref="B24:C24"/>
    <mergeCell ref="A7:H7"/>
    <mergeCell ref="A8:H8"/>
    <mergeCell ref="A1:B4"/>
    <mergeCell ref="A27:H27"/>
    <mergeCell ref="D11:G11"/>
    <mergeCell ref="D14:G14"/>
    <mergeCell ref="D17:G17"/>
    <mergeCell ref="D20:G20"/>
    <mergeCell ref="C23:H23"/>
    <mergeCell ref="C1:G2"/>
    <mergeCell ref="C3:G4"/>
    <mergeCell ref="C5:G5"/>
    <mergeCell ref="C6:F6"/>
    <mergeCell ref="E9:H9"/>
    <mergeCell ref="F26:H26"/>
    <mergeCell ref="A28:B31"/>
    <mergeCell ref="C28:F29"/>
    <mergeCell ref="G28:H29"/>
    <mergeCell ref="C30:F31"/>
    <mergeCell ref="G30:H30"/>
    <mergeCell ref="G31:H31"/>
    <mergeCell ref="A44:H44"/>
    <mergeCell ref="A45:H45"/>
    <mergeCell ref="C47:C48"/>
    <mergeCell ref="B51:G51"/>
    <mergeCell ref="A53:B56"/>
    <mergeCell ref="C53:F54"/>
    <mergeCell ref="G53:H54"/>
    <mergeCell ref="C55:F56"/>
    <mergeCell ref="G55:H55"/>
    <mergeCell ref="G56:H56"/>
    <mergeCell ref="A52:H52"/>
    <mergeCell ref="B32:G32"/>
    <mergeCell ref="A34:H34"/>
    <mergeCell ref="A35:H35"/>
    <mergeCell ref="A36:H36"/>
    <mergeCell ref="C39:C40"/>
    <mergeCell ref="E37:H37"/>
    <mergeCell ref="A62:H62"/>
    <mergeCell ref="B57:F57"/>
    <mergeCell ref="A60:H60"/>
    <mergeCell ref="A61:H61"/>
    <mergeCell ref="A67:H67"/>
    <mergeCell ref="B65:C65"/>
    <mergeCell ref="E63:H63"/>
    <mergeCell ref="A66:H66"/>
    <mergeCell ref="H68:H73"/>
    <mergeCell ref="B69:C69"/>
    <mergeCell ref="B70:C70"/>
    <mergeCell ref="B71:C71"/>
    <mergeCell ref="B72:C72"/>
    <mergeCell ref="B73:C73"/>
    <mergeCell ref="H90:H91"/>
    <mergeCell ref="B91:C91"/>
    <mergeCell ref="A75:B78"/>
    <mergeCell ref="C75:F76"/>
    <mergeCell ref="G75:H76"/>
    <mergeCell ref="C77:F78"/>
    <mergeCell ref="G77:H77"/>
    <mergeCell ref="G78:H78"/>
    <mergeCell ref="B79:G79"/>
    <mergeCell ref="A81:H81"/>
    <mergeCell ref="A82:H82"/>
    <mergeCell ref="D83:H83"/>
    <mergeCell ref="B85:C85"/>
    <mergeCell ref="B92:C92"/>
    <mergeCell ref="B86:C86"/>
    <mergeCell ref="B87:C87"/>
    <mergeCell ref="B88:C88"/>
    <mergeCell ref="B89:C89"/>
    <mergeCell ref="B90:C90"/>
  </mergeCells>
  <pageMargins left="0.7" right="0.7" top="0.75" bottom="0.75" header="0.3" footer="0.3"/>
  <pageSetup orientation="landscape" scale="10"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71</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44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'Clay 2015 with Resizing'!$K$29</f>
        <v>367.59130964345673</v>
      </c>
      <c r="E12" s="76">
        <v>0</v>
      </c>
      <c r="F12" s="76">
        <v>0</v>
      </c>
      <c r="G12" s="76">
        <v>0</v>
      </c>
      <c r="H12" s="68">
        <f>SUM(D12:G12)</f>
        <v>367.59130964345673</v>
      </c>
    </row>
    <row r="13" spans="1:8" ht="15.6" thickTop="1" thickBot="1">
      <c r="A13" s="37">
        <v>2</v>
      </c>
      <c r="B13" s="49" t="s">
        <v>65</v>
      </c>
      <c r="C13" s="77"/>
      <c r="D13" s="75">
        <f>('Clay 2015 with Resizing'!$M$29*10^3)*10^-6</f>
        <v>0.10579097212833885</v>
      </c>
      <c r="E13" s="75">
        <v>0</v>
      </c>
      <c r="F13" s="75">
        <v>0</v>
      </c>
      <c r="G13" s="75">
        <v>0</v>
      </c>
      <c r="H13" s="74">
        <f>SUM(D13:G13)</f>
        <v>0.10579097212833885</v>
      </c>
    </row>
    <row r="14" spans="1:8" ht="15.6" thickTop="1" thickBot="1">
      <c r="A14" s="67"/>
      <c r="B14" s="442"/>
      <c r="C14" s="442"/>
      <c r="D14" s="1889" t="s">
        <v>66</v>
      </c>
      <c r="E14" s="1870"/>
      <c r="F14" s="1870"/>
      <c r="G14" s="1870"/>
      <c r="H14" s="71"/>
    </row>
    <row r="15" spans="1:8" ht="15.6" thickTop="1" thickBot="1">
      <c r="A15" s="37">
        <v>3</v>
      </c>
      <c r="B15" s="49" t="s">
        <v>50</v>
      </c>
      <c r="C15" s="72"/>
      <c r="D15" s="76">
        <f>'Clay 2015 with Resizing'!$L$29</f>
        <v>5044.0448157203336</v>
      </c>
      <c r="E15" s="76">
        <v>0</v>
      </c>
      <c r="F15" s="76">
        <v>0</v>
      </c>
      <c r="G15" s="76">
        <v>0</v>
      </c>
      <c r="H15" s="68">
        <f>SUM(D15:G15)</f>
        <v>5044.0448157203336</v>
      </c>
    </row>
    <row r="16" spans="1:8" ht="15.6" thickTop="1" thickBot="1">
      <c r="A16" s="37">
        <v>4</v>
      </c>
      <c r="B16" s="49" t="s">
        <v>65</v>
      </c>
      <c r="C16" s="72"/>
      <c r="D16" s="75">
        <f>('Clay 2015 with Resizing'!$M$29*10^3)*10^-6</f>
        <v>0.10579097212833885</v>
      </c>
      <c r="E16" s="75">
        <v>0</v>
      </c>
      <c r="F16" s="75">
        <v>0</v>
      </c>
      <c r="G16" s="75">
        <v>0</v>
      </c>
      <c r="H16" s="74">
        <f>SUM(D16:G16)</f>
        <v>0.10579097212833885</v>
      </c>
    </row>
    <row r="17" spans="1:8" ht="16.5" customHeight="1" thickTop="1" thickBot="1">
      <c r="A17" s="34"/>
      <c r="B17" s="22"/>
      <c r="C17" s="442"/>
      <c r="D17" s="1889" t="s">
        <v>64</v>
      </c>
      <c r="E17" s="1870"/>
      <c r="F17" s="1870"/>
      <c r="G17" s="1870"/>
      <c r="H17" s="71"/>
    </row>
    <row r="18" spans="1:8" ht="15.6" thickTop="1" thickBot="1">
      <c r="A18" s="37">
        <v>5</v>
      </c>
      <c r="B18" s="49" t="s">
        <v>41</v>
      </c>
      <c r="C18" s="72"/>
      <c r="D18" s="70">
        <f>'Clay 2015 with Resizing'!$C$12/1000</f>
        <v>193.80840000000003</v>
      </c>
      <c r="E18" s="69">
        <v>0</v>
      </c>
      <c r="F18" s="69">
        <v>0</v>
      </c>
      <c r="G18" s="69">
        <v>0</v>
      </c>
      <c r="H18" s="68">
        <f>SUM(D18:G18)</f>
        <v>193.80840000000003</v>
      </c>
    </row>
    <row r="19" spans="1:8" ht="15.6" thickTop="1" thickBot="1">
      <c r="A19" s="37">
        <v>6</v>
      </c>
      <c r="B19" s="73" t="s">
        <v>40</v>
      </c>
      <c r="C19" s="72"/>
      <c r="D19" s="70">
        <f>SUM('Clay 2015 with Resizing'!$B$12:$B$12)/1000</f>
        <v>149.95014236791323</v>
      </c>
      <c r="E19" s="69">
        <v>0</v>
      </c>
      <c r="F19" s="69">
        <v>0</v>
      </c>
      <c r="G19" s="69">
        <v>0</v>
      </c>
      <c r="H19" s="68">
        <f>SUM(D19:G19)</f>
        <v>149.95014236791323</v>
      </c>
    </row>
    <row r="20" spans="1:8" ht="15.6" thickTop="1" thickBot="1">
      <c r="A20" s="67"/>
      <c r="B20" s="67"/>
      <c r="C20" s="442"/>
      <c r="D20" s="1889" t="s">
        <v>63</v>
      </c>
      <c r="E20" s="1870"/>
      <c r="F20" s="1870"/>
      <c r="G20" s="1870"/>
      <c r="H20" s="71"/>
    </row>
    <row r="21" spans="1:8" ht="15.6" thickTop="1" thickBot="1">
      <c r="A21" s="37">
        <v>7</v>
      </c>
      <c r="B21" s="49" t="s">
        <v>41</v>
      </c>
      <c r="C21" s="61"/>
      <c r="D21" s="70">
        <f>'Clay 2015 with Resizing'!$C$12/1000</f>
        <v>193.80840000000003</v>
      </c>
      <c r="E21" s="69">
        <f t="shared" si="0" ref="E21:G22">E18</f>
        <v>0</v>
      </c>
      <c r="F21" s="69">
        <f t="shared" si="0"/>
        <v>0</v>
      </c>
      <c r="G21" s="69">
        <f t="shared" si="0"/>
        <v>0</v>
      </c>
      <c r="H21" s="68">
        <f>SUM(D21:G21)</f>
        <v>193.80840000000003</v>
      </c>
    </row>
    <row r="22" spans="1:8" ht="15.6" thickTop="1" thickBot="1">
      <c r="A22" s="37">
        <v>8</v>
      </c>
      <c r="B22" s="49" t="s">
        <v>40</v>
      </c>
      <c r="C22" s="61"/>
      <c r="D22" s="70">
        <f>SUM('Clay 2015 with Resizing'!$B$12:$B$12)/1000</f>
        <v>149.95014236791323</v>
      </c>
      <c r="E22" s="69">
        <f t="shared" si="0"/>
        <v>0</v>
      </c>
      <c r="F22" s="69">
        <f t="shared" si="0"/>
        <v>0</v>
      </c>
      <c r="G22" s="69">
        <f t="shared" si="0"/>
        <v>0</v>
      </c>
      <c r="H22" s="68">
        <f>SUM(D22:G22)</f>
        <v>149.95014236791323</v>
      </c>
    </row>
    <row r="23" spans="1:8" ht="15.6" thickTop="1" thickBot="1">
      <c r="A23" s="67"/>
      <c r="B23" s="44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'Clay 2015 with Resizing'!$J$29</f>
        <v>13.721882654442451</v>
      </c>
      <c r="E25" s="59">
        <v>0</v>
      </c>
      <c r="F25" s="59">
        <v>0</v>
      </c>
      <c r="G25" s="59">
        <v>0</v>
      </c>
      <c r="H25" s="44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Clay Electric Coop, Inc. </v>
      </c>
      <c r="C32" s="1883"/>
      <c r="D32" s="1883"/>
      <c r="E32" s="1883"/>
      <c r="F32" s="1883"/>
      <c r="G32" s="1885"/>
      <c r="H32" s="22"/>
    </row>
    <row r="33" spans="1:8" ht="15.6" thickTop="1" thickBot="1">
      <c r="A33" s="22" t="s">
        <v>19</v>
      </c>
      <c r="B33" s="440"/>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1867"/>
      <c r="F37" s="1868"/>
      <c r="G37" s="1868"/>
      <c r="H37" s="1869"/>
    </row>
    <row r="38" spans="1:8" ht="15.6" thickTop="1" thickBot="1">
      <c r="A38" s="442"/>
      <c r="B38" s="54"/>
      <c r="C38" s="44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441"/>
      <c r="D41" s="48">
        <v>0</v>
      </c>
      <c r="E41" s="48">
        <v>0</v>
      </c>
      <c r="F41" s="48">
        <v>0</v>
      </c>
      <c r="G41" s="48">
        <v>0</v>
      </c>
      <c r="H41" s="51">
        <f>SUM(D41:G41)</f>
        <v>0</v>
      </c>
    </row>
    <row r="42" spans="1:8" ht="15.6" thickTop="1" thickBot="1">
      <c r="A42" s="37">
        <v>4</v>
      </c>
      <c r="B42" s="53" t="s">
        <v>48</v>
      </c>
      <c r="C42" s="44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38</v>
      </c>
      <c r="C57" s="1917"/>
      <c r="D57" s="1917"/>
      <c r="E57" s="1917"/>
      <c r="F57" s="1918"/>
      <c r="G57" s="22"/>
      <c r="H57" s="22"/>
    </row>
    <row r="58" spans="1:8" ht="15.6" thickTop="1" thickBot="1">
      <c r="A58" s="22" t="s">
        <v>19</v>
      </c>
      <c r="B58" s="440"/>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1867"/>
      <c r="F63" s="1868"/>
      <c r="G63" s="1868"/>
      <c r="H63" s="186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v>0</v>
      </c>
      <c r="F65" s="36">
        <v>0</v>
      </c>
      <c r="G65" s="36">
        <v>0</v>
      </c>
      <c r="H65" s="35">
        <f>SUM(D65:G65)</f>
        <v>0</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442"/>
      <c r="D68" s="30" t="s">
        <v>12</v>
      </c>
      <c r="E68" s="30" t="s">
        <v>11</v>
      </c>
      <c r="F68" s="31" t="s">
        <v>10</v>
      </c>
      <c r="G68" s="30" t="s">
        <v>9</v>
      </c>
      <c r="H68" s="1922"/>
    </row>
    <row r="69" spans="1:9" ht="15.6" thickTop="1" thickBot="1">
      <c r="A69" s="28">
        <v>2</v>
      </c>
      <c r="B69" s="1924" t="s">
        <v>30</v>
      </c>
      <c r="C69" s="1925"/>
      <c r="D69" s="27">
        <v>0</v>
      </c>
      <c r="E69" s="27">
        <v>0</v>
      </c>
      <c r="F69" s="27">
        <v>0</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Clay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t="s">
        <v>13</v>
      </c>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v>0</v>
      </c>
      <c r="E85" s="12">
        <v>0</v>
      </c>
      <c r="F85" s="12">
        <v>0</v>
      </c>
      <c r="G85" s="11">
        <v>0</v>
      </c>
      <c r="H85" s="7">
        <f>SUM(D85:G85)</f>
        <v>0</v>
      </c>
    </row>
    <row r="86" spans="1:8" ht="42" customHeight="1" thickTop="1" thickBot="1">
      <c r="A86" s="6">
        <v>2</v>
      </c>
      <c r="B86" s="1937" t="s">
        <v>6</v>
      </c>
      <c r="C86" s="1937"/>
      <c r="D86" s="12">
        <v>0</v>
      </c>
      <c r="E86" s="12">
        <v>0</v>
      </c>
      <c r="F86" s="12">
        <v>0</v>
      </c>
      <c r="G86" s="11">
        <v>0</v>
      </c>
      <c r="H86" s="7">
        <f>SUM(D86:G86)</f>
        <v>0</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0</v>
      </c>
      <c r="E89" s="8">
        <f>E85+E86+E88</f>
        <v>0</v>
      </c>
      <c r="F89" s="8">
        <f>F85+F86+F88</f>
        <v>0</v>
      </c>
      <c r="G89" s="8">
        <f>G85+G86+G88</f>
        <v>0</v>
      </c>
      <c r="H89" s="7">
        <f>SUM(D89:G89)</f>
        <v>0</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3">
    <mergeCell ref="B92:C92"/>
    <mergeCell ref="B87:C87"/>
    <mergeCell ref="B88:C88"/>
    <mergeCell ref="B89:C89"/>
    <mergeCell ref="B90:C90"/>
    <mergeCell ref="H90:H91"/>
    <mergeCell ref="B91:C91"/>
    <mergeCell ref="B79:G79"/>
    <mergeCell ref="A81:H81"/>
    <mergeCell ref="A82:H82"/>
    <mergeCell ref="D83:H83"/>
    <mergeCell ref="B85:C85"/>
    <mergeCell ref="B86:C86"/>
    <mergeCell ref="A74:H74"/>
    <mergeCell ref="A75:B78"/>
    <mergeCell ref="C75:F76"/>
    <mergeCell ref="G75:H76"/>
    <mergeCell ref="C77:F78"/>
    <mergeCell ref="G77:H77"/>
    <mergeCell ref="G78:H78"/>
    <mergeCell ref="B65:C65"/>
    <mergeCell ref="A66:H66"/>
    <mergeCell ref="A67:H67"/>
    <mergeCell ref="H68:H73"/>
    <mergeCell ref="B69:C69"/>
    <mergeCell ref="B70:C70"/>
    <mergeCell ref="B71:C71"/>
    <mergeCell ref="B72:C72"/>
    <mergeCell ref="B73:C73"/>
    <mergeCell ref="E63:H63"/>
    <mergeCell ref="A44:H44"/>
    <mergeCell ref="A45:H45"/>
    <mergeCell ref="C47:C48"/>
    <mergeCell ref="B51:G51"/>
    <mergeCell ref="A52:H52"/>
    <mergeCell ref="A53:B56"/>
    <mergeCell ref="C53:F54"/>
    <mergeCell ref="G53:H54"/>
    <mergeCell ref="C55:F56"/>
    <mergeCell ref="G55:H55"/>
    <mergeCell ref="G56:H56"/>
    <mergeCell ref="B57:F57"/>
    <mergeCell ref="A60:H60"/>
    <mergeCell ref="A61:H61"/>
    <mergeCell ref="A62:H62"/>
    <mergeCell ref="C39:C40"/>
    <mergeCell ref="C23:H23"/>
    <mergeCell ref="B24:C24"/>
    <mergeCell ref="F26:H26"/>
    <mergeCell ref="A27:H27"/>
    <mergeCell ref="A28:B31"/>
    <mergeCell ref="C28:F29"/>
    <mergeCell ref="G28:H29"/>
    <mergeCell ref="C30:F31"/>
    <mergeCell ref="G30:H30"/>
    <mergeCell ref="G31:H31"/>
    <mergeCell ref="B32:G32"/>
    <mergeCell ref="A34:H34"/>
    <mergeCell ref="A35:H35"/>
    <mergeCell ref="A36:H36"/>
    <mergeCell ref="E37:H37"/>
    <mergeCell ref="D20:G20"/>
    <mergeCell ref="A1:B4"/>
    <mergeCell ref="C1:G2"/>
    <mergeCell ref="C3:G4"/>
    <mergeCell ref="C5:G5"/>
    <mergeCell ref="C6:F6"/>
    <mergeCell ref="A7:H7"/>
    <mergeCell ref="A8:H8"/>
    <mergeCell ref="E9:H9"/>
    <mergeCell ref="D11:G11"/>
    <mergeCell ref="D14:G14"/>
    <mergeCell ref="D17:G17"/>
  </mergeCells>
  <pageMargins left="0.7" right="0.7" top="0.75" bottom="0.75" header="0.3" footer="0.3"/>
  <pageSetup orientation="landscape" scale="10"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7777777777778" bestFit="1"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658</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'Central Florida 2015'!$K$26</f>
        <v>548.99403492822557</v>
      </c>
      <c r="E12" s="76">
        <v>0</v>
      </c>
      <c r="F12" s="76">
        <v>0</v>
      </c>
      <c r="G12" s="76">
        <v>0</v>
      </c>
      <c r="H12" s="68">
        <f>SUM(D12:G12)</f>
        <v>548.99403492822557</v>
      </c>
    </row>
    <row r="13" spans="1:8" ht="15.6" thickTop="1" thickBot="1">
      <c r="A13" s="37">
        <v>2</v>
      </c>
      <c r="B13" s="49" t="s">
        <v>65</v>
      </c>
      <c r="C13" s="77"/>
      <c r="D13" s="75">
        <f>('Central Florida 2015'!$M$26*10^3)*10^-6</f>
        <v>0.023783922472881386</v>
      </c>
      <c r="E13" s="75">
        <v>0</v>
      </c>
      <c r="F13" s="75">
        <v>0</v>
      </c>
      <c r="G13" s="75">
        <v>0</v>
      </c>
      <c r="H13" s="74">
        <f>SUM(D13:G13)</f>
        <v>0.023783922472881386</v>
      </c>
    </row>
    <row r="14" spans="1:8" ht="15.6" thickTop="1" thickBot="1">
      <c r="A14" s="67"/>
      <c r="B14" s="312"/>
      <c r="C14" s="312"/>
      <c r="D14" s="1889" t="s">
        <v>66</v>
      </c>
      <c r="E14" s="1870"/>
      <c r="F14" s="1870"/>
      <c r="G14" s="1870"/>
      <c r="H14" s="71"/>
    </row>
    <row r="15" spans="1:8" ht="15.6" thickTop="1" thickBot="1">
      <c r="A15" s="37">
        <v>3</v>
      </c>
      <c r="B15" s="49" t="s">
        <v>50</v>
      </c>
      <c r="C15" s="72"/>
      <c r="D15" s="76">
        <f>'Central Florida 2015'!$L$26</f>
        <v>889.15311038022548</v>
      </c>
      <c r="E15" s="76">
        <v>0</v>
      </c>
      <c r="F15" s="76">
        <v>0</v>
      </c>
      <c r="G15" s="76">
        <v>0</v>
      </c>
      <c r="H15" s="68">
        <f>SUM(D15:G15)</f>
        <v>889.15311038022548</v>
      </c>
    </row>
    <row r="16" spans="1:8" ht="15.6" thickTop="1" thickBot="1">
      <c r="A16" s="37">
        <v>4</v>
      </c>
      <c r="B16" s="49" t="s">
        <v>65</v>
      </c>
      <c r="C16" s="72"/>
      <c r="D16" s="75">
        <f>('Central Florida 2015'!$M$26*10^3)*10^-6</f>
        <v>0.023783922472881386</v>
      </c>
      <c r="E16" s="75">
        <v>0</v>
      </c>
      <c r="F16" s="75">
        <v>0</v>
      </c>
      <c r="G16" s="75">
        <v>0</v>
      </c>
      <c r="H16" s="74">
        <f>SUM(D16:G16)</f>
        <v>0.023783922472881386</v>
      </c>
    </row>
    <row r="17" spans="1:8" ht="16.5" customHeight="1" thickTop="1" thickBot="1">
      <c r="A17" s="34"/>
      <c r="B17" s="22"/>
      <c r="C17" s="312"/>
      <c r="D17" s="1889" t="s">
        <v>64</v>
      </c>
      <c r="E17" s="1870"/>
      <c r="F17" s="1870"/>
      <c r="G17" s="1870"/>
      <c r="H17" s="71"/>
    </row>
    <row r="18" spans="1:8" ht="15.6" thickTop="1" thickBot="1">
      <c r="A18" s="37">
        <v>5</v>
      </c>
      <c r="B18" s="49" t="s">
        <v>41</v>
      </c>
      <c r="C18" s="72"/>
      <c r="D18" s="70">
        <f>'Central Florida 2015'!$C$12/1000</f>
        <v>4.8170000000000002</v>
      </c>
      <c r="E18" s="69">
        <v>0</v>
      </c>
      <c r="F18" s="69">
        <v>0</v>
      </c>
      <c r="G18" s="69">
        <v>0</v>
      </c>
      <c r="H18" s="68">
        <f>SUM(D18:G18)</f>
        <v>4.8170000000000002</v>
      </c>
    </row>
    <row r="19" spans="1:8" ht="15.6" thickTop="1" thickBot="1">
      <c r="A19" s="37">
        <v>6</v>
      </c>
      <c r="B19" s="73" t="s">
        <v>40</v>
      </c>
      <c r="C19" s="72"/>
      <c r="D19" s="70">
        <f>'Central Florida 2015'!$B$11/1000</f>
        <v>2.40</v>
      </c>
      <c r="E19" s="69">
        <v>0</v>
      </c>
      <c r="F19" s="69">
        <v>0</v>
      </c>
      <c r="G19" s="69">
        <v>0</v>
      </c>
      <c r="H19" s="68">
        <f>SUM(D19:G19)</f>
        <v>2.40</v>
      </c>
    </row>
    <row r="20" spans="1:8" ht="15.6" thickTop="1" thickBot="1">
      <c r="A20" s="67"/>
      <c r="B20" s="67"/>
      <c r="C20" s="312"/>
      <c r="D20" s="1889" t="s">
        <v>63</v>
      </c>
      <c r="E20" s="1870"/>
      <c r="F20" s="1870"/>
      <c r="G20" s="1870"/>
      <c r="H20" s="71"/>
    </row>
    <row r="21" spans="1:8" ht="15.6" thickTop="1" thickBot="1">
      <c r="A21" s="37">
        <v>7</v>
      </c>
      <c r="B21" s="49" t="s">
        <v>41</v>
      </c>
      <c r="C21" s="61"/>
      <c r="D21" s="70">
        <f>'Central Florida 2015'!$C$12/1000</f>
        <v>4.8170000000000002</v>
      </c>
      <c r="E21" s="69">
        <v>0</v>
      </c>
      <c r="F21" s="69">
        <v>0</v>
      </c>
      <c r="G21" s="69">
        <v>0</v>
      </c>
      <c r="H21" s="68">
        <f>SUM(D21:G21)</f>
        <v>4.8170000000000002</v>
      </c>
    </row>
    <row r="22" spans="1:8" ht="15.6" thickTop="1" thickBot="1">
      <c r="A22" s="37">
        <v>8</v>
      </c>
      <c r="B22" s="49" t="s">
        <v>40</v>
      </c>
      <c r="C22" s="61"/>
      <c r="D22" s="70">
        <f>'Central Florida 2015'!$B$11/1000</f>
        <v>2.40</v>
      </c>
      <c r="E22" s="69">
        <v>0</v>
      </c>
      <c r="F22" s="69">
        <v>0</v>
      </c>
      <c r="G22" s="69">
        <v>0</v>
      </c>
      <c r="H22" s="68">
        <f>SUM(D22:G22)</f>
        <v>2.40</v>
      </c>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'Central Florida 2015'!$J$26</f>
        <v>1.6196043195559888</v>
      </c>
      <c r="E25" s="59">
        <v>0</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Central Florida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311"/>
      <c r="D41" s="48">
        <v>0</v>
      </c>
      <c r="E41" s="48">
        <v>0</v>
      </c>
      <c r="F41" s="48">
        <v>0</v>
      </c>
      <c r="G41" s="48">
        <v>0</v>
      </c>
      <c r="H41" s="51">
        <f>SUM(D41:G41)</f>
        <v>0</v>
      </c>
    </row>
    <row r="42" spans="1:8" ht="15.6" thickTop="1" thickBot="1">
      <c r="A42" s="37">
        <v>4</v>
      </c>
      <c r="B42" s="53" t="s">
        <v>48</v>
      </c>
      <c r="C42" s="31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658</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310"/>
      <c r="F63" s="308"/>
      <c r="G63" s="308"/>
      <c r="H63" s="30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f>'Central Florida 2015'!$G$29</f>
        <v>2</v>
      </c>
      <c r="E65" s="36">
        <f>'Central Florida 2015'!$G$38</f>
        <v>2</v>
      </c>
      <c r="F65" s="36">
        <f>'Central Florida 2015'!$G$39</f>
        <v>265</v>
      </c>
      <c r="G65" s="36">
        <v>0</v>
      </c>
      <c r="H65" s="35">
        <f>SUM(D65:G65)</f>
        <v>269</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t="s">
        <v>657</v>
      </c>
      <c r="E69" s="27" t="s">
        <v>657</v>
      </c>
      <c r="F69" s="27" t="s">
        <v>657</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Central Florida Electric Coop, Inc. </v>
      </c>
      <c r="C79" s="1883"/>
      <c r="D79" s="1883"/>
      <c r="E79" s="1883"/>
      <c r="F79" s="1883"/>
      <c r="G79" s="1885"/>
      <c r="H79" s="20"/>
    </row>
    <row r="80" spans="1:8" ht="15.6" thickTop="1" thickBot="1">
      <c r="A80" s="22" t="s">
        <v>19</v>
      </c>
      <c r="B80" s="42"/>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15.6" thickTop="1" thickBot="1">
      <c r="A84" s="16"/>
      <c r="B84" s="16"/>
      <c r="C84" s="15"/>
      <c r="D84" s="13" t="s">
        <v>12</v>
      </c>
      <c r="E84" s="13" t="s">
        <v>11</v>
      </c>
      <c r="F84" s="14" t="s">
        <v>10</v>
      </c>
      <c r="G84" s="13" t="s">
        <v>9</v>
      </c>
      <c r="H84" s="13" t="s">
        <v>8</v>
      </c>
    </row>
    <row r="85" spans="1:8" ht="15.6" customHeight="1" thickTop="1" thickBot="1">
      <c r="A85" s="6">
        <v>1</v>
      </c>
      <c r="B85" s="1937" t="s">
        <v>7</v>
      </c>
      <c r="C85" s="1937"/>
      <c r="D85" s="12">
        <f>'Central Florida 2015'!C49</f>
        <v>0</v>
      </c>
      <c r="E85" s="12">
        <f>'Central Florida 2015'!C50</f>
        <v>0</v>
      </c>
      <c r="F85" s="12">
        <f>'Central Florida 2015'!C51</f>
        <v>0</v>
      </c>
      <c r="G85" s="11">
        <v>0</v>
      </c>
      <c r="H85" s="7">
        <f>SUM(D85:G85)</f>
        <v>0</v>
      </c>
    </row>
    <row r="86" spans="1:8" ht="42" customHeight="1" thickTop="1" thickBot="1">
      <c r="A86" s="6">
        <v>2</v>
      </c>
      <c r="B86" s="1937" t="s">
        <v>6</v>
      </c>
      <c r="C86" s="1937"/>
      <c r="D86" s="12">
        <f>'Central Florida 2015'!B49</f>
        <v>29818</v>
      </c>
      <c r="E86" s="12">
        <f>'Central Florida 2015'!B50</f>
        <v>2706</v>
      </c>
      <c r="F86" s="12">
        <f>'Central Florida 2015'!B51</f>
        <v>399</v>
      </c>
      <c r="G86" s="11">
        <v>0</v>
      </c>
      <c r="H86" s="7">
        <f>SUM(D86:G86)</f>
        <v>32923</v>
      </c>
    </row>
    <row r="87" spans="1:8" ht="31.95" customHeight="1" thickTop="1" thickBot="1">
      <c r="A87" s="6">
        <v>3</v>
      </c>
      <c r="B87" s="1942" t="s">
        <v>5</v>
      </c>
      <c r="C87" s="1943"/>
      <c r="D87" s="12">
        <v>0</v>
      </c>
      <c r="E87" s="12">
        <v>0</v>
      </c>
      <c r="F87" s="12">
        <v>0</v>
      </c>
      <c r="G87" s="12">
        <v>0</v>
      </c>
      <c r="H87" s="7">
        <f>SUM(D87:G87)</f>
        <v>0</v>
      </c>
    </row>
    <row r="88" spans="1:8" ht="15.6" customHeight="1" thickTop="1" thickBot="1">
      <c r="A88" s="6">
        <v>4</v>
      </c>
      <c r="B88" s="1937" t="s">
        <v>4</v>
      </c>
      <c r="C88" s="1937"/>
      <c r="D88" s="10">
        <v>0</v>
      </c>
      <c r="E88" s="10">
        <v>0</v>
      </c>
      <c r="F88" s="10">
        <v>0</v>
      </c>
      <c r="G88" s="10">
        <v>0</v>
      </c>
      <c r="H88" s="7">
        <f>SUM(D88:G88)</f>
        <v>0</v>
      </c>
    </row>
    <row r="89" spans="1:8" ht="36" customHeight="1" thickTop="1" thickBot="1">
      <c r="A89" s="6">
        <v>5</v>
      </c>
      <c r="B89" s="1944" t="s">
        <v>3</v>
      </c>
      <c r="C89" s="1944"/>
      <c r="D89" s="8">
        <f>D85+D86+D88</f>
        <v>29818</v>
      </c>
      <c r="E89" s="8">
        <f>E85+E86+E88</f>
        <v>2706</v>
      </c>
      <c r="F89" s="8">
        <f>F85+F86+F88</f>
        <v>399</v>
      </c>
      <c r="G89" s="8">
        <f>G85+G86+G88</f>
        <v>0</v>
      </c>
      <c r="H89" s="7">
        <f>SUM(D89:G89)</f>
        <v>32923</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1">
    <mergeCell ref="H90:H91"/>
    <mergeCell ref="B91:C91"/>
    <mergeCell ref="B86:C86"/>
    <mergeCell ref="B92:C92"/>
    <mergeCell ref="B87:C87"/>
    <mergeCell ref="B88:C88"/>
    <mergeCell ref="B89:C89"/>
    <mergeCell ref="B90:C90"/>
    <mergeCell ref="B79:G79"/>
    <mergeCell ref="A81:H81"/>
    <mergeCell ref="A82:H82"/>
    <mergeCell ref="D83:H83"/>
    <mergeCell ref="B85:C85"/>
    <mergeCell ref="G77:H77"/>
    <mergeCell ref="G78:H78"/>
    <mergeCell ref="A67:H67"/>
    <mergeCell ref="H68:H73"/>
    <mergeCell ref="B69:C69"/>
    <mergeCell ref="B70:C70"/>
    <mergeCell ref="B71:C71"/>
    <mergeCell ref="B72:C72"/>
    <mergeCell ref="B73:C73"/>
    <mergeCell ref="A74:H74"/>
    <mergeCell ref="A75:B78"/>
    <mergeCell ref="C75:F76"/>
    <mergeCell ref="G75:H76"/>
    <mergeCell ref="C77:F78"/>
    <mergeCell ref="A62:H62"/>
    <mergeCell ref="B65:C65"/>
    <mergeCell ref="A66:H66"/>
    <mergeCell ref="A45:H45"/>
    <mergeCell ref="C47:C48"/>
    <mergeCell ref="B51:G51"/>
    <mergeCell ref="A52:H52"/>
    <mergeCell ref="A53:B56"/>
    <mergeCell ref="C53:F54"/>
    <mergeCell ref="G53:H54"/>
    <mergeCell ref="C55:F56"/>
    <mergeCell ref="G55:H55"/>
    <mergeCell ref="G56:H56"/>
    <mergeCell ref="B57:F57"/>
    <mergeCell ref="A60:H60"/>
    <mergeCell ref="A61:H61"/>
    <mergeCell ref="A34:H34"/>
    <mergeCell ref="A35:H35"/>
    <mergeCell ref="A36:H36"/>
    <mergeCell ref="C39:C40"/>
    <mergeCell ref="A44:H44"/>
    <mergeCell ref="G30:H30"/>
    <mergeCell ref="G31:H31"/>
    <mergeCell ref="B32:G32"/>
    <mergeCell ref="C23:H23"/>
    <mergeCell ref="B24:C24"/>
    <mergeCell ref="F26:H26"/>
    <mergeCell ref="A27:H27"/>
    <mergeCell ref="A28:B31"/>
    <mergeCell ref="C28:F29"/>
    <mergeCell ref="G28:H29"/>
    <mergeCell ref="C30:F31"/>
    <mergeCell ref="D17:G17"/>
    <mergeCell ref="D20:G20"/>
    <mergeCell ref="A1:B4"/>
    <mergeCell ref="C1:G2"/>
    <mergeCell ref="C3:G4"/>
    <mergeCell ref="C5:G5"/>
    <mergeCell ref="C6:F6"/>
    <mergeCell ref="A7:H7"/>
    <mergeCell ref="A8:H8"/>
    <mergeCell ref="E9:H9"/>
    <mergeCell ref="D11:G11"/>
    <mergeCell ref="D14:G14"/>
  </mergeCells>
  <pageMargins left="0.7" right="0.7" top="0.75" bottom="0.75" header="0.3" footer="0.3"/>
  <pageSetup orientation="landscape" scale="10"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802</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'Sumter 2015'!$K$24</f>
        <v>4050.5480461546963</v>
      </c>
      <c r="E12" s="76">
        <v>0</v>
      </c>
      <c r="F12" s="76">
        <v>0</v>
      </c>
      <c r="G12" s="76">
        <v>0</v>
      </c>
      <c r="H12" s="68">
        <f>SUM(D12:G12)</f>
        <v>4050.5480461546963</v>
      </c>
    </row>
    <row r="13" spans="1:8" ht="15.6" thickTop="1" thickBot="1">
      <c r="A13" s="37">
        <v>2</v>
      </c>
      <c r="B13" s="49" t="s">
        <v>65</v>
      </c>
      <c r="C13" s="77"/>
      <c r="D13" s="75">
        <f>('Sumter 2015'!$M$24*10^3)*10^-6</f>
        <v>0.11345589507927052</v>
      </c>
      <c r="E13" s="75">
        <v>0</v>
      </c>
      <c r="F13" s="75">
        <v>0</v>
      </c>
      <c r="G13" s="75">
        <v>0</v>
      </c>
      <c r="H13" s="74">
        <f>SUM(D13:G13)</f>
        <v>0.11345589507927052</v>
      </c>
    </row>
    <row r="14" spans="1:8" ht="15.6" thickTop="1" thickBot="1">
      <c r="A14" s="67"/>
      <c r="B14" s="312"/>
      <c r="C14" s="312"/>
      <c r="D14" s="1889" t="s">
        <v>66</v>
      </c>
      <c r="E14" s="1870"/>
      <c r="F14" s="1870"/>
      <c r="G14" s="1870"/>
      <c r="H14" s="71"/>
    </row>
    <row r="15" spans="1:8" ht="15.6" thickTop="1" thickBot="1">
      <c r="A15" s="37">
        <v>3</v>
      </c>
      <c r="B15" s="49" t="s">
        <v>50</v>
      </c>
      <c r="C15" s="72"/>
      <c r="D15" s="76">
        <f>'Sumter 2015'!$L$24</f>
        <v>7238.3218381546958</v>
      </c>
      <c r="E15" s="76">
        <v>0</v>
      </c>
      <c r="F15" s="76">
        <v>0</v>
      </c>
      <c r="G15" s="76">
        <v>0</v>
      </c>
      <c r="H15" s="68">
        <f>SUM(D15:G15)</f>
        <v>7238.3218381546958</v>
      </c>
    </row>
    <row r="16" spans="1:8" ht="15.6" thickTop="1" thickBot="1">
      <c r="A16" s="37">
        <v>4</v>
      </c>
      <c r="B16" s="49" t="s">
        <v>65</v>
      </c>
      <c r="C16" s="72"/>
      <c r="D16" s="75">
        <f>('Sumter 2015'!$M$24*10^3)*10^-6</f>
        <v>0.11345589507927052</v>
      </c>
      <c r="E16" s="75">
        <v>0</v>
      </c>
      <c r="F16" s="75">
        <v>0</v>
      </c>
      <c r="G16" s="75">
        <v>0</v>
      </c>
      <c r="H16" s="74">
        <f>SUM(D16:G16)</f>
        <v>0.11345589507927052</v>
      </c>
    </row>
    <row r="17" spans="1:8" ht="16.5" customHeight="1" thickTop="1" thickBot="1">
      <c r="A17" s="34"/>
      <c r="B17" s="22"/>
      <c r="C17" s="312"/>
      <c r="D17" s="1889" t="s">
        <v>64</v>
      </c>
      <c r="E17" s="1870"/>
      <c r="F17" s="1870"/>
      <c r="G17" s="1870"/>
      <c r="H17" s="71"/>
    </row>
    <row r="18" spans="1:8" ht="15.6" thickTop="1" thickBot="1">
      <c r="A18" s="37">
        <v>5</v>
      </c>
      <c r="B18" s="49" t="s">
        <v>41</v>
      </c>
      <c r="C18" s="72"/>
      <c r="D18" s="70">
        <f>'Sumter 2015'!$C$8/1000</f>
        <v>21.335799999999999</v>
      </c>
      <c r="E18" s="69">
        <v>0</v>
      </c>
      <c r="F18" s="69">
        <v>0</v>
      </c>
      <c r="G18" s="69">
        <v>0</v>
      </c>
      <c r="H18" s="68">
        <f>SUM(D18:G18)</f>
        <v>21.335799999999999</v>
      </c>
    </row>
    <row r="19" spans="1:8" ht="15.6" thickTop="1" thickBot="1">
      <c r="A19" s="37">
        <v>6</v>
      </c>
      <c r="B19" s="73" t="s">
        <v>40</v>
      </c>
      <c r="C19" s="72"/>
      <c r="D19" s="70">
        <f>'Sumter 2015'!$B$12/1000</f>
        <v>65.18709168451079</v>
      </c>
      <c r="E19" s="69">
        <v>0</v>
      </c>
      <c r="F19" s="69">
        <v>0</v>
      </c>
      <c r="G19" s="69">
        <v>0</v>
      </c>
      <c r="H19" s="68">
        <f>SUM(D19:G19)</f>
        <v>65.18709168451079</v>
      </c>
    </row>
    <row r="20" spans="1:8" ht="15.6" thickTop="1" thickBot="1">
      <c r="A20" s="67"/>
      <c r="B20" s="67"/>
      <c r="C20" s="312"/>
      <c r="D20" s="1889" t="s">
        <v>63</v>
      </c>
      <c r="E20" s="1870"/>
      <c r="F20" s="1870"/>
      <c r="G20" s="1870"/>
      <c r="H20" s="71"/>
    </row>
    <row r="21" spans="1:8" ht="15.6" thickTop="1" thickBot="1">
      <c r="A21" s="37">
        <v>7</v>
      </c>
      <c r="B21" s="49" t="s">
        <v>41</v>
      </c>
      <c r="C21" s="61"/>
      <c r="D21" s="70">
        <f>'Sumter 2015'!$C$8/1000</f>
        <v>21.335799999999999</v>
      </c>
      <c r="E21" s="69">
        <v>0</v>
      </c>
      <c r="F21" s="69">
        <v>0</v>
      </c>
      <c r="G21" s="69">
        <v>0</v>
      </c>
      <c r="H21" s="68">
        <f>SUM(D21:G21)</f>
        <v>21.335799999999999</v>
      </c>
    </row>
    <row r="22" spans="1:8" ht="15.6" thickTop="1" thickBot="1">
      <c r="A22" s="37">
        <v>8</v>
      </c>
      <c r="B22" s="49" t="s">
        <v>40</v>
      </c>
      <c r="C22" s="61"/>
      <c r="D22" s="70">
        <f>'Sumter 2015'!$B$12/1000</f>
        <v>65.18709168451079</v>
      </c>
      <c r="E22" s="69">
        <v>0</v>
      </c>
      <c r="F22" s="69">
        <v>0</v>
      </c>
      <c r="G22" s="69">
        <v>0</v>
      </c>
      <c r="H22" s="68">
        <f>SUM(D22:G22)</f>
        <v>65.18709168451079</v>
      </c>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'Sumter 2015'!$J$24</f>
        <v>1.786998143381177</v>
      </c>
      <c r="E25" s="59">
        <v>0</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Sumter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f>'Sumter 2015'!$G$37</f>
        <v>27</v>
      </c>
      <c r="F39" s="48">
        <v>0</v>
      </c>
      <c r="G39" s="48">
        <v>0</v>
      </c>
      <c r="H39" s="7">
        <f>SUM(D39:G39)</f>
        <v>27</v>
      </c>
    </row>
    <row r="40" spans="1:8" ht="15.6" thickTop="1" thickBot="1">
      <c r="A40" s="37">
        <v>2</v>
      </c>
      <c r="B40" s="49" t="s">
        <v>50</v>
      </c>
      <c r="C40" s="1896"/>
      <c r="D40" s="48">
        <v>0</v>
      </c>
      <c r="E40" s="48">
        <v>158</v>
      </c>
      <c r="F40" s="48">
        <v>0</v>
      </c>
      <c r="G40" s="48">
        <v>0</v>
      </c>
      <c r="H40" s="7">
        <f>SUM(D40:G40)</f>
        <v>158</v>
      </c>
    </row>
    <row r="41" spans="1:8" ht="15.6" thickTop="1" thickBot="1">
      <c r="A41" s="37">
        <v>3</v>
      </c>
      <c r="B41" s="49" t="s">
        <v>49</v>
      </c>
      <c r="C41" s="311"/>
      <c r="D41" s="48">
        <v>0</v>
      </c>
      <c r="E41" s="48">
        <v>18</v>
      </c>
      <c r="F41" s="48">
        <v>0</v>
      </c>
      <c r="G41" s="48">
        <v>0</v>
      </c>
      <c r="H41" s="51">
        <f>SUM(D41:G41)</f>
        <v>18</v>
      </c>
    </row>
    <row r="42" spans="1:8" ht="15.6" thickTop="1" thickBot="1">
      <c r="A42" s="37">
        <v>4</v>
      </c>
      <c r="B42" s="53" t="s">
        <v>48</v>
      </c>
      <c r="C42" s="311"/>
      <c r="D42" s="48">
        <v>0</v>
      </c>
      <c r="E42" s="48">
        <v>17</v>
      </c>
      <c r="F42" s="48">
        <v>0</v>
      </c>
      <c r="G42" s="48">
        <v>0</v>
      </c>
      <c r="H42" s="51">
        <f>SUM(D42:G42)</f>
        <v>17</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802</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310"/>
      <c r="F63" s="308"/>
      <c r="G63" s="308"/>
      <c r="H63" s="30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f>'Sumter 2015'!$G$38</f>
        <v>27</v>
      </c>
      <c r="F65" s="36">
        <v>0</v>
      </c>
      <c r="G65" s="36">
        <v>0</v>
      </c>
      <c r="H65" s="35">
        <f>SUM(D65:G65)</f>
        <v>27</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v>0</v>
      </c>
      <c r="E69" s="27" t="s">
        <v>657</v>
      </c>
      <c r="F69" s="27">
        <v>0</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t="s">
        <v>657</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Sumter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f>'Sumter 2015'!C47</f>
        <v>0</v>
      </c>
      <c r="E85" s="12">
        <f>'Sumter 2015'!C48</f>
        <v>0</v>
      </c>
      <c r="F85" s="12">
        <f>'Sumter 2015'!C49</f>
        <v>0</v>
      </c>
      <c r="G85" s="11">
        <v>0</v>
      </c>
      <c r="H85" s="7">
        <f>SUM(D85:G85)</f>
        <v>0</v>
      </c>
    </row>
    <row r="86" spans="1:8" ht="42" customHeight="1" thickTop="1" thickBot="1">
      <c r="A86" s="6">
        <v>2</v>
      </c>
      <c r="B86" s="1937" t="s">
        <v>6</v>
      </c>
      <c r="C86" s="1937"/>
      <c r="D86" s="12">
        <f>'Sumter 2015'!B47</f>
        <v>4366</v>
      </c>
      <c r="E86" s="12">
        <f>'Sumter 2015'!B48</f>
        <v>0</v>
      </c>
      <c r="F86" s="12">
        <f>'Sumter 2015'!B49</f>
        <v>0</v>
      </c>
      <c r="G86" s="11">
        <v>0</v>
      </c>
      <c r="H86" s="7">
        <f>SUM(D86:G86)</f>
        <v>4366</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4366</v>
      </c>
      <c r="E89" s="8">
        <f>E85+E86+E88</f>
        <v>0</v>
      </c>
      <c r="F89" s="8">
        <f>F85+F86+F88</f>
        <v>0</v>
      </c>
      <c r="G89" s="8">
        <f>G85+G86+G88</f>
        <v>0</v>
      </c>
      <c r="H89" s="7">
        <f>SUM(D89:G89)</f>
        <v>4366</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1">
    <mergeCell ref="A7:H7"/>
    <mergeCell ref="A8:H8"/>
    <mergeCell ref="E9:H9"/>
    <mergeCell ref="D11:G11"/>
    <mergeCell ref="A1:B4"/>
    <mergeCell ref="C1:G2"/>
    <mergeCell ref="C3:G4"/>
    <mergeCell ref="C5:G5"/>
    <mergeCell ref="C6:F6"/>
    <mergeCell ref="B32:G32"/>
    <mergeCell ref="A35:H35"/>
    <mergeCell ref="D14:G14"/>
    <mergeCell ref="D17:G17"/>
    <mergeCell ref="A44:H44"/>
    <mergeCell ref="C23:H23"/>
    <mergeCell ref="B24:C24"/>
    <mergeCell ref="F26:H26"/>
    <mergeCell ref="A27:H27"/>
    <mergeCell ref="A28:B31"/>
    <mergeCell ref="C28:F29"/>
    <mergeCell ref="G28:H29"/>
    <mergeCell ref="D20:G20"/>
    <mergeCell ref="C30:F31"/>
    <mergeCell ref="G30:H30"/>
    <mergeCell ref="G31:H31"/>
    <mergeCell ref="B57:F57"/>
    <mergeCell ref="A34:H34"/>
    <mergeCell ref="A61:H61"/>
    <mergeCell ref="A36:H36"/>
    <mergeCell ref="C39:C40"/>
    <mergeCell ref="A45:H45"/>
    <mergeCell ref="C47:C48"/>
    <mergeCell ref="B51:G51"/>
    <mergeCell ref="A52:H52"/>
    <mergeCell ref="A53:B56"/>
    <mergeCell ref="C53:F54"/>
    <mergeCell ref="G53:H54"/>
    <mergeCell ref="C55:F56"/>
    <mergeCell ref="G55:H55"/>
    <mergeCell ref="G56:H56"/>
    <mergeCell ref="A60:H60"/>
    <mergeCell ref="A62:H62"/>
    <mergeCell ref="B65:C65"/>
    <mergeCell ref="A67:H67"/>
    <mergeCell ref="H68:H73"/>
    <mergeCell ref="B69:C69"/>
    <mergeCell ref="B70:C70"/>
    <mergeCell ref="B71:C71"/>
    <mergeCell ref="B72:C72"/>
    <mergeCell ref="B73:C73"/>
    <mergeCell ref="A66:H66"/>
    <mergeCell ref="A74:H74"/>
    <mergeCell ref="A75:B78"/>
    <mergeCell ref="C75:F76"/>
    <mergeCell ref="G75:H76"/>
    <mergeCell ref="C77:F78"/>
    <mergeCell ref="G77:H77"/>
    <mergeCell ref="G78:H78"/>
    <mergeCell ref="H90:H91"/>
    <mergeCell ref="B91:C91"/>
    <mergeCell ref="B79:G79"/>
    <mergeCell ref="A81:H81"/>
    <mergeCell ref="A82:H82"/>
    <mergeCell ref="D83:H83"/>
    <mergeCell ref="B85:C85"/>
    <mergeCell ref="B86:C86"/>
    <mergeCell ref="B92:C92"/>
    <mergeCell ref="B87:C87"/>
    <mergeCell ref="B88:C88"/>
    <mergeCell ref="B89:C89"/>
    <mergeCell ref="B90:C90"/>
  </mergeCells>
  <pageMargins left="0.7" right="0.7" top="0.75" bottom="0.75" header="0.3" footer="0.3"/>
  <pageSetup orientation="landscape" scale="10"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824</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'Withlacoochee 2015'!$K$23</f>
        <v>5.5925855999999996</v>
      </c>
      <c r="E12" s="76">
        <v>0</v>
      </c>
      <c r="F12" s="76">
        <v>0</v>
      </c>
      <c r="G12" s="76">
        <v>0</v>
      </c>
      <c r="H12" s="68">
        <f>SUM(D12:G12)</f>
        <v>5.5925855999999996</v>
      </c>
    </row>
    <row r="13" spans="1:8" ht="15.6" thickTop="1" thickBot="1">
      <c r="A13" s="37">
        <v>2</v>
      </c>
      <c r="B13" s="49" t="s">
        <v>65</v>
      </c>
      <c r="C13" s="77"/>
      <c r="D13" s="75">
        <f>('Withlacoochee 2015'!$M$23*10^3)*10^-6</f>
        <v>0.00064931673151750959</v>
      </c>
      <c r="E13" s="75">
        <v>0</v>
      </c>
      <c r="F13" s="75">
        <v>0</v>
      </c>
      <c r="G13" s="75">
        <v>0</v>
      </c>
      <c r="H13" s="74">
        <f>SUM(D13:G13)</f>
        <v>0.00064931673151750959</v>
      </c>
    </row>
    <row r="14" spans="1:8" ht="15.6" thickTop="1" thickBot="1">
      <c r="A14" s="67"/>
      <c r="B14" s="312"/>
      <c r="C14" s="312"/>
      <c r="D14" s="1889" t="s">
        <v>66</v>
      </c>
      <c r="E14" s="1870"/>
      <c r="F14" s="1870"/>
      <c r="G14" s="1870"/>
      <c r="H14" s="71"/>
    </row>
    <row r="15" spans="1:8" ht="15.6" thickTop="1" thickBot="1">
      <c r="A15" s="37">
        <v>3</v>
      </c>
      <c r="B15" s="49" t="s">
        <v>50</v>
      </c>
      <c r="C15" s="72"/>
      <c r="D15" s="76">
        <f>'Withlacoochee 2015'!$L$22</f>
        <v>111.85171199999999</v>
      </c>
      <c r="E15" s="76">
        <v>0</v>
      </c>
      <c r="F15" s="76">
        <v>0</v>
      </c>
      <c r="G15" s="76">
        <v>0</v>
      </c>
      <c r="H15" s="68">
        <f>SUM(D15:G15)</f>
        <v>111.85171199999999</v>
      </c>
    </row>
    <row r="16" spans="1:8" ht="15.6" thickTop="1" thickBot="1">
      <c r="A16" s="37">
        <v>4</v>
      </c>
      <c r="B16" s="49" t="s">
        <v>65</v>
      </c>
      <c r="C16" s="72"/>
      <c r="D16" s="75">
        <f>('Withlacoochee 2015'!$M$23*10^3)*10^-6</f>
        <v>0.00064931673151750959</v>
      </c>
      <c r="E16" s="75">
        <v>0</v>
      </c>
      <c r="F16" s="75">
        <v>0</v>
      </c>
      <c r="G16" s="75">
        <v>0</v>
      </c>
      <c r="H16" s="74">
        <f>SUM(D16:G16)</f>
        <v>0.00064931673151750959</v>
      </c>
    </row>
    <row r="17" spans="1:8" ht="16.5" customHeight="1" thickTop="1" thickBot="1">
      <c r="A17" s="34"/>
      <c r="B17" s="22"/>
      <c r="C17" s="312"/>
      <c r="D17" s="1889" t="s">
        <v>64</v>
      </c>
      <c r="E17" s="1870"/>
      <c r="F17" s="1870"/>
      <c r="G17" s="1870"/>
      <c r="H17" s="71"/>
    </row>
    <row r="18" spans="1:8" ht="15.6" thickTop="1" thickBot="1">
      <c r="A18" s="37">
        <v>5</v>
      </c>
      <c r="B18" s="49" t="s">
        <v>41</v>
      </c>
      <c r="C18" s="72"/>
      <c r="D18" s="70">
        <f>'Withlacoochee 2015'!$D$23/1000</f>
        <v>1.847</v>
      </c>
      <c r="E18" s="69">
        <v>0</v>
      </c>
      <c r="F18" s="69">
        <v>0</v>
      </c>
      <c r="G18" s="69">
        <v>0</v>
      </c>
      <c r="H18" s="68">
        <f>SUM(D18:G18)</f>
        <v>1.847</v>
      </c>
    </row>
    <row r="19" spans="1:8" ht="15.6" thickTop="1" thickBot="1">
      <c r="A19" s="37">
        <v>6</v>
      </c>
      <c r="B19" s="73" t="s">
        <v>40</v>
      </c>
      <c r="C19" s="72"/>
      <c r="D19" s="70">
        <f>'Withlacoochee 2015'!$B$8/1000</f>
        <v>0</v>
      </c>
      <c r="E19" s="69">
        <v>0</v>
      </c>
      <c r="F19" s="69">
        <v>0</v>
      </c>
      <c r="G19" s="69">
        <v>0</v>
      </c>
      <c r="H19" s="68">
        <f>SUM(D19:G19)</f>
        <v>0</v>
      </c>
    </row>
    <row r="20" spans="1:8" ht="15.6" thickTop="1" thickBot="1">
      <c r="A20" s="67"/>
      <c r="B20" s="67"/>
      <c r="C20" s="312"/>
      <c r="D20" s="1889" t="s">
        <v>63</v>
      </c>
      <c r="E20" s="1870"/>
      <c r="F20" s="1870"/>
      <c r="G20" s="1870"/>
      <c r="H20" s="71"/>
    </row>
    <row r="21" spans="1:8" ht="15.6" thickTop="1" thickBot="1">
      <c r="A21" s="37">
        <v>7</v>
      </c>
      <c r="B21" s="49" t="s">
        <v>41</v>
      </c>
      <c r="C21" s="61"/>
      <c r="D21" s="70">
        <f>'Withlacoochee 2015'!$D$23/1000</f>
        <v>1.847</v>
      </c>
      <c r="E21" s="69">
        <v>0</v>
      </c>
      <c r="F21" s="69">
        <v>0</v>
      </c>
      <c r="G21" s="69">
        <v>0</v>
      </c>
      <c r="H21" s="68">
        <f>SUM(D21:G21)</f>
        <v>1.847</v>
      </c>
    </row>
    <row r="22" spans="1:8" ht="15.6" thickTop="1" thickBot="1">
      <c r="A22" s="37">
        <v>8</v>
      </c>
      <c r="B22" s="49" t="s">
        <v>40</v>
      </c>
      <c r="C22" s="61"/>
      <c r="D22" s="70">
        <f>'Withlacoochee 2015'!$B$8/1000</f>
        <v>0</v>
      </c>
      <c r="E22" s="69">
        <v>0</v>
      </c>
      <c r="F22" s="69">
        <v>0</v>
      </c>
      <c r="G22" s="69">
        <v>0</v>
      </c>
      <c r="H22" s="68">
        <f>SUM(D22:G22)</f>
        <v>0</v>
      </c>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'Withlacoochee 2015'!$J$23</f>
        <v>20</v>
      </c>
      <c r="E25" s="59">
        <v>0</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Withlacoochee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311"/>
      <c r="D41" s="48">
        <v>0</v>
      </c>
      <c r="E41" s="48">
        <v>0</v>
      </c>
      <c r="F41" s="48">
        <v>0</v>
      </c>
      <c r="G41" s="48">
        <v>0</v>
      </c>
      <c r="H41" s="51">
        <f>SUM(D41:G41)</f>
        <v>0</v>
      </c>
    </row>
    <row r="42" spans="1:8" ht="15.6" thickTop="1" thickBot="1">
      <c r="A42" s="37">
        <v>4</v>
      </c>
      <c r="B42" s="53" t="s">
        <v>48</v>
      </c>
      <c r="C42" s="31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824</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310"/>
      <c r="F63" s="308"/>
      <c r="G63" s="308"/>
      <c r="H63" s="30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v>0</v>
      </c>
      <c r="F65" s="36">
        <v>0</v>
      </c>
      <c r="G65" s="36">
        <v>0</v>
      </c>
      <c r="H65" s="35">
        <f>SUM(D65:G65)</f>
        <v>0</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v>0</v>
      </c>
      <c r="E69" s="27">
        <v>0</v>
      </c>
      <c r="F69" s="27">
        <v>0</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Withlacoochee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f>'Withlacoochee 2015'!$C$46</f>
        <v>0</v>
      </c>
      <c r="E85" s="12">
        <f>'Withlacoochee 2015'!$C$47</f>
        <v>0</v>
      </c>
      <c r="F85" s="12">
        <f>'Withlacoochee 2015'!$C$48</f>
        <v>0</v>
      </c>
      <c r="G85" s="11">
        <v>0</v>
      </c>
      <c r="H85" s="7">
        <f>SUM(D85:G85)</f>
        <v>0</v>
      </c>
    </row>
    <row r="86" spans="1:8" ht="42" customHeight="1" thickTop="1" thickBot="1">
      <c r="A86" s="6">
        <v>2</v>
      </c>
      <c r="B86" s="1937" t="s">
        <v>6</v>
      </c>
      <c r="C86" s="1937"/>
      <c r="D86" s="12">
        <f>'Withlacoochee 2015'!$B$46</f>
        <v>0</v>
      </c>
      <c r="E86" s="12">
        <f>'Withlacoochee 2015'!$B$47</f>
        <v>0</v>
      </c>
      <c r="F86" s="12">
        <f>'Withlacoochee 2015'!$B$48</f>
        <v>0</v>
      </c>
      <c r="G86" s="11">
        <v>0</v>
      </c>
      <c r="H86" s="7">
        <f>SUM(D86:G86)</f>
        <v>0</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0</v>
      </c>
      <c r="E89" s="8">
        <f>E85+E86+E88</f>
        <v>0</v>
      </c>
      <c r="F89" s="8">
        <f>F85+F86+F88</f>
        <v>0</v>
      </c>
      <c r="G89" s="8">
        <f>G85+G86+G88</f>
        <v>0</v>
      </c>
      <c r="H89" s="7">
        <f>SUM(D89:G89)</f>
        <v>0</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1">
    <mergeCell ref="H90:H91"/>
    <mergeCell ref="B91:C91"/>
    <mergeCell ref="B86:C86"/>
    <mergeCell ref="B92:C92"/>
    <mergeCell ref="B87:C87"/>
    <mergeCell ref="B88:C88"/>
    <mergeCell ref="B89:C89"/>
    <mergeCell ref="B90:C90"/>
    <mergeCell ref="B79:G79"/>
    <mergeCell ref="A81:H81"/>
    <mergeCell ref="A82:H82"/>
    <mergeCell ref="D83:H83"/>
    <mergeCell ref="B85:C85"/>
    <mergeCell ref="G77:H77"/>
    <mergeCell ref="G78:H78"/>
    <mergeCell ref="A67:H67"/>
    <mergeCell ref="H68:H73"/>
    <mergeCell ref="B69:C69"/>
    <mergeCell ref="B70:C70"/>
    <mergeCell ref="B71:C71"/>
    <mergeCell ref="B72:C72"/>
    <mergeCell ref="B73:C73"/>
    <mergeCell ref="A74:H74"/>
    <mergeCell ref="A75:B78"/>
    <mergeCell ref="C75:F76"/>
    <mergeCell ref="G75:H76"/>
    <mergeCell ref="C77:F78"/>
    <mergeCell ref="A62:H62"/>
    <mergeCell ref="B65:C65"/>
    <mergeCell ref="A66:H66"/>
    <mergeCell ref="A45:H45"/>
    <mergeCell ref="C47:C48"/>
    <mergeCell ref="B51:G51"/>
    <mergeCell ref="A52:H52"/>
    <mergeCell ref="A53:B56"/>
    <mergeCell ref="C53:F54"/>
    <mergeCell ref="G53:H54"/>
    <mergeCell ref="C55:F56"/>
    <mergeCell ref="G55:H55"/>
    <mergeCell ref="G56:H56"/>
    <mergeCell ref="B57:F57"/>
    <mergeCell ref="A60:H60"/>
    <mergeCell ref="A61:H61"/>
    <mergeCell ref="A34:H34"/>
    <mergeCell ref="A35:H35"/>
    <mergeCell ref="A36:H36"/>
    <mergeCell ref="C39:C40"/>
    <mergeCell ref="A44:H44"/>
    <mergeCell ref="G30:H30"/>
    <mergeCell ref="G31:H31"/>
    <mergeCell ref="B32:G32"/>
    <mergeCell ref="C23:H23"/>
    <mergeCell ref="B24:C24"/>
    <mergeCell ref="F26:H26"/>
    <mergeCell ref="A27:H27"/>
    <mergeCell ref="A28:B31"/>
    <mergeCell ref="C28:F29"/>
    <mergeCell ref="G28:H29"/>
    <mergeCell ref="C30:F31"/>
    <mergeCell ref="D17:G17"/>
    <mergeCell ref="D20:G20"/>
    <mergeCell ref="A1:B4"/>
    <mergeCell ref="C1:G2"/>
    <mergeCell ref="C3:G4"/>
    <mergeCell ref="C5:G5"/>
    <mergeCell ref="C6:F6"/>
    <mergeCell ref="A7:H7"/>
    <mergeCell ref="A8:H8"/>
    <mergeCell ref="E9:H9"/>
    <mergeCell ref="D11:G11"/>
    <mergeCell ref="D14:G14"/>
  </mergeCells>
  <pageMargins left="0.7" right="0.7" top="0.75" bottom="0.75" header="0.3" footer="0.3"/>
  <pageSetup orientation="landscape" scale="10"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800</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'Peace River 2015'!$K$24</f>
        <v>26.123803350119996</v>
      </c>
      <c r="E12" s="76">
        <v>0</v>
      </c>
      <c r="F12" s="76">
        <v>0</v>
      </c>
      <c r="G12" s="76">
        <v>0</v>
      </c>
      <c r="H12" s="68">
        <f>SUM(D12:G12)</f>
        <v>26.123803350119996</v>
      </c>
    </row>
    <row r="13" spans="1:8" ht="15.6" thickTop="1" thickBot="1">
      <c r="A13" s="37">
        <v>2</v>
      </c>
      <c r="B13" s="49" t="s">
        <v>65</v>
      </c>
      <c r="C13" s="77"/>
      <c r="D13" s="75">
        <f>('Peace River 2015'!$M$24*10^3)*10^-6</f>
        <v>0.0030003843968871599</v>
      </c>
      <c r="E13" s="75">
        <v>0</v>
      </c>
      <c r="F13" s="75">
        <v>0</v>
      </c>
      <c r="G13" s="75">
        <v>0</v>
      </c>
      <c r="H13" s="74">
        <f>SUM(D13:G13)</f>
        <v>0.0030003843968871599</v>
      </c>
    </row>
    <row r="14" spans="1:8" ht="15.6" thickTop="1" thickBot="1">
      <c r="A14" s="67"/>
      <c r="B14" s="312"/>
      <c r="C14" s="312"/>
      <c r="D14" s="1889" t="s">
        <v>66</v>
      </c>
      <c r="E14" s="1870"/>
      <c r="F14" s="1870"/>
      <c r="G14" s="1870"/>
      <c r="H14" s="71"/>
    </row>
    <row r="15" spans="1:8" ht="15.6" thickTop="1" thickBot="1">
      <c r="A15" s="37">
        <v>3</v>
      </c>
      <c r="B15" s="49" t="s">
        <v>50</v>
      </c>
      <c r="C15" s="72"/>
      <c r="D15" s="76">
        <f>'Peace River 2015'!$L$24</f>
        <v>255.57023625083997</v>
      </c>
      <c r="E15" s="76">
        <v>0</v>
      </c>
      <c r="F15" s="76">
        <v>0</v>
      </c>
      <c r="G15" s="76">
        <v>0</v>
      </c>
      <c r="H15" s="68">
        <f>SUM(D15:G15)</f>
        <v>255.57023625083997</v>
      </c>
    </row>
    <row r="16" spans="1:8" ht="15.6" thickTop="1" thickBot="1">
      <c r="A16" s="37">
        <v>4</v>
      </c>
      <c r="B16" s="49" t="s">
        <v>65</v>
      </c>
      <c r="C16" s="72"/>
      <c r="D16" s="75">
        <f>('Peace River 2015'!$M$24*10^3)*10^-6</f>
        <v>0.0030003843968871599</v>
      </c>
      <c r="E16" s="75">
        <v>0</v>
      </c>
      <c r="F16" s="75">
        <v>0</v>
      </c>
      <c r="G16" s="75">
        <v>0</v>
      </c>
      <c r="H16" s="74">
        <f>SUM(D16:G16)</f>
        <v>0.0030003843968871599</v>
      </c>
    </row>
    <row r="17" spans="1:8" ht="16.5" customHeight="1" thickTop="1" thickBot="1">
      <c r="A17" s="34"/>
      <c r="B17" s="22"/>
      <c r="C17" s="312"/>
      <c r="D17" s="1889" t="s">
        <v>64</v>
      </c>
      <c r="E17" s="1870"/>
      <c r="F17" s="1870"/>
      <c r="G17" s="1870"/>
      <c r="H17" s="71"/>
    </row>
    <row r="18" spans="1:8" ht="15.6" thickTop="1" thickBot="1">
      <c r="A18" s="37">
        <v>5</v>
      </c>
      <c r="B18" s="49" t="s">
        <v>41</v>
      </c>
      <c r="C18" s="72"/>
      <c r="D18" s="70">
        <f>'Peace River 2015'!$C$8/1000</f>
        <v>3.2294999999999998</v>
      </c>
      <c r="E18" s="69">
        <v>0</v>
      </c>
      <c r="F18" s="69">
        <v>0</v>
      </c>
      <c r="G18" s="69">
        <v>0</v>
      </c>
      <c r="H18" s="68">
        <f>SUM(D18:G18)</f>
        <v>3.2294999999999998</v>
      </c>
    </row>
    <row r="19" spans="1:8" ht="15.6" thickTop="1" thickBot="1">
      <c r="A19" s="37">
        <v>6</v>
      </c>
      <c r="B19" s="73" t="s">
        <v>40</v>
      </c>
      <c r="C19" s="72"/>
      <c r="D19" s="70">
        <f>'Peace River 2015'!$B$8/1000</f>
        <v>0</v>
      </c>
      <c r="E19" s="69">
        <v>0</v>
      </c>
      <c r="F19" s="69">
        <v>0</v>
      </c>
      <c r="G19" s="69">
        <v>0</v>
      </c>
      <c r="H19" s="68">
        <f>SUM(D19:G19)</f>
        <v>0</v>
      </c>
    </row>
    <row r="20" spans="1:8" ht="15.6" thickTop="1" thickBot="1">
      <c r="A20" s="67"/>
      <c r="B20" s="67"/>
      <c r="C20" s="312"/>
      <c r="D20" s="1889" t="s">
        <v>63</v>
      </c>
      <c r="E20" s="1870"/>
      <c r="F20" s="1870"/>
      <c r="G20" s="1870"/>
      <c r="H20" s="71"/>
    </row>
    <row r="21" spans="1:8" ht="15.6" thickTop="1" thickBot="1">
      <c r="A21" s="37">
        <v>7</v>
      </c>
      <c r="B21" s="49" t="s">
        <v>41</v>
      </c>
      <c r="C21" s="61"/>
      <c r="D21" s="70">
        <f>'Peace River 2015'!$C$8/1000</f>
        <v>3.2294999999999998</v>
      </c>
      <c r="E21" s="69">
        <v>0</v>
      </c>
      <c r="F21" s="69">
        <v>0</v>
      </c>
      <c r="G21" s="69">
        <v>0</v>
      </c>
      <c r="H21" s="68">
        <f>SUM(D21:G21)</f>
        <v>3.2294999999999998</v>
      </c>
    </row>
    <row r="22" spans="1:8" ht="15.6" thickTop="1" thickBot="1">
      <c r="A22" s="37">
        <v>8</v>
      </c>
      <c r="B22" s="49" t="s">
        <v>40</v>
      </c>
      <c r="C22" s="61"/>
      <c r="D22" s="70">
        <f>'Peace River 2015'!$B$8/1000</f>
        <v>0</v>
      </c>
      <c r="E22" s="69">
        <v>0</v>
      </c>
      <c r="F22" s="69">
        <v>0</v>
      </c>
      <c r="G22" s="69">
        <v>0</v>
      </c>
      <c r="H22" s="68">
        <f>SUM(D22:G22)</f>
        <v>0</v>
      </c>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'Peace River 2015'!$J$24</f>
        <v>9.783040885188182</v>
      </c>
      <c r="E25" s="59">
        <v>0</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Peace River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311"/>
      <c r="D41" s="48">
        <v>0</v>
      </c>
      <c r="E41" s="48">
        <v>0</v>
      </c>
      <c r="F41" s="48">
        <v>0</v>
      </c>
      <c r="G41" s="48">
        <v>0</v>
      </c>
      <c r="H41" s="51">
        <f>SUM(D41:G41)</f>
        <v>0</v>
      </c>
    </row>
    <row r="42" spans="1:8" ht="15.6" thickTop="1" thickBot="1">
      <c r="A42" s="37">
        <v>4</v>
      </c>
      <c r="B42" s="53" t="s">
        <v>48</v>
      </c>
      <c r="C42" s="31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800</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310"/>
      <c r="F63" s="308"/>
      <c r="G63" s="308"/>
      <c r="H63" s="30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v>0</v>
      </c>
      <c r="E65" s="36">
        <f>'Peace River 2015'!$G$36</f>
        <v>2</v>
      </c>
      <c r="F65" s="36">
        <f>'Peace River 2015'!$G$37</f>
        <v>2</v>
      </c>
      <c r="G65" s="36">
        <v>0</v>
      </c>
      <c r="H65" s="35">
        <f>SUM(D65:G65)</f>
        <v>4</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v>0</v>
      </c>
      <c r="E69" s="27" t="s">
        <v>657</v>
      </c>
      <c r="F69" s="27" t="s">
        <v>657</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Peace River Electric Coop, Inc. </v>
      </c>
      <c r="C79" s="1883"/>
      <c r="D79" s="1883"/>
      <c r="E79" s="1883"/>
      <c r="F79" s="1883"/>
      <c r="G79" s="1885"/>
      <c r="H79" s="20"/>
    </row>
    <row r="80" spans="1:8" ht="15.6" thickTop="1" thickBot="1">
      <c r="A80" s="22" t="s">
        <v>19</v>
      </c>
      <c r="B80" s="23"/>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f>'Peace River 2015'!C48</f>
        <v>0</v>
      </c>
      <c r="E85" s="12">
        <f>'Peace River 2015'!C49</f>
        <v>0</v>
      </c>
      <c r="F85" s="12">
        <f>'Peace River 2015'!C50</f>
        <v>0</v>
      </c>
      <c r="G85" s="11">
        <v>0</v>
      </c>
      <c r="H85" s="7">
        <f>SUM(D85:G85)</f>
        <v>0</v>
      </c>
    </row>
    <row r="86" spans="1:8" ht="42" customHeight="1" thickTop="1" thickBot="1">
      <c r="A86" s="6">
        <v>2</v>
      </c>
      <c r="B86" s="1937" t="s">
        <v>6</v>
      </c>
      <c r="C86" s="1937"/>
      <c r="D86" s="12">
        <f>'Peace River 2015'!B48</f>
        <v>31718</v>
      </c>
      <c r="E86" s="12">
        <f>'Peace River 2015'!B49</f>
        <v>6486</v>
      </c>
      <c r="F86" s="12">
        <f>'Peace River 2015'!B50</f>
        <v>38</v>
      </c>
      <c r="G86" s="11">
        <v>0</v>
      </c>
      <c r="H86" s="7">
        <f>SUM(D86:G86)</f>
        <v>38242</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31718</v>
      </c>
      <c r="E89" s="8">
        <f>E85+E86+E88</f>
        <v>6486</v>
      </c>
      <c r="F89" s="8">
        <f>F85+F86+F88</f>
        <v>38</v>
      </c>
      <c r="G89" s="8">
        <f>G85+G86+G88</f>
        <v>0</v>
      </c>
      <c r="H89" s="7">
        <f>SUM(D89:G89)</f>
        <v>38242</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1">
    <mergeCell ref="A7:H7"/>
    <mergeCell ref="A8:H8"/>
    <mergeCell ref="A1:B4"/>
    <mergeCell ref="C1:G2"/>
    <mergeCell ref="C3:G4"/>
    <mergeCell ref="C5:G5"/>
    <mergeCell ref="C6:F6"/>
    <mergeCell ref="E9:H9"/>
    <mergeCell ref="D11:G11"/>
    <mergeCell ref="C39:C40"/>
    <mergeCell ref="A44:H44"/>
    <mergeCell ref="C23:H23"/>
    <mergeCell ref="B24:C24"/>
    <mergeCell ref="F26:H26"/>
    <mergeCell ref="A27:H27"/>
    <mergeCell ref="A28:B31"/>
    <mergeCell ref="C28:F29"/>
    <mergeCell ref="D14:G14"/>
    <mergeCell ref="D17:G17"/>
    <mergeCell ref="D20:G20"/>
    <mergeCell ref="G28:H29"/>
    <mergeCell ref="C30:F31"/>
    <mergeCell ref="G30:H30"/>
    <mergeCell ref="G31:H31"/>
    <mergeCell ref="B32:G32"/>
    <mergeCell ref="A60:H60"/>
    <mergeCell ref="A35:H35"/>
    <mergeCell ref="A36:H36"/>
    <mergeCell ref="A34:H34"/>
    <mergeCell ref="B65:C65"/>
    <mergeCell ref="A66:H66"/>
    <mergeCell ref="A45:H45"/>
    <mergeCell ref="C47:C48"/>
    <mergeCell ref="B51:G51"/>
    <mergeCell ref="A52:H52"/>
    <mergeCell ref="A53:B56"/>
    <mergeCell ref="C53:F54"/>
    <mergeCell ref="G53:H54"/>
    <mergeCell ref="C55:F56"/>
    <mergeCell ref="G55:H55"/>
    <mergeCell ref="G56:H56"/>
    <mergeCell ref="B57:F57"/>
    <mergeCell ref="A61:H61"/>
    <mergeCell ref="A62:H62"/>
    <mergeCell ref="A67:H67"/>
    <mergeCell ref="H68:H73"/>
    <mergeCell ref="B69:C69"/>
    <mergeCell ref="B70:C70"/>
    <mergeCell ref="B71:C71"/>
    <mergeCell ref="B72:C72"/>
    <mergeCell ref="B73:C73"/>
    <mergeCell ref="H90:H91"/>
    <mergeCell ref="B91:C91"/>
    <mergeCell ref="B86:C86"/>
    <mergeCell ref="A74:H74"/>
    <mergeCell ref="A75:B78"/>
    <mergeCell ref="C75:F76"/>
    <mergeCell ref="G75:H76"/>
    <mergeCell ref="C77:F78"/>
    <mergeCell ref="G77:H77"/>
    <mergeCell ref="G78:H78"/>
    <mergeCell ref="B79:G79"/>
    <mergeCell ref="A81:H81"/>
    <mergeCell ref="A82:H82"/>
    <mergeCell ref="D83:H83"/>
    <mergeCell ref="B85:C85"/>
    <mergeCell ref="B92:C92"/>
    <mergeCell ref="B87:C87"/>
    <mergeCell ref="B88:C88"/>
    <mergeCell ref="B89:C89"/>
    <mergeCell ref="B90:C90"/>
  </mergeCells>
  <pageMargins left="0.7" right="0.7" top="0.75" bottom="0.75" header="0.3" footer="0.3"/>
  <pageSetup orientation="landscape" scale="1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0"/>
  <sheetViews>
    <sheetView workbookViewId="0" topLeftCell="A1">
      <selection pane="topLeft" activeCell="A1" sqref="A1"/>
    </sheetView>
  </sheetViews>
  <sheetFormatPr defaultColWidth="9.77734375" defaultRowHeight="13.8"/>
  <cols>
    <col min="1" max="1" width="16.7777777777778" style="1305" customWidth="1"/>
    <col min="2" max="2" width="13.8888888888889" style="1305" customWidth="1"/>
    <col min="3" max="3" width="12.2222222222222" style="1305" customWidth="1"/>
    <col min="4" max="4" width="11" style="1306" customWidth="1"/>
    <col min="5" max="5" width="8" style="1306" customWidth="1"/>
    <col min="6" max="6" width="10.7777777777778" style="1306" customWidth="1"/>
    <col min="7" max="7" width="11.8888888888889" style="1306" customWidth="1"/>
    <col min="8" max="8" width="23.7777777777778" style="1307" customWidth="1"/>
    <col min="9" max="9" width="11.8888888888889" style="1305" bestFit="1" customWidth="1"/>
    <col min="10" max="16384" width="9.77777777777778" style="1305"/>
  </cols>
  <sheetData>
    <row r="2" ht="13.8">
      <c r="A2" s="1305" t="s">
        <v>1790</v>
      </c>
    </row>
    <row r="3" spans="1:8" ht="58.5" customHeight="1">
      <c r="A3" s="1308" t="s">
        <v>1791</v>
      </c>
      <c r="B3" s="1309" t="s">
        <v>1802</v>
      </c>
      <c r="C3" s="1309" t="s">
        <v>1793</v>
      </c>
      <c r="D3" s="1309" t="s">
        <v>1794</v>
      </c>
      <c r="E3" s="1309" t="s">
        <v>1796</v>
      </c>
      <c r="F3" s="1309" t="s">
        <v>1800</v>
      </c>
      <c r="G3" s="1309" t="s">
        <v>1801</v>
      </c>
      <c r="H3" s="1310" t="s">
        <v>1795</v>
      </c>
    </row>
    <row r="4" spans="1:9" ht="13.8">
      <c r="A4" s="1311" t="s">
        <v>341</v>
      </c>
      <c r="B4" s="1312">
        <f>'Talquin 2015'!G41</f>
        <v>977897455</v>
      </c>
      <c r="C4" s="1313">
        <f>'System Savings Questionnaire'!F87</f>
        <v>278697</v>
      </c>
      <c r="D4" s="1314">
        <v>0.02</v>
      </c>
      <c r="E4" s="1315">
        <v>130</v>
      </c>
      <c r="F4" s="1316">
        <f>'Talquin 2015'!H41</f>
        <v>232194.82949771691</v>
      </c>
      <c r="G4" s="1316">
        <f>'Talquin 2015'!I41</f>
        <v>4459.152</v>
      </c>
      <c r="H4" s="1317"/>
      <c r="I4" s="1321"/>
    </row>
    <row r="5" spans="1:9" ht="55.2">
      <c r="A5" s="1311" t="s">
        <v>354</v>
      </c>
      <c r="B5" s="1313">
        <f>'Clay 2015 without Resizing'!G47</f>
        <v>2997542048</v>
      </c>
      <c r="C5" s="1313">
        <f>'System Savings Questionnaire'!F92</f>
        <v>838793</v>
      </c>
      <c r="D5" s="1314">
        <v>0.025999999999999999</v>
      </c>
      <c r="E5" s="1315">
        <v>61</v>
      </c>
      <c r="F5" s="1316">
        <f>'Clay 2015 without Resizing'!H47</f>
        <v>434164.53772858455</v>
      </c>
      <c r="G5" s="1316">
        <f>'Clay 2015 without Resizing'!I47</f>
        <v>17313.419999999998</v>
      </c>
      <c r="H5" s="1317" t="s">
        <v>1797</v>
      </c>
      <c r="I5" s="1321"/>
    </row>
    <row r="6" spans="1:9" ht="27.6">
      <c r="A6" s="1311" t="s">
        <v>356</v>
      </c>
      <c r="B6" s="1313">
        <f>'Central Florida 2015'!G44</f>
        <v>472320296</v>
      </c>
      <c r="C6" s="1313">
        <f>'System Savings Questionnaire'!F97</f>
        <v>135693</v>
      </c>
      <c r="D6" s="1318">
        <v>0.03</v>
      </c>
      <c r="E6" s="1315">
        <v>130</v>
      </c>
      <c r="F6" s="1316">
        <f>'Central Florida 2015'!H44</f>
        <v>63083.875150684929</v>
      </c>
      <c r="G6" s="1316">
        <f>'Central Florida 2015'!I44</f>
        <v>1221.2370000000001</v>
      </c>
      <c r="H6" s="1317" t="s">
        <v>1798</v>
      </c>
      <c r="I6" s="1321"/>
    </row>
    <row r="7" spans="1:9" ht="13.8">
      <c r="A7" s="1311" t="s">
        <v>347</v>
      </c>
      <c r="B7" s="1313">
        <f>'Sumter 2015'!G42</f>
        <v>3149363130</v>
      </c>
      <c r="C7" s="1313">
        <f>'System Savings Questionnaire'!F88</f>
        <v>804506</v>
      </c>
      <c r="D7" s="1319">
        <v>0.03</v>
      </c>
      <c r="E7" s="1315">
        <v>130</v>
      </c>
      <c r="F7" s="1316">
        <f>'Sumter 2015'!H42</f>
        <v>852485.1431342467</v>
      </c>
      <c r="G7" s="1316">
        <f>'Sumter 2015'!I42</f>
        <v>14674.18944</v>
      </c>
      <c r="H7" s="1317" t="s">
        <v>1799</v>
      </c>
      <c r="I7" s="1321"/>
    </row>
    <row r="8" spans="1:9" ht="13.8">
      <c r="A8" s="1311" t="s">
        <v>1792</v>
      </c>
      <c r="B8" s="1313">
        <f>'Withlacoochee 2015'!G41</f>
        <v>3811169074</v>
      </c>
      <c r="C8" s="1313">
        <f>'System Savings Questionnaire'!F95</f>
        <v>1073532</v>
      </c>
      <c r="D8" s="1319">
        <v>0.02</v>
      </c>
      <c r="E8" s="1315">
        <v>130</v>
      </c>
      <c r="F8" s="1316">
        <f>'Withlacoochee 2015'!H41</f>
        <v>904935.12259360729</v>
      </c>
      <c r="G8" s="1316">
        <f>'Withlacoochee 2015'!I41</f>
        <v>17176.511999999999</v>
      </c>
      <c r="H8" s="1317"/>
      <c r="I8" s="1321"/>
    </row>
    <row r="9" spans="1:9" ht="13.8">
      <c r="A9" s="1311" t="s">
        <v>349</v>
      </c>
      <c r="B9" s="1313">
        <f>'Peace River 2015'!G43</f>
        <v>679514864</v>
      </c>
      <c r="C9" s="1313">
        <f>'System Savings Questionnaire'!F90</f>
        <v>154441</v>
      </c>
      <c r="D9" s="1319">
        <v>0.05</v>
      </c>
      <c r="E9" s="1315">
        <v>130</v>
      </c>
      <c r="F9" s="1316">
        <f>'Peace River 2015'!H43</f>
        <v>403364.98776255711</v>
      </c>
      <c r="G9" s="1316">
        <f>'Peace River 2015'!I43</f>
        <v>6177.64</v>
      </c>
      <c r="H9" s="1317"/>
      <c r="I9" s="1321"/>
    </row>
    <row r="10" ht="13.8">
      <c r="G10" s="1320"/>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pageSetUpPr fitToPage="1"/>
  </sheetPr>
  <dimension ref="A1:I93"/>
  <sheetViews>
    <sheetView zoomScale="70" zoomScaleNormal="70" workbookViewId="0" topLeftCell="A1">
      <selection pane="topLeft" activeCell="A1" sqref="A1"/>
    </sheetView>
  </sheetViews>
  <sheetFormatPr defaultColWidth="8.88888888888889" defaultRowHeight="14.4"/>
  <cols>
    <col min="1" max="1" width="8.22222222222222" customWidth="1"/>
    <col min="2" max="2" width="31.7777777777778" bestFit="1" customWidth="1"/>
    <col min="3" max="3" width="14.7777777777778" customWidth="1"/>
    <col min="4" max="4" width="19.2222222222222" customWidth="1"/>
    <col min="5" max="5" width="17.2222222222222" customWidth="1"/>
    <col min="6" max="6" width="20.4444444444444" customWidth="1"/>
    <col min="7" max="7" width="23.7777777777778" customWidth="1"/>
    <col min="8" max="8" width="27.2222222222222" customWidth="1"/>
    <col min="9" max="9" width="8.88888888888889" customWidth="1"/>
  </cols>
  <sheetData>
    <row r="1" spans="1:8" ht="16.5" customHeight="1" thickTop="1" thickBot="1">
      <c r="A1" s="1871"/>
      <c r="B1" s="1871"/>
      <c r="C1" s="1872" t="s">
        <v>25</v>
      </c>
      <c r="D1" s="1873"/>
      <c r="E1" s="1873"/>
      <c r="F1" s="1873"/>
      <c r="G1" s="1873"/>
      <c r="H1" s="82"/>
    </row>
    <row r="2" spans="1:8" ht="16.5" customHeight="1" thickTop="1" thickBot="1">
      <c r="A2" s="1871"/>
      <c r="B2" s="1871"/>
      <c r="C2" s="1874"/>
      <c r="D2" s="1875"/>
      <c r="E2" s="1875"/>
      <c r="F2" s="1875"/>
      <c r="G2" s="1875"/>
      <c r="H2" s="81" t="s">
        <v>24</v>
      </c>
    </row>
    <row r="3" spans="1:8" ht="16.5" customHeight="1" thickTop="1" thickBot="1">
      <c r="A3" s="1871"/>
      <c r="B3" s="1871"/>
      <c r="C3" s="1876" t="s">
        <v>23</v>
      </c>
      <c r="D3" s="1877"/>
      <c r="E3" s="1877"/>
      <c r="F3" s="1877"/>
      <c r="G3" s="1878"/>
      <c r="H3" s="80" t="s">
        <v>22</v>
      </c>
    </row>
    <row r="4" spans="1:8" ht="16.5" customHeight="1" thickTop="1" thickBot="1">
      <c r="A4" s="1871"/>
      <c r="B4" s="1871"/>
      <c r="C4" s="1879"/>
      <c r="D4" s="1880"/>
      <c r="E4" s="1880"/>
      <c r="F4" s="1880"/>
      <c r="G4" s="1881"/>
      <c r="H4" s="80" t="s">
        <v>21</v>
      </c>
    </row>
    <row r="5" spans="1:8" ht="15.6" thickTop="1" thickBot="1">
      <c r="A5" s="22" t="s">
        <v>20</v>
      </c>
      <c r="B5" s="22"/>
      <c r="C5" s="1882" t="s">
        <v>703</v>
      </c>
      <c r="D5" s="1883"/>
      <c r="E5" s="1883"/>
      <c r="F5" s="1883"/>
      <c r="G5" s="1883"/>
      <c r="H5" s="55"/>
    </row>
    <row r="6" spans="1:8" ht="15.6" thickTop="1" thickBot="1">
      <c r="A6" s="22" t="s">
        <v>19</v>
      </c>
      <c r="B6" s="22"/>
      <c r="C6" s="1884"/>
      <c r="D6" s="1884"/>
      <c r="E6" s="1884"/>
      <c r="F6" s="1884"/>
      <c r="G6" s="22" t="s">
        <v>18</v>
      </c>
      <c r="H6" s="21">
        <v>2015</v>
      </c>
    </row>
    <row r="7" spans="1:8" ht="15.6" thickTop="1" thickBot="1">
      <c r="A7" s="1865" t="s">
        <v>70</v>
      </c>
      <c r="B7" s="1865"/>
      <c r="C7" s="1865"/>
      <c r="D7" s="1865"/>
      <c r="E7" s="1865"/>
      <c r="F7" s="1865"/>
      <c r="G7" s="1865"/>
      <c r="H7" s="1865"/>
    </row>
    <row r="8" spans="1:8" ht="16.5" customHeight="1" thickTop="1" thickBot="1">
      <c r="A8" s="1866" t="s">
        <v>69</v>
      </c>
      <c r="B8" s="1866"/>
      <c r="C8" s="1866"/>
      <c r="D8" s="1866"/>
      <c r="E8" s="1866"/>
      <c r="F8" s="1866"/>
      <c r="G8" s="1866"/>
      <c r="H8" s="1866"/>
    </row>
    <row r="9" spans="1:8" ht="15.6" thickTop="1" thickBot="1">
      <c r="A9" s="37" t="s">
        <v>34</v>
      </c>
      <c r="B9" s="42" t="s">
        <v>68</v>
      </c>
      <c r="C9" s="41" t="s">
        <v>14</v>
      </c>
      <c r="D9" s="41"/>
      <c r="E9" s="1867"/>
      <c r="F9" s="1868"/>
      <c r="G9" s="1868"/>
      <c r="H9" s="1869"/>
    </row>
    <row r="10" spans="1:9" ht="15.6" thickTop="1" thickBot="1">
      <c r="A10" s="312"/>
      <c r="B10" s="22"/>
      <c r="C10" s="38"/>
      <c r="D10" s="30" t="s">
        <v>45</v>
      </c>
      <c r="E10" s="30" t="s">
        <v>44</v>
      </c>
      <c r="F10" s="31" t="s">
        <v>43</v>
      </c>
      <c r="G10" s="30" t="s">
        <v>9</v>
      </c>
      <c r="H10" s="30" t="s">
        <v>42</v>
      </c>
      <c r="I10" s="79"/>
    </row>
    <row r="11" spans="1:8" ht="15.6" thickTop="1" thickBot="1">
      <c r="A11" s="78"/>
      <c r="B11" s="78"/>
      <c r="C11" s="78"/>
      <c r="D11" s="1870" t="s">
        <v>67</v>
      </c>
      <c r="E11" s="1870"/>
      <c r="F11" s="1870"/>
      <c r="G11" s="1870"/>
      <c r="H11" s="44"/>
    </row>
    <row r="12" spans="1:8" ht="15.6" thickTop="1" thickBot="1">
      <c r="A12" s="37">
        <v>1</v>
      </c>
      <c r="B12" s="49" t="s">
        <v>50</v>
      </c>
      <c r="C12" s="41"/>
      <c r="D12" s="76">
        <f>'Glades 2015'!$K$23</f>
        <v>5.5925855999999996</v>
      </c>
      <c r="E12" s="76">
        <f>'Glades 2015'!$K$33</f>
        <v>55.882345999999998</v>
      </c>
      <c r="F12" s="76">
        <v>0</v>
      </c>
      <c r="G12" s="76">
        <v>0</v>
      </c>
      <c r="H12" s="68">
        <f>SUM(D12:G12)</f>
        <v>61.474931599999998</v>
      </c>
    </row>
    <row r="13" spans="1:8" ht="15.6" thickTop="1" thickBot="1">
      <c r="A13" s="37">
        <v>2</v>
      </c>
      <c r="B13" s="49" t="s">
        <v>65</v>
      </c>
      <c r="C13" s="77"/>
      <c r="D13" s="75">
        <f>('Glades 2015'!$M$23*10^3)*10^-6</f>
        <v>0.00064931673151750959</v>
      </c>
      <c r="E13" s="75">
        <f>('Glades 2015'!$M$33*10^3)*10^-6</f>
        <v>0</v>
      </c>
      <c r="F13" s="75">
        <v>0</v>
      </c>
      <c r="G13" s="75">
        <v>0</v>
      </c>
      <c r="H13" s="74">
        <f>SUM(D13:G13)</f>
        <v>0.00064931673151750959</v>
      </c>
    </row>
    <row r="14" spans="1:8" ht="15.6" thickTop="1" thickBot="1">
      <c r="A14" s="67"/>
      <c r="B14" s="312"/>
      <c r="C14" s="312"/>
      <c r="D14" s="1889" t="s">
        <v>66</v>
      </c>
      <c r="E14" s="1870"/>
      <c r="F14" s="1870"/>
      <c r="G14" s="1870"/>
      <c r="H14" s="71"/>
    </row>
    <row r="15" spans="1:8" ht="15.6" thickTop="1" thickBot="1">
      <c r="A15" s="37">
        <v>3</v>
      </c>
      <c r="B15" s="49" t="s">
        <v>50</v>
      </c>
      <c r="C15" s="72"/>
      <c r="D15" s="76">
        <f>'Glades 2015'!$L$23</f>
        <v>111.85171199999999</v>
      </c>
      <c r="E15" s="76">
        <f>'Glades 2015'!$L$33</f>
        <v>691.10</v>
      </c>
      <c r="F15" s="76">
        <v>0</v>
      </c>
      <c r="G15" s="76">
        <v>0</v>
      </c>
      <c r="H15" s="68">
        <f>SUM(D15:G15)</f>
        <v>802.95171200000004</v>
      </c>
    </row>
    <row r="16" spans="1:8" ht="15.6" thickTop="1" thickBot="1">
      <c r="A16" s="37">
        <v>4</v>
      </c>
      <c r="B16" s="49" t="s">
        <v>65</v>
      </c>
      <c r="C16" s="72"/>
      <c r="D16" s="75">
        <f>('Glades 2015'!$M$23*10^3)*10^-6</f>
        <v>0.00064931673151750959</v>
      </c>
      <c r="E16" s="75">
        <f>('Glades 2015'!$M$33*10^3)*10^-6</f>
        <v>0</v>
      </c>
      <c r="F16" s="75">
        <v>0</v>
      </c>
      <c r="G16" s="75">
        <v>0</v>
      </c>
      <c r="H16" s="74">
        <f>SUM(D16:G16)</f>
        <v>0.00064931673151750959</v>
      </c>
    </row>
    <row r="17" spans="1:8" ht="16.5" customHeight="1" thickTop="1" thickBot="1">
      <c r="A17" s="34"/>
      <c r="B17" s="22"/>
      <c r="C17" s="312"/>
      <c r="D17" s="1889" t="s">
        <v>64</v>
      </c>
      <c r="E17" s="1870"/>
      <c r="F17" s="1870"/>
      <c r="G17" s="1870"/>
      <c r="H17" s="71"/>
    </row>
    <row r="18" spans="1:8" ht="15.6" thickTop="1" thickBot="1">
      <c r="A18" s="37">
        <v>5</v>
      </c>
      <c r="B18" s="49" t="s">
        <v>41</v>
      </c>
      <c r="C18" s="72"/>
      <c r="D18" s="70">
        <f>'Glades 2015'!$C$8/1000</f>
        <v>1.847</v>
      </c>
      <c r="E18" s="69">
        <v>0</v>
      </c>
      <c r="F18" s="69">
        <v>0</v>
      </c>
      <c r="G18" s="69">
        <v>0</v>
      </c>
      <c r="H18" s="68">
        <f>SUM(D18:G18)</f>
        <v>1.847</v>
      </c>
    </row>
    <row r="19" spans="1:8" ht="15.6" thickTop="1" thickBot="1">
      <c r="A19" s="37">
        <v>6</v>
      </c>
      <c r="B19" s="73" t="s">
        <v>40</v>
      </c>
      <c r="C19" s="72"/>
      <c r="D19" s="70">
        <f>'Glades 2015'!$B$8/1000</f>
        <v>0</v>
      </c>
      <c r="E19" s="69">
        <f>'Glades 2015'!B9/1000</f>
        <v>2.6765393092075676</v>
      </c>
      <c r="F19" s="69">
        <v>0</v>
      </c>
      <c r="G19" s="69">
        <v>0</v>
      </c>
      <c r="H19" s="68">
        <f>SUM(D19:G19)</f>
        <v>2.6765393092075676</v>
      </c>
    </row>
    <row r="20" spans="1:8" ht="15.6" thickTop="1" thickBot="1">
      <c r="A20" s="67"/>
      <c r="B20" s="67"/>
      <c r="C20" s="312"/>
      <c r="D20" s="1889" t="s">
        <v>63</v>
      </c>
      <c r="E20" s="1870"/>
      <c r="F20" s="1870"/>
      <c r="G20" s="1870"/>
      <c r="H20" s="71"/>
    </row>
    <row r="21" spans="1:8" ht="15.6" thickTop="1" thickBot="1">
      <c r="A21" s="37">
        <v>7</v>
      </c>
      <c r="B21" s="49" t="s">
        <v>41</v>
      </c>
      <c r="C21" s="61"/>
      <c r="D21" s="70">
        <f>'Glades 2015'!$C$8/1000</f>
        <v>1.847</v>
      </c>
      <c r="E21" s="69">
        <v>0</v>
      </c>
      <c r="F21" s="69">
        <v>0</v>
      </c>
      <c r="G21" s="69">
        <v>0</v>
      </c>
      <c r="H21" s="68">
        <f>SUM(D21:G21)</f>
        <v>1.847</v>
      </c>
    </row>
    <row r="22" spans="1:8" ht="15.6" thickTop="1" thickBot="1">
      <c r="A22" s="37">
        <v>8</v>
      </c>
      <c r="B22" s="49" t="s">
        <v>40</v>
      </c>
      <c r="C22" s="61"/>
      <c r="D22" s="70">
        <f>'Glades 2015'!$B$8/1000</f>
        <v>0</v>
      </c>
      <c r="E22" s="69">
        <f>E19</f>
        <v>2.6765393092075676</v>
      </c>
      <c r="F22" s="69">
        <v>0</v>
      </c>
      <c r="G22" s="69">
        <v>0</v>
      </c>
      <c r="H22" s="68">
        <f>SUM(D22:G22)</f>
        <v>2.6765393092075676</v>
      </c>
    </row>
    <row r="23" spans="1:8" ht="15.6" thickTop="1" thickBot="1">
      <c r="A23" s="67"/>
      <c r="B23" s="312"/>
      <c r="C23" s="1890"/>
      <c r="D23" s="1871"/>
      <c r="E23" s="1871"/>
      <c r="F23" s="1871"/>
      <c r="G23" s="1871"/>
      <c r="H23" s="1871"/>
    </row>
    <row r="24" spans="1:8" ht="16.5" customHeight="1" thickTop="1" thickBot="1">
      <c r="A24" s="37">
        <v>9</v>
      </c>
      <c r="B24" s="1891" t="s">
        <v>62</v>
      </c>
      <c r="C24" s="1892"/>
      <c r="D24" t="s">
        <v>61</v>
      </c>
      <c r="E24" t="s">
        <v>60</v>
      </c>
      <c r="F24" t="s">
        <v>59</v>
      </c>
      <c r="G24" t="s">
        <v>58</v>
      </c>
      <c r="H24" s="62"/>
    </row>
    <row r="25" spans="1:8" ht="15.6" thickTop="1" thickBot="1">
      <c r="A25" s="37">
        <v>10</v>
      </c>
      <c r="B25" s="49" t="s">
        <v>57</v>
      </c>
      <c r="C25" s="61"/>
      <c r="D25" s="60">
        <f>'Glades 2015'!$J$23</f>
        <v>20</v>
      </c>
      <c r="E25" s="59">
        <f>'Glades 2015'!$J$33</f>
        <v>12.367054167697255</v>
      </c>
      <c r="F25" s="59">
        <v>0</v>
      </c>
      <c r="G25" s="59">
        <v>0</v>
      </c>
      <c r="H25" s="312"/>
    </row>
    <row r="26" spans="1:8" ht="15" thickTop="1">
      <c r="A26" s="58" t="s">
        <v>56</v>
      </c>
      <c r="B26" s="57"/>
      <c r="C26" s="57"/>
      <c r="D26" s="57"/>
      <c r="E26" s="57"/>
      <c r="F26" s="1893"/>
      <c r="G26" s="1893"/>
      <c r="H26" s="1893"/>
    </row>
    <row r="27" spans="1:8" s="46" customFormat="1" ht="60" customHeight="1">
      <c r="A27" s="1894"/>
      <c r="B27" s="1894"/>
      <c r="C27" s="1894"/>
      <c r="D27" s="1894"/>
      <c r="E27" s="1894"/>
      <c r="F27" s="1894"/>
      <c r="G27" s="1894"/>
      <c r="H27" s="1894"/>
    </row>
    <row r="28" spans="1:8" ht="15" thickBot="1">
      <c r="A28" s="1895"/>
      <c r="B28" s="1895"/>
      <c r="C28" s="1897" t="s">
        <v>25</v>
      </c>
      <c r="D28" s="1897"/>
      <c r="E28" s="1897"/>
      <c r="F28" s="1897"/>
      <c r="G28" s="1899" t="s">
        <v>24</v>
      </c>
      <c r="H28" s="1899"/>
    </row>
    <row r="29" spans="1:8" ht="15.6" thickTop="1" thickBot="1">
      <c r="A29" s="1896"/>
      <c r="B29" s="1896"/>
      <c r="C29" s="1898"/>
      <c r="D29" s="1898"/>
      <c r="E29" s="1898"/>
      <c r="F29" s="1898"/>
      <c r="G29" s="1900"/>
      <c r="H29" s="1900"/>
    </row>
    <row r="30" spans="1:8" ht="15.6" thickTop="1" thickBot="1">
      <c r="A30" s="1896"/>
      <c r="B30" s="1896"/>
      <c r="C30" s="1901" t="s">
        <v>55</v>
      </c>
      <c r="D30" s="1898"/>
      <c r="E30" s="1898"/>
      <c r="F30" s="1898"/>
      <c r="G30" s="1900" t="s">
        <v>22</v>
      </c>
      <c r="H30" s="1900"/>
    </row>
    <row r="31" spans="1:8" ht="15" customHeight="1" thickTop="1" thickBot="1">
      <c r="A31" s="1896"/>
      <c r="B31" s="1896"/>
      <c r="C31" s="1898"/>
      <c r="D31" s="1898"/>
      <c r="E31" s="1898"/>
      <c r="F31" s="1898"/>
      <c r="G31" s="1900" t="s">
        <v>21</v>
      </c>
      <c r="H31" s="1900"/>
    </row>
    <row r="32" spans="1:8" ht="15.6" thickTop="1" thickBot="1">
      <c r="A32" s="22" t="s">
        <v>20</v>
      </c>
      <c r="B32" s="1882" t="str">
        <f>$C$5</f>
        <v>Glades Electric Coop, Inc. </v>
      </c>
      <c r="C32" s="1883"/>
      <c r="D32" s="1883"/>
      <c r="E32" s="1883"/>
      <c r="F32" s="1883"/>
      <c r="G32" s="1885"/>
      <c r="H32" s="22"/>
    </row>
    <row r="33" spans="1:8" ht="15.6" thickTop="1" thickBot="1">
      <c r="A33" s="22" t="s">
        <v>19</v>
      </c>
      <c r="B33" s="307"/>
      <c r="C33" s="56"/>
      <c r="D33" s="56"/>
      <c r="E33" s="56"/>
      <c r="F33" s="55"/>
      <c r="G33" s="22" t="s">
        <v>18</v>
      </c>
      <c r="H33" s="21">
        <f>$H$6</f>
        <v>2015</v>
      </c>
    </row>
    <row r="34" spans="1:8" ht="15.6" thickTop="1" thickBot="1">
      <c r="A34" s="1865" t="s">
        <v>54</v>
      </c>
      <c r="B34" s="1865"/>
      <c r="C34" s="1865"/>
      <c r="D34" s="1865"/>
      <c r="E34" s="1865"/>
      <c r="F34" s="1865"/>
      <c r="G34" s="1865"/>
      <c r="H34" s="1865"/>
    </row>
    <row r="35" spans="1:8" ht="15.6" thickTop="1" thickBot="1">
      <c r="A35" s="1886" t="s">
        <v>53</v>
      </c>
      <c r="B35" s="1887"/>
      <c r="C35" s="1887"/>
      <c r="D35" s="1887"/>
      <c r="E35" s="1887"/>
      <c r="F35" s="1887"/>
      <c r="G35" s="1887"/>
      <c r="H35" s="1888"/>
    </row>
    <row r="36" spans="1:8" ht="15.6" thickTop="1" thickBot="1">
      <c r="A36" s="1905" t="s">
        <v>52</v>
      </c>
      <c r="B36" s="1906"/>
      <c r="C36" s="1906"/>
      <c r="D36" s="1906"/>
      <c r="E36" s="1906"/>
      <c r="F36" s="1906"/>
      <c r="G36" s="1906"/>
      <c r="H36" s="1907"/>
    </row>
    <row r="37" spans="1:8" ht="15.6" thickTop="1" thickBot="1">
      <c r="A37" s="37" t="s">
        <v>34</v>
      </c>
      <c r="B37" s="42" t="str">
        <f>$B$9</f>
        <v>Florida</v>
      </c>
      <c r="C37" s="41" t="s">
        <v>14</v>
      </c>
      <c r="D37" s="41"/>
      <c r="E37" s="310"/>
      <c r="F37" s="308"/>
      <c r="G37" s="308"/>
      <c r="H37" s="309"/>
    </row>
    <row r="38" spans="1:8" ht="15.6" thickTop="1" thickBot="1">
      <c r="A38" s="312"/>
      <c r="B38" s="54"/>
      <c r="C38" s="312"/>
      <c r="D38" s="30" t="s">
        <v>45</v>
      </c>
      <c r="E38" s="30" t="s">
        <v>44</v>
      </c>
      <c r="F38" s="31" t="s">
        <v>43</v>
      </c>
      <c r="G38" s="30" t="s">
        <v>9</v>
      </c>
      <c r="H38" s="30" t="s">
        <v>42</v>
      </c>
    </row>
    <row r="39" spans="1:8" ht="15.6" thickTop="1" thickBot="1">
      <c r="A39" s="37">
        <v>1</v>
      </c>
      <c r="B39" s="53" t="s">
        <v>51</v>
      </c>
      <c r="C39" s="1896"/>
      <c r="D39" s="48">
        <v>0</v>
      </c>
      <c r="E39" s="48">
        <v>0</v>
      </c>
      <c r="F39" s="48">
        <v>0</v>
      </c>
      <c r="G39" s="48">
        <v>0</v>
      </c>
      <c r="H39" s="7">
        <f>SUM(D39:G39)</f>
        <v>0</v>
      </c>
    </row>
    <row r="40" spans="1:8" ht="15.6" thickTop="1" thickBot="1">
      <c r="A40" s="37">
        <v>2</v>
      </c>
      <c r="B40" s="49" t="s">
        <v>50</v>
      </c>
      <c r="C40" s="1896"/>
      <c r="D40" s="48">
        <v>0</v>
      </c>
      <c r="E40" s="48">
        <v>0</v>
      </c>
      <c r="F40" s="48">
        <v>0</v>
      </c>
      <c r="G40" s="48">
        <v>0</v>
      </c>
      <c r="H40" s="7">
        <f>SUM(D40:G40)</f>
        <v>0</v>
      </c>
    </row>
    <row r="41" spans="1:8" ht="15.6" thickTop="1" thickBot="1">
      <c r="A41" s="37">
        <v>3</v>
      </c>
      <c r="B41" s="49" t="s">
        <v>49</v>
      </c>
      <c r="C41" s="311"/>
      <c r="D41" s="48">
        <v>0</v>
      </c>
      <c r="E41" s="48">
        <v>0</v>
      </c>
      <c r="F41" s="48">
        <v>0</v>
      </c>
      <c r="G41" s="48">
        <v>0</v>
      </c>
      <c r="H41" s="51">
        <f>SUM(D41:G41)</f>
        <v>0</v>
      </c>
    </row>
    <row r="42" spans="1:8" ht="15.6" thickTop="1" thickBot="1">
      <c r="A42" s="37">
        <v>4</v>
      </c>
      <c r="B42" s="53" t="s">
        <v>48</v>
      </c>
      <c r="C42" s="311"/>
      <c r="D42" s="48">
        <v>0</v>
      </c>
      <c r="E42" s="48">
        <v>0</v>
      </c>
      <c r="F42" s="48">
        <v>0</v>
      </c>
      <c r="G42" s="48">
        <v>0</v>
      </c>
      <c r="H42" s="51">
        <f>SUM(D42:G42)</f>
        <v>0</v>
      </c>
    </row>
    <row r="43" spans="1:8" ht="15.6" thickTop="1" thickBot="1">
      <c r="A43" s="15"/>
      <c r="B43" s="15"/>
      <c r="C43" s="15"/>
      <c r="D43" s="15"/>
      <c r="E43" s="15"/>
      <c r="F43" s="15"/>
      <c r="G43" s="15"/>
      <c r="H43" s="15"/>
    </row>
    <row r="44" spans="1:8" ht="15.6" thickTop="1" thickBot="1">
      <c r="A44" s="1866" t="s">
        <v>47</v>
      </c>
      <c r="B44" s="1866"/>
      <c r="C44" s="1866"/>
      <c r="D44" s="1866"/>
      <c r="E44" s="1866"/>
      <c r="F44" s="1866"/>
      <c r="G44" s="1866"/>
      <c r="H44" s="1866"/>
    </row>
    <row r="45" spans="1:8" ht="15.6" thickTop="1" thickBot="1">
      <c r="A45" s="1905" t="s">
        <v>46</v>
      </c>
      <c r="B45" s="1906"/>
      <c r="C45" s="1906"/>
      <c r="D45" s="1906"/>
      <c r="E45" s="1906"/>
      <c r="F45" s="1906"/>
      <c r="G45" s="1906"/>
      <c r="H45" s="1907"/>
    </row>
    <row r="46" spans="1:8" ht="15.6" thickTop="1" thickBot="1">
      <c r="A46" s="15"/>
      <c r="B46" s="15"/>
      <c r="C46" s="50"/>
      <c r="D46" s="30" t="s">
        <v>45</v>
      </c>
      <c r="E46" s="30" t="s">
        <v>44</v>
      </c>
      <c r="F46" s="31" t="s">
        <v>43</v>
      </c>
      <c r="G46" s="30" t="s">
        <v>9</v>
      </c>
      <c r="H46" s="30" t="s">
        <v>42</v>
      </c>
    </row>
    <row r="47" spans="1:8" ht="15.6" thickTop="1" thickBot="1">
      <c r="A47" s="37">
        <v>5</v>
      </c>
      <c r="B47" s="49" t="s">
        <v>41</v>
      </c>
      <c r="C47" s="1896"/>
      <c r="D47" s="48">
        <v>0</v>
      </c>
      <c r="E47" s="48">
        <v>0</v>
      </c>
      <c r="F47" s="48">
        <v>0</v>
      </c>
      <c r="G47" s="48">
        <v>0</v>
      </c>
      <c r="H47" s="7">
        <f>SUM(D47:G47)</f>
        <v>0</v>
      </c>
    </row>
    <row r="48" spans="1:8" ht="15.6" thickTop="1" thickBot="1">
      <c r="A48" s="37">
        <v>6</v>
      </c>
      <c r="B48" s="49" t="s">
        <v>40</v>
      </c>
      <c r="C48" s="1896"/>
      <c r="D48" s="48">
        <v>0</v>
      </c>
      <c r="E48" s="48">
        <v>0</v>
      </c>
      <c r="F48" s="48">
        <v>0</v>
      </c>
      <c r="G48" s="48">
        <v>0</v>
      </c>
      <c r="H48" s="7">
        <f>SUM(D48:G48)</f>
        <v>0</v>
      </c>
    </row>
    <row r="49" spans="1:8" ht="15.6" thickTop="1" thickBot="1">
      <c r="A49" s="22"/>
      <c r="B49" s="15"/>
      <c r="C49" s="15"/>
      <c r="D49" s="15"/>
      <c r="E49" s="15"/>
      <c r="F49" s="15"/>
      <c r="G49" s="15"/>
      <c r="H49" s="15"/>
    </row>
    <row r="50" spans="1:8" ht="15.6" thickTop="1" thickBot="1">
      <c r="A50" s="22"/>
      <c r="B50" s="15"/>
      <c r="C50" s="15"/>
      <c r="D50" s="15"/>
      <c r="E50" s="15"/>
      <c r="F50" s="15"/>
      <c r="G50" s="15"/>
      <c r="H50" s="15"/>
    </row>
    <row r="51" spans="1:8" ht="30" customHeight="1" thickTop="1">
      <c r="A51" s="26">
        <v>7</v>
      </c>
      <c r="B51" s="1909" t="s">
        <v>39</v>
      </c>
      <c r="C51" s="1910"/>
      <c r="D51" s="1910"/>
      <c r="E51" s="1910"/>
      <c r="F51" s="1910"/>
      <c r="G51" s="1911"/>
      <c r="H51" s="47"/>
    </row>
    <row r="52" spans="1:8" s="46" customFormat="1" ht="60" customHeight="1">
      <c r="A52" s="1894"/>
      <c r="B52" s="1894"/>
      <c r="C52" s="1894"/>
      <c r="D52" s="1894"/>
      <c r="E52" s="1894"/>
      <c r="F52" s="1894"/>
      <c r="G52" s="1894"/>
      <c r="H52" s="1894"/>
    </row>
    <row r="53" spans="1:8" ht="15" thickBot="1">
      <c r="A53" s="1895"/>
      <c r="B53" s="1895"/>
      <c r="C53" s="1897" t="s">
        <v>25</v>
      </c>
      <c r="D53" s="1897"/>
      <c r="E53" s="1897"/>
      <c r="F53" s="1897"/>
      <c r="G53" s="1899" t="s">
        <v>24</v>
      </c>
      <c r="H53" s="1899"/>
    </row>
    <row r="54" spans="1:8" ht="15.6" thickTop="1" thickBot="1">
      <c r="A54" s="1896"/>
      <c r="B54" s="1896"/>
      <c r="C54" s="1898"/>
      <c r="D54" s="1898"/>
      <c r="E54" s="1898"/>
      <c r="F54" s="1898"/>
      <c r="G54" s="1900"/>
      <c r="H54" s="1900"/>
    </row>
    <row r="55" spans="1:8" ht="15.6" thickTop="1" thickBot="1">
      <c r="A55" s="1896"/>
      <c r="B55" s="1896"/>
      <c r="C55" s="1898" t="s">
        <v>23</v>
      </c>
      <c r="D55" s="1898"/>
      <c r="E55" s="1898"/>
      <c r="F55" s="1898"/>
      <c r="G55" s="1900" t="s">
        <v>22</v>
      </c>
      <c r="H55" s="1900"/>
    </row>
    <row r="56" spans="1:8" ht="15" customHeight="1" thickTop="1" thickBot="1">
      <c r="A56" s="1896"/>
      <c r="B56" s="1896"/>
      <c r="C56" s="1898"/>
      <c r="D56" s="1898"/>
      <c r="E56" s="1898"/>
      <c r="F56" s="1898"/>
      <c r="G56" s="1900" t="s">
        <v>21</v>
      </c>
      <c r="H56" s="1900"/>
    </row>
    <row r="57" spans="1:8" ht="15.6" thickTop="1" thickBot="1">
      <c r="A57" s="22" t="s">
        <v>20</v>
      </c>
      <c r="B57" s="1916" t="s">
        <v>703</v>
      </c>
      <c r="C57" s="1917"/>
      <c r="D57" s="1917"/>
      <c r="E57" s="1917"/>
      <c r="F57" s="1918"/>
      <c r="G57" s="22"/>
      <c r="H57" s="22"/>
    </row>
    <row r="58" spans="1:8" ht="15.6" thickTop="1" thickBot="1">
      <c r="A58" s="22" t="s">
        <v>19</v>
      </c>
      <c r="B58" s="307"/>
      <c r="C58" s="44"/>
      <c r="D58" s="44"/>
      <c r="E58" s="43"/>
      <c r="F58" s="22"/>
      <c r="G58" s="22" t="s">
        <v>18</v>
      </c>
      <c r="H58" s="21">
        <f>$H$6</f>
        <v>2015</v>
      </c>
    </row>
    <row r="59" spans="1:8" ht="15.6" thickTop="1" thickBot="1">
      <c r="A59" s="15"/>
      <c r="B59" s="15"/>
      <c r="C59" s="15"/>
      <c r="D59" s="15"/>
      <c r="E59" s="15"/>
      <c r="F59" s="15"/>
      <c r="G59" s="15"/>
      <c r="H59" s="15"/>
    </row>
    <row r="60" spans="1:8" ht="15.6" thickTop="1" thickBot="1">
      <c r="A60" s="1912" t="s">
        <v>37</v>
      </c>
      <c r="B60" s="1912"/>
      <c r="C60" s="1912"/>
      <c r="D60" s="1912"/>
      <c r="E60" s="1912"/>
      <c r="F60" s="1912"/>
      <c r="G60" s="1912"/>
      <c r="H60" s="1912"/>
    </row>
    <row r="61" spans="1:8" ht="15.6" thickTop="1" thickBot="1">
      <c r="A61" s="1902" t="s">
        <v>36</v>
      </c>
      <c r="B61" s="1903"/>
      <c r="C61" s="1903"/>
      <c r="D61" s="1903"/>
      <c r="E61" s="1903"/>
      <c r="F61" s="1903"/>
      <c r="G61" s="1903"/>
      <c r="H61" s="1904"/>
    </row>
    <row r="62" spans="1:8" ht="33.6" customHeight="1" thickTop="1" thickBot="1">
      <c r="A62" s="1913" t="s">
        <v>35</v>
      </c>
      <c r="B62" s="1913"/>
      <c r="C62" s="1913"/>
      <c r="D62" s="1913"/>
      <c r="E62" s="1913"/>
      <c r="F62" s="1913"/>
      <c r="G62" s="1913"/>
      <c r="H62" s="1913"/>
    </row>
    <row r="63" spans="1:8" ht="15.6" thickTop="1" thickBot="1">
      <c r="A63" s="37" t="s">
        <v>34</v>
      </c>
      <c r="B63" s="42" t="str">
        <f>$B$9</f>
        <v>Florida</v>
      </c>
      <c r="C63" s="41" t="s">
        <v>14</v>
      </c>
      <c r="D63" s="41"/>
      <c r="E63" s="310"/>
      <c r="F63" s="308"/>
      <c r="G63" s="308"/>
      <c r="H63" s="309"/>
    </row>
    <row r="64" spans="1:8" ht="19.5" customHeight="1" thickTop="1" thickBot="1">
      <c r="A64" s="40"/>
      <c r="B64" s="39"/>
      <c r="C64" s="38"/>
      <c r="D64" s="30" t="s">
        <v>12</v>
      </c>
      <c r="E64" s="30" t="s">
        <v>11</v>
      </c>
      <c r="F64" s="31" t="s">
        <v>10</v>
      </c>
      <c r="G64" s="30" t="s">
        <v>9</v>
      </c>
      <c r="H64" s="30" t="s">
        <v>8</v>
      </c>
    </row>
    <row r="65" spans="1:8" ht="27.75" customHeight="1" thickTop="1" thickBot="1">
      <c r="A65" s="37">
        <v>1</v>
      </c>
      <c r="B65" s="1914" t="s">
        <v>33</v>
      </c>
      <c r="C65" s="1915"/>
      <c r="D65" s="36">
        <f>'Glades 2015'!$G$26</f>
        <v>10</v>
      </c>
      <c r="E65" s="36">
        <f>'Glades 2015'!$G$36</f>
        <v>25</v>
      </c>
      <c r="F65" s="36">
        <v>0</v>
      </c>
      <c r="G65" s="36">
        <v>0</v>
      </c>
      <c r="H65" s="35">
        <f>SUM(D65:G65)</f>
        <v>35</v>
      </c>
    </row>
    <row r="66" spans="1:8" ht="15.6" thickTop="1" thickBot="1">
      <c r="A66" s="1889" t="s">
        <v>32</v>
      </c>
      <c r="B66" s="1870"/>
      <c r="C66" s="1870"/>
      <c r="D66" s="1870"/>
      <c r="E66" s="1870"/>
      <c r="F66" s="1870"/>
      <c r="G66" s="1870"/>
      <c r="H66" s="1908"/>
    </row>
    <row r="67" spans="1:8" ht="15.6" thickTop="1" thickBot="1">
      <c r="A67" s="1919" t="s">
        <v>31</v>
      </c>
      <c r="B67" s="1920"/>
      <c r="C67" s="1920"/>
      <c r="D67" s="1920"/>
      <c r="E67" s="1920"/>
      <c r="F67" s="1920"/>
      <c r="G67" s="1920"/>
      <c r="H67" s="1921"/>
    </row>
    <row r="68" spans="1:8" ht="16.5" customHeight="1" thickTop="1" thickBot="1">
      <c r="A68" s="34"/>
      <c r="B68" s="33"/>
      <c r="C68" s="312"/>
      <c r="D68" s="30" t="s">
        <v>12</v>
      </c>
      <c r="E68" s="30" t="s">
        <v>11</v>
      </c>
      <c r="F68" s="31" t="s">
        <v>10</v>
      </c>
      <c r="G68" s="30" t="s">
        <v>9</v>
      </c>
      <c r="H68" s="1922"/>
    </row>
    <row r="69" spans="1:9" ht="15.6" thickTop="1" thickBot="1">
      <c r="A69" s="28">
        <v>2</v>
      </c>
      <c r="B69" s="1924" t="s">
        <v>30</v>
      </c>
      <c r="C69" s="1925"/>
      <c r="D69" s="27" t="s">
        <v>657</v>
      </c>
      <c r="E69" s="27" t="s">
        <v>657</v>
      </c>
      <c r="F69" s="27">
        <v>0</v>
      </c>
      <c r="G69" s="27">
        <v>0</v>
      </c>
      <c r="H69" s="1923"/>
      <c r="I69" s="29"/>
    </row>
    <row r="70" spans="1:8" ht="15.6" thickTop="1" thickBot="1">
      <c r="A70" s="28">
        <v>3</v>
      </c>
      <c r="B70" s="1926" t="s">
        <v>29</v>
      </c>
      <c r="C70" s="1927"/>
      <c r="D70" s="27">
        <v>0</v>
      </c>
      <c r="E70" s="27">
        <v>0</v>
      </c>
      <c r="F70" s="27">
        <v>0</v>
      </c>
      <c r="G70" s="27">
        <v>0</v>
      </c>
      <c r="H70" s="1923"/>
    </row>
    <row r="71" spans="1:8" ht="15.6" thickTop="1" thickBot="1">
      <c r="A71" s="28">
        <v>4</v>
      </c>
      <c r="B71" s="1928" t="s">
        <v>28</v>
      </c>
      <c r="C71" s="1929"/>
      <c r="D71" s="27">
        <v>0</v>
      </c>
      <c r="E71" s="27">
        <v>0</v>
      </c>
      <c r="F71" s="27">
        <v>0</v>
      </c>
      <c r="G71" s="27">
        <v>0</v>
      </c>
      <c r="H71" s="1923"/>
    </row>
    <row r="72" spans="1:8" ht="15.6" thickTop="1" thickBot="1">
      <c r="A72" s="28">
        <v>5</v>
      </c>
      <c r="B72" s="1928" t="s">
        <v>27</v>
      </c>
      <c r="C72" s="1929"/>
      <c r="D72" s="27">
        <v>0</v>
      </c>
      <c r="E72" s="27">
        <v>0</v>
      </c>
      <c r="F72" s="27">
        <v>0</v>
      </c>
      <c r="G72" s="27">
        <v>0</v>
      </c>
      <c r="H72" s="1923"/>
    </row>
    <row r="73" spans="1:8" ht="15" thickTop="1">
      <c r="A73" s="26">
        <v>6</v>
      </c>
      <c r="B73" s="1930" t="s">
        <v>26</v>
      </c>
      <c r="C73" s="1931"/>
      <c r="D73" s="25">
        <v>0</v>
      </c>
      <c r="E73" s="25">
        <v>0</v>
      </c>
      <c r="F73" s="25">
        <v>0</v>
      </c>
      <c r="G73" s="25">
        <v>0</v>
      </c>
      <c r="H73" s="1923"/>
    </row>
    <row r="74" spans="1:8" s="24" customFormat="1" ht="60" customHeight="1">
      <c r="A74" s="1894"/>
      <c r="B74" s="1894"/>
      <c r="C74" s="1894"/>
      <c r="D74" s="1894"/>
      <c r="E74" s="1894"/>
      <c r="F74" s="1894"/>
      <c r="G74" s="1894"/>
      <c r="H74" s="1894"/>
    </row>
    <row r="75" spans="1:8" ht="15" thickBot="1">
      <c r="A75" s="1932"/>
      <c r="B75" s="1932"/>
      <c r="C75" s="1897" t="s">
        <v>25</v>
      </c>
      <c r="D75" s="1897"/>
      <c r="E75" s="1897"/>
      <c r="F75" s="1897"/>
      <c r="G75" s="1899" t="s">
        <v>24</v>
      </c>
      <c r="H75" s="1899"/>
    </row>
    <row r="76" spans="1:8" ht="15.6" thickTop="1" thickBot="1">
      <c r="A76" s="1933"/>
      <c r="B76" s="1933"/>
      <c r="C76" s="1898"/>
      <c r="D76" s="1898"/>
      <c r="E76" s="1898"/>
      <c r="F76" s="1898"/>
      <c r="G76" s="1900"/>
      <c r="H76" s="1900"/>
    </row>
    <row r="77" spans="1:8" ht="15.6" thickTop="1" thickBot="1">
      <c r="A77" s="1933"/>
      <c r="B77" s="1933"/>
      <c r="C77" s="1898" t="s">
        <v>23</v>
      </c>
      <c r="D77" s="1898"/>
      <c r="E77" s="1898"/>
      <c r="F77" s="1898"/>
      <c r="G77" s="1900" t="s">
        <v>22</v>
      </c>
      <c r="H77" s="1900"/>
    </row>
    <row r="78" spans="1:8" ht="15" customHeight="1" thickTop="1" thickBot="1">
      <c r="A78" s="1933"/>
      <c r="B78" s="1933"/>
      <c r="C78" s="1898"/>
      <c r="D78" s="1898"/>
      <c r="E78" s="1898"/>
      <c r="F78" s="1898"/>
      <c r="G78" s="1900" t="s">
        <v>21</v>
      </c>
      <c r="H78" s="1900"/>
    </row>
    <row r="79" spans="1:8" ht="15.6" thickTop="1" thickBot="1">
      <c r="A79" s="22" t="s">
        <v>20</v>
      </c>
      <c r="B79" s="1882" t="str">
        <f>$C$5</f>
        <v>Glades Electric Coop, Inc. </v>
      </c>
      <c r="C79" s="1883"/>
      <c r="D79" s="1883"/>
      <c r="E79" s="1883"/>
      <c r="F79" s="1883"/>
      <c r="G79" s="1885"/>
      <c r="H79" s="20"/>
    </row>
    <row r="80" spans="1:8" ht="15.6" thickTop="1" thickBot="1">
      <c r="A80" s="22" t="s">
        <v>19</v>
      </c>
      <c r="B80" s="307"/>
      <c r="C80" s="22"/>
      <c r="D80" s="22"/>
      <c r="E80" s="22"/>
      <c r="F80" s="22" t="s">
        <v>18</v>
      </c>
      <c r="G80" s="21">
        <f>$H$6</f>
        <v>2015</v>
      </c>
      <c r="H80" s="20"/>
    </row>
    <row r="81" spans="1:8" ht="15.6" thickTop="1" thickBot="1">
      <c r="A81" s="1934" t="s">
        <v>17</v>
      </c>
      <c r="B81" s="1934"/>
      <c r="C81" s="1934"/>
      <c r="D81" s="1934"/>
      <c r="E81" s="1934"/>
      <c r="F81" s="1934"/>
      <c r="G81" s="1934"/>
      <c r="H81" s="1934"/>
    </row>
    <row r="82" spans="1:8" ht="55.5" customHeight="1" thickTop="1" thickBot="1">
      <c r="A82" s="1935" t="s">
        <v>16</v>
      </c>
      <c r="B82" s="1935"/>
      <c r="C82" s="1935"/>
      <c r="D82" s="1935"/>
      <c r="E82" s="1935"/>
      <c r="F82" s="1935"/>
      <c r="G82" s="1935"/>
      <c r="H82" s="1935"/>
    </row>
    <row r="83" spans="1:8" ht="15.6" thickTop="1" thickBot="1">
      <c r="A83" s="19" t="s">
        <v>15</v>
      </c>
      <c r="B83" s="18" t="str">
        <f>$B$9</f>
        <v>Florida</v>
      </c>
      <c r="C83" s="17" t="s">
        <v>14</v>
      </c>
      <c r="D83" s="1936"/>
      <c r="E83" s="1936"/>
      <c r="F83" s="1936"/>
      <c r="G83" s="1936"/>
      <c r="H83" s="1936"/>
    </row>
    <row r="84" spans="1:8" ht="30" thickTop="1" thickBot="1">
      <c r="A84" s="16"/>
      <c r="B84" s="16"/>
      <c r="C84" s="15"/>
      <c r="D84" s="13" t="s">
        <v>12</v>
      </c>
      <c r="E84" s="13" t="s">
        <v>11</v>
      </c>
      <c r="F84" s="14" t="s">
        <v>10</v>
      </c>
      <c r="G84" s="13" t="s">
        <v>9</v>
      </c>
      <c r="H84" s="13" t="s">
        <v>8</v>
      </c>
    </row>
    <row r="85" spans="1:8" ht="15.6" customHeight="1" thickTop="1" thickBot="1">
      <c r="A85" s="6">
        <v>1</v>
      </c>
      <c r="B85" s="1937" t="s">
        <v>7</v>
      </c>
      <c r="C85" s="1937"/>
      <c r="D85" s="12">
        <f>'Glades 2015'!C46</f>
        <v>0</v>
      </c>
      <c r="E85" s="12">
        <f>'Glades 2015'!C47</f>
        <v>0</v>
      </c>
      <c r="F85" s="12">
        <f>'Glades 2015'!C48</f>
        <v>0</v>
      </c>
      <c r="G85" s="11">
        <v>0</v>
      </c>
      <c r="H85" s="7">
        <f>SUM(D85:G85)</f>
        <v>0</v>
      </c>
    </row>
    <row r="86" spans="1:8" ht="42" customHeight="1" thickTop="1" thickBot="1">
      <c r="A86" s="6">
        <v>2</v>
      </c>
      <c r="B86" s="1937" t="s">
        <v>6</v>
      </c>
      <c r="C86" s="1937"/>
      <c r="D86" s="12">
        <f>'Glades 2015'!B46</f>
        <v>12487</v>
      </c>
      <c r="E86" s="12">
        <f>'Glades 2015'!B47</f>
        <v>2394</v>
      </c>
      <c r="F86" s="12">
        <f>'Glades 2015'!B48</f>
        <v>1492</v>
      </c>
      <c r="G86" s="11">
        <v>0</v>
      </c>
      <c r="H86" s="7">
        <f>SUM(D86:G86)</f>
        <v>16373</v>
      </c>
    </row>
    <row r="87" spans="1:8" ht="31.95" customHeight="1" thickTop="1" thickBot="1">
      <c r="A87" s="6">
        <v>3</v>
      </c>
      <c r="B87" s="1942" t="s">
        <v>5</v>
      </c>
      <c r="C87" s="1943"/>
      <c r="D87" s="12">
        <v>0</v>
      </c>
      <c r="E87" s="12">
        <v>0</v>
      </c>
      <c r="F87" s="12">
        <v>0</v>
      </c>
      <c r="G87" s="11">
        <v>0</v>
      </c>
      <c r="H87" s="7">
        <f>SUM(D87:G87)</f>
        <v>0</v>
      </c>
    </row>
    <row r="88" spans="1:8" ht="15.6" customHeight="1" thickTop="1" thickBot="1">
      <c r="A88" s="6">
        <v>4</v>
      </c>
      <c r="B88" s="1937" t="s">
        <v>4</v>
      </c>
      <c r="C88" s="1937"/>
      <c r="D88" s="10">
        <v>0</v>
      </c>
      <c r="E88" s="10">
        <v>0</v>
      </c>
      <c r="F88" s="10">
        <v>0</v>
      </c>
      <c r="G88" s="9">
        <v>0</v>
      </c>
      <c r="H88" s="7">
        <f>SUM(D88:G88)</f>
        <v>0</v>
      </c>
    </row>
    <row r="89" spans="1:8" ht="36" customHeight="1" thickTop="1" thickBot="1">
      <c r="A89" s="6">
        <v>5</v>
      </c>
      <c r="B89" s="1944" t="s">
        <v>3</v>
      </c>
      <c r="C89" s="1944"/>
      <c r="D89" s="8">
        <f>D85+D86+D88</f>
        <v>12487</v>
      </c>
      <c r="E89" s="8">
        <f>E85+E86+E88</f>
        <v>2394</v>
      </c>
      <c r="F89" s="8">
        <f>F85+F86+F88</f>
        <v>1492</v>
      </c>
      <c r="G89" s="8">
        <f>G85+G86+G88</f>
        <v>0</v>
      </c>
      <c r="H89" s="7">
        <f>SUM(D89:G89)</f>
        <v>16373</v>
      </c>
    </row>
    <row r="90" spans="1:8" ht="28.5" customHeight="1" thickTop="1" thickBot="1">
      <c r="A90" s="6">
        <v>6</v>
      </c>
      <c r="B90" s="1937" t="s">
        <v>2</v>
      </c>
      <c r="C90" s="1937"/>
      <c r="D90" s="5">
        <v>0</v>
      </c>
      <c r="E90" s="5">
        <v>0</v>
      </c>
      <c r="F90" s="5">
        <v>0</v>
      </c>
      <c r="G90" s="4">
        <v>0</v>
      </c>
      <c r="H90" s="1938">
        <v>0</v>
      </c>
    </row>
    <row r="91" spans="1:8" ht="30" customHeight="1" thickTop="1" thickBot="1">
      <c r="A91" s="6">
        <v>7</v>
      </c>
      <c r="B91" s="1939" t="s">
        <v>1</v>
      </c>
      <c r="C91" s="1940"/>
      <c r="D91" s="5">
        <v>0</v>
      </c>
      <c r="E91" s="5">
        <v>0</v>
      </c>
      <c r="F91" s="5">
        <v>0</v>
      </c>
      <c r="G91" s="4">
        <v>0</v>
      </c>
      <c r="H91" s="1938"/>
    </row>
    <row r="92" spans="1:8" ht="15.6" customHeight="1" thickTop="1">
      <c r="A92" s="3">
        <v>8</v>
      </c>
      <c r="B92" s="1941" t="s">
        <v>0</v>
      </c>
      <c r="C92" s="1941"/>
      <c r="D92">
        <v>0</v>
      </c>
      <c r="E92">
        <v>0</v>
      </c>
      <c r="F92">
        <v>0</v>
      </c>
      <c r="G92">
        <v>0</v>
      </c>
      <c r="H92" s="2">
        <f>SUM(D92:G92)</f>
        <v>0</v>
      </c>
    </row>
    <row r="93" spans="1:8" ht="14.4" thickBot="1">
      <c r="A93" s="1"/>
      <c r="B93" s="1"/>
      <c r="C93" s="1"/>
      <c r="D93" s="1"/>
      <c r="E93" s="1"/>
      <c r="F93" s="1"/>
      <c r="G93" s="1"/>
      <c r="H93" s="1"/>
    </row>
  </sheetData>
  <mergeCells count="71">
    <mergeCell ref="H90:H91"/>
    <mergeCell ref="B91:C91"/>
    <mergeCell ref="B86:C86"/>
    <mergeCell ref="B92:C92"/>
    <mergeCell ref="B87:C87"/>
    <mergeCell ref="B88:C88"/>
    <mergeCell ref="B89:C89"/>
    <mergeCell ref="B90:C90"/>
    <mergeCell ref="B79:G79"/>
    <mergeCell ref="A81:H81"/>
    <mergeCell ref="A82:H82"/>
    <mergeCell ref="D83:H83"/>
    <mergeCell ref="B85:C85"/>
    <mergeCell ref="A74:H74"/>
    <mergeCell ref="A75:B78"/>
    <mergeCell ref="C75:F76"/>
    <mergeCell ref="G75:H76"/>
    <mergeCell ref="C77:F78"/>
    <mergeCell ref="G77:H77"/>
    <mergeCell ref="G78:H78"/>
    <mergeCell ref="A67:H67"/>
    <mergeCell ref="H68:H73"/>
    <mergeCell ref="B69:C69"/>
    <mergeCell ref="B70:C70"/>
    <mergeCell ref="B71:C71"/>
    <mergeCell ref="B72:C72"/>
    <mergeCell ref="B73:C73"/>
    <mergeCell ref="A66:H66"/>
    <mergeCell ref="A45:H45"/>
    <mergeCell ref="C47:C48"/>
    <mergeCell ref="B51:G51"/>
    <mergeCell ref="A52:H52"/>
    <mergeCell ref="A53:B56"/>
    <mergeCell ref="A60:H60"/>
    <mergeCell ref="A62:H62"/>
    <mergeCell ref="B65:C65"/>
    <mergeCell ref="B57:F57"/>
    <mergeCell ref="A34:H34"/>
    <mergeCell ref="A61:H61"/>
    <mergeCell ref="A36:H36"/>
    <mergeCell ref="C39:C40"/>
    <mergeCell ref="C53:F54"/>
    <mergeCell ref="G53:H54"/>
    <mergeCell ref="C55:F56"/>
    <mergeCell ref="G55:H55"/>
    <mergeCell ref="G56:H56"/>
    <mergeCell ref="B32:G32"/>
    <mergeCell ref="A35:H35"/>
    <mergeCell ref="D14:G14"/>
    <mergeCell ref="D17:G17"/>
    <mergeCell ref="A44:H44"/>
    <mergeCell ref="C23:H23"/>
    <mergeCell ref="B24:C24"/>
    <mergeCell ref="F26:H26"/>
    <mergeCell ref="A27:H27"/>
    <mergeCell ref="A28:B31"/>
    <mergeCell ref="C28:F29"/>
    <mergeCell ref="G28:H29"/>
    <mergeCell ref="D20:G20"/>
    <mergeCell ref="C30:F31"/>
    <mergeCell ref="G30:H30"/>
    <mergeCell ref="G31:H31"/>
    <mergeCell ref="A7:H7"/>
    <mergeCell ref="A8:H8"/>
    <mergeCell ref="E9:H9"/>
    <mergeCell ref="D11:G11"/>
    <mergeCell ref="A1:B4"/>
    <mergeCell ref="C1:G2"/>
    <mergeCell ref="C3:G4"/>
    <mergeCell ref="C5:G5"/>
    <mergeCell ref="C6:F6"/>
  </mergeCells>
  <pageMargins left="0.7" right="0.7" top="0.75" bottom="0.75" header="0.3" footer="0.3"/>
  <pageSetup orientation="landscape" scale="10"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0000"/>
  </sheetPr>
  <dimension ref="A1:A3"/>
  <sheetViews>
    <sheetView zoomScale="70" zoomScaleNormal="70" workbookViewId="0" topLeftCell="A1"/>
  </sheetViews>
  <sheetFormatPr defaultColWidth="8.77734375" defaultRowHeight="14.4"/>
  <cols>
    <col min="1" max="1" width="8.77777777777778" customWidth="1"/>
  </cols>
  <sheetData>
    <row r="1" ht="14.4">
      <c r="A1" s="381" t="s">
        <v>828</v>
      </c>
    </row>
    <row r="2" ht="14.4"/>
    <row r="3" ht="14.4" thickBot="1">
      <c r="A3" s="281" t="s">
        <v>1634</v>
      </c>
    </row>
  </sheetData>
  <pageMargins left="0.7" right="0.7" top="0.75" bottom="0.75" header="0.3" footer="0.3"/>
  <pageSetup orientation="portrait"/>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t="e">
        <f>#REF!</f>
        <v>#REF!</v>
      </c>
      <c r="D8" s="304" t="e">
        <f>#REF!</f>
        <v>#REF!</v>
      </c>
      <c r="E8" s="303" t="e">
        <f t="shared" si="0" ref="E8:E17">IF($C$19&gt;0,C8/$C$19*D8,0)</f>
        <v>#REF!</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5">
        <f>'Talquin 2015'!K22</f>
        <v>227.37775963980852</v>
      </c>
      <c r="D9" s="304">
        <f>'Talquin 2015'!J22</f>
        <v>1</v>
      </c>
      <c r="E9" s="303" t="e">
        <f t="shared" si="0"/>
        <v>#REF!</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5">
        <f>'Talquin 2015'!K23</f>
        <v>5.5925855999999996</v>
      </c>
      <c r="D10" s="304">
        <f>'Talquin 2015'!J23</f>
        <v>20</v>
      </c>
      <c r="E10" s="303" t="e">
        <f t="shared" si="0"/>
        <v>#REF!</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4">
        <v>0</v>
      </c>
      <c r="D11" s="304">
        <v>0</v>
      </c>
      <c r="E11" s="303" t="e">
        <f t="shared" si="0"/>
        <v>#REF!</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t="e">
        <f t="shared" si="0"/>
        <v>#REF!</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t="e">
        <f t="shared" si="0"/>
        <v>#REF!</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t="e">
        <f t="shared" si="0"/>
        <v>#REF!</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t="e">
        <f t="shared" si="0"/>
        <v>#REF!</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t="e">
        <f t="shared" si="0"/>
        <v>#REF!</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t="e">
        <f t="shared" si="0"/>
        <v>#REF!</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t="e">
        <f>SUM(C8:C18)</f>
        <v>#REF!</v>
      </c>
      <c r="D19" s="301"/>
      <c r="E19" s="300" t="e">
        <f>SUM(E8:E17)</f>
        <v>#REF!</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'Tri-County 2015'!K22</f>
        <v>442.38057611426279</v>
      </c>
      <c r="D8" s="304">
        <f>'Tri-County 2015'!J22</f>
        <v>1</v>
      </c>
      <c r="E8" s="303">
        <f t="shared" si="0" ref="E8:E17">IF($C$19&gt;0,C8/$C$19*D8,0)</f>
        <v>0.98751580211055767</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5">
        <f>'Tri-County 2015'!K23</f>
        <v>5.5925855999999996</v>
      </c>
      <c r="D9" s="304">
        <f>'Tri-County 2015'!J23</f>
        <v>20</v>
      </c>
      <c r="E9" s="303">
        <f t="shared" si="0"/>
        <v>0.24968395778884625</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4">
        <v>0</v>
      </c>
      <c r="D10" s="304">
        <v>0</v>
      </c>
      <c r="E10" s="303">
        <f t="shared" si="0"/>
        <v>0</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4">
        <v>0</v>
      </c>
      <c r="D11" s="304">
        <v>0</v>
      </c>
      <c r="E11" s="303">
        <f t="shared" si="0"/>
        <v>0</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f t="shared" si="0"/>
        <v>0</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f t="shared" si="0"/>
        <v>0</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f t="shared" si="0"/>
        <v>0</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447.9731617142628</v>
      </c>
      <c r="D19" s="301"/>
      <c r="E19" s="300">
        <f>SUM(E8:E17)</f>
        <v>1.237199759899404</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'Suwannee 2015'!K22</f>
        <v>1806.5901443608966</v>
      </c>
      <c r="D8" s="304">
        <f>'Suwannee 2015'!J22</f>
        <v>1</v>
      </c>
      <c r="E8" s="303">
        <f t="shared" si="0" ref="E8:E17">IF($C$19&gt;0,C8/$C$19*D8,0)</f>
        <v>0.99691389532217833</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5">
        <f>'Suwannee 2015'!K23</f>
        <v>5.5925855999999996</v>
      </c>
      <c r="D9" s="304">
        <f>'Suwannee 2015'!J23</f>
        <v>20</v>
      </c>
      <c r="E9" s="303">
        <f t="shared" si="0"/>
        <v>0.061722093556433766</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4">
        <v>0</v>
      </c>
      <c r="D10" s="304">
        <v>0</v>
      </c>
      <c r="E10" s="303">
        <f t="shared" si="0"/>
        <v>0</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4">
        <v>0</v>
      </c>
      <c r="D11" s="304">
        <v>0</v>
      </c>
      <c r="E11" s="303">
        <f t="shared" si="0"/>
        <v>0</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f t="shared" si="0"/>
        <v>0</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f t="shared" si="0"/>
        <v>0</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f t="shared" si="0"/>
        <v>0</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1812.1827299608965</v>
      </c>
      <c r="D19" s="301"/>
      <c r="E19" s="300">
        <f>SUM(E8:E17)</f>
        <v>1.0586359888786121</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'Clay 2015 without Resizing'!K22</f>
        <v>5.5925855999999996</v>
      </c>
      <c r="D8" s="304">
        <f>'Clay 2015 without Resizing'!J22</f>
        <v>20</v>
      </c>
      <c r="E8" s="303">
        <f t="shared" si="0" ref="E8:E17">IF($C$19&gt;0,C8/$C$19*D8,0)</f>
        <v>0.16981932680047729</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5">
        <f>'Clay 2015 without Resizing'!K23</f>
        <v>73.524056306274701</v>
      </c>
      <c r="D9" s="304">
        <f>'Clay 2015 without Resizing'!J23</f>
        <v>10</v>
      </c>
      <c r="E9" s="303">
        <f t="shared" si="0"/>
        <v>1.1162820418494763</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5">
        <f>'Clay 2015 without Resizing'!K24</f>
        <v>20.392499999999998</v>
      </c>
      <c r="D10" s="304">
        <f>'Clay 2015 without Resizing'!J24</f>
        <v>20</v>
      </c>
      <c r="E10" s="303">
        <f t="shared" si="0"/>
        <v>0.61921995825664833</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5">
        <f>'Clay 2015 without Resizing'!K25</f>
        <v>473.59354341361234</v>
      </c>
      <c r="D11" s="304">
        <f>'Clay 2015 without Resizing'!J25</f>
        <v>12</v>
      </c>
      <c r="E11" s="303">
        <f t="shared" si="0"/>
        <v>8.6284243967104146</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5">
        <f>'Clay 2015 without Resizing'!K26</f>
        <v>57.920000000000009</v>
      </c>
      <c r="D12" s="304">
        <f>'Clay 2015 without Resizing'!J26</f>
        <v>20</v>
      </c>
      <c r="E12" s="303">
        <f t="shared" si="0"/>
        <v>1.758745616389608</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5">
        <f>'Clay 2015 without Resizing'!K27</f>
        <v>15.039371021775544</v>
      </c>
      <c r="D13" s="304">
        <f>'Clay 2015 without Resizing'!J27</f>
        <v>20</v>
      </c>
      <c r="E13" s="303">
        <f t="shared" si="0"/>
        <v>0.45667175168861596</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5">
        <f>'Clay 2015 without Resizing'!K28</f>
        <v>12.589194416243652</v>
      </c>
      <c r="D14" s="304">
        <f>'Clay 2015 without Resizing'!J28</f>
        <v>10</v>
      </c>
      <c r="E14" s="303">
        <f t="shared" si="0"/>
        <v>0.19113596765750218</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658.65125075790627</v>
      </c>
      <c r="D19" s="301"/>
      <c r="E19" s="300">
        <f>SUM(E8:E17)</f>
        <v>12.940299059352741</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'Central Florida 2015'!K22</f>
        <v>504.41812448622557</v>
      </c>
      <c r="D8" s="304">
        <f>'Central Florida 2015'!J22</f>
        <v>1</v>
      </c>
      <c r="E8" s="303">
        <f t="shared" si="0" ref="E8:E17">IF($C$19&gt;0,C8/$C$19*D8,0)</f>
        <v>0.91880438109345253</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5">
        <f>'Central Florida 2015'!K23</f>
        <v>38.983324841999995</v>
      </c>
      <c r="D9" s="304">
        <f>'Central Florida 2015'!J23</f>
        <v>7</v>
      </c>
      <c r="E9" s="303">
        <f t="shared" si="0"/>
        <v>0.49706054443683745</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5">
        <f>'Central Florida 2015'!K24</f>
        <v>5.5925855999999996</v>
      </c>
      <c r="D10" s="304">
        <f>'Central Florida 2015'!J24</f>
        <v>20</v>
      </c>
      <c r="E10" s="303">
        <f t="shared" si="0"/>
        <v>0.20373939402569877</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5">
        <f>'Central Florida 2015'!K25</f>
        <v>0</v>
      </c>
      <c r="D11" s="304">
        <f>'Central Florida 2015'!J25</f>
        <v>0</v>
      </c>
      <c r="E11" s="303">
        <f t="shared" si="0"/>
        <v>0</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f t="shared" si="0"/>
        <v>0</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f t="shared" si="0"/>
        <v>0</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f t="shared" si="0"/>
        <v>0</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548.99403492822557</v>
      </c>
      <c r="D19" s="301"/>
      <c r="E19" s="300">
        <f>SUM(E8:E17)</f>
        <v>1.6196043195559888</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'Sumter 2015'!K22</f>
        <v>3882.7704781546963</v>
      </c>
      <c r="D8" s="304">
        <f>'Sumter 2015'!J22</f>
        <v>1</v>
      </c>
      <c r="E8" s="303">
        <f t="shared" si="0" ref="E8:E17">IF($C$19&gt;0,C8/$C$19*D8,0)</f>
        <v>0.9585790450852012</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5">
        <f>'Sumter 2015'!K23</f>
        <v>167.777568</v>
      </c>
      <c r="D9" s="304">
        <f>'Sumter 2015'!J23</f>
        <v>20</v>
      </c>
      <c r="E9" s="303">
        <f t="shared" si="0"/>
        <v>0.82841909829597582</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4">
        <v>0</v>
      </c>
      <c r="D10" s="304">
        <v>0</v>
      </c>
      <c r="E10" s="303">
        <f t="shared" si="0"/>
        <v>0</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4">
        <v>0</v>
      </c>
      <c r="D11" s="304">
        <v>0</v>
      </c>
      <c r="E11" s="303">
        <f t="shared" si="0"/>
        <v>0</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f t="shared" si="0"/>
        <v>0</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f t="shared" si="0"/>
        <v>0</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f t="shared" si="0"/>
        <v>0</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4050.5480461546963</v>
      </c>
      <c r="D19" s="301"/>
      <c r="E19" s="300">
        <f>SUM(E8:E17)</f>
        <v>1.786998143381177</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'Withlacoochee 2015'!K22</f>
        <v>5.5925855999999996</v>
      </c>
      <c r="D8" s="304">
        <f>'Withlacoochee 2015'!J22</f>
        <v>20</v>
      </c>
      <c r="E8" s="303">
        <f t="shared" si="0" ref="E8:E17">IF($C$19&gt;0,C8/$C$19*D8,0)</f>
        <v>20</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4">
        <v>0</v>
      </c>
      <c r="D9" s="304">
        <v>0</v>
      </c>
      <c r="E9" s="303">
        <f t="shared" si="0"/>
        <v>0</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4">
        <v>0</v>
      </c>
      <c r="D10" s="304">
        <v>0</v>
      </c>
      <c r="E10" s="303">
        <f t="shared" si="0"/>
        <v>0</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4">
        <v>0</v>
      </c>
      <c r="D11" s="304">
        <v>0</v>
      </c>
      <c r="E11" s="303">
        <f t="shared" si="0"/>
        <v>0</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f t="shared" si="0"/>
        <v>0</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f t="shared" si="0"/>
        <v>0</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f t="shared" si="0"/>
        <v>0</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5.5925855999999996</v>
      </c>
      <c r="D19" s="301"/>
      <c r="E19" s="300">
        <f>SUM(E8:E17)</f>
        <v>20</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'Peace River 2015'!K22</f>
        <v>20.531217750119996</v>
      </c>
      <c r="D8" s="304">
        <f>'Peace River 2015'!J22</f>
        <v>7</v>
      </c>
      <c r="E8" s="303">
        <f t="shared" si="0" ref="E8:E17">IF($C$19&gt;0,C8/$C$19*D8,0)</f>
        <v>5.501439523360208</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5">
        <f>'Peace River 2015'!K23</f>
        <v>5.5925855999999996</v>
      </c>
      <c r="D9" s="304">
        <f>'Peace River 2015'!J23</f>
        <v>20</v>
      </c>
      <c r="E9" s="303">
        <f t="shared" si="0"/>
        <v>4.2816013618279749</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4">
        <v>0</v>
      </c>
      <c r="D10" s="304">
        <v>0</v>
      </c>
      <c r="E10" s="303">
        <f t="shared" si="0"/>
        <v>0</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4">
        <v>0</v>
      </c>
      <c r="D11" s="304">
        <v>0</v>
      </c>
      <c r="E11" s="303">
        <f t="shared" si="0"/>
        <v>0</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f t="shared" si="0"/>
        <v>0</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f t="shared" si="0"/>
        <v>0</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f t="shared" si="0"/>
        <v>0</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26.123803350119996</v>
      </c>
      <c r="D19" s="301"/>
      <c r="E19" s="300">
        <f>SUM(E8:E17)</f>
        <v>9.783040885188182</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T9"/>
  <sheetViews>
    <sheetView workbookViewId="0" topLeftCell="A4">
      <selection pane="topLeft" activeCell="A1" sqref="A1"/>
    </sheetView>
  </sheetViews>
  <sheetFormatPr defaultColWidth="8.77734375" defaultRowHeight="14.4"/>
  <cols>
    <col min="1" max="1" width="10.8888888888889" style="1605" customWidth="1"/>
    <col min="2" max="2" width="14.5555555555556" style="1605" customWidth="1"/>
    <col min="3" max="3" width="9.44444444444444" style="1605" customWidth="1"/>
    <col min="4" max="4" width="9.55555555555556" style="1605" customWidth="1"/>
    <col min="5" max="5" width="9.22222222222222" style="1605" customWidth="1"/>
    <col min="6" max="6" width="7.88888888888889" style="1605" customWidth="1"/>
    <col min="7" max="7" width="10.7777777777778" style="1605" customWidth="1"/>
    <col min="8" max="8" width="8.88888888888889" style="1605" customWidth="1"/>
    <col min="9" max="9" width="8.22222222222222" style="1605" customWidth="1"/>
    <col min="10" max="10" width="8.11111111111111" style="1605" customWidth="1"/>
    <col min="11" max="11" width="7.88888888888889" style="1605" customWidth="1"/>
    <col min="12" max="12" width="10.7777777777778" style="1605" customWidth="1"/>
    <col min="13" max="13" width="19.4444444444444" style="1605" customWidth="1"/>
    <col min="14" max="14" width="8.77777777777778" style="1605" customWidth="1"/>
    <col min="15" max="15" width="12" style="1605" customWidth="1"/>
    <col min="16" max="17" width="8.77777777777778" style="1605" customWidth="1"/>
    <col min="18" max="18" width="13.4444444444444" style="1605" customWidth="1"/>
    <col min="19" max="20" width="8.77777777777778" style="1605" customWidth="1"/>
    <col min="21" max="21" width="7" style="1605" customWidth="1"/>
    <col min="22" max="22" width="8.77777777777778" style="1605"/>
    <col min="23" max="23" width="8.88888888888889" style="1605" customWidth="1"/>
    <col min="24" max="24" width="8.66666666666667" style="1605" customWidth="1"/>
    <col min="25" max="25" width="10.7777777777778" style="1605" customWidth="1"/>
    <col min="26" max="30" width="8.77777777777778" style="1605" customWidth="1"/>
    <col min="31" max="32" width="8.77777777777778" style="1605" bestFit="1" customWidth="1"/>
    <col min="33" max="33" width="9.11111111111111" style="1605" bestFit="1" customWidth="1"/>
    <col min="34" max="34" width="7.77777777777778" style="1605" customWidth="1"/>
    <col min="35" max="37" width="8.77777777777778" style="1605" customWidth="1"/>
    <col min="38" max="38" width="8.77777777777778" style="1605" customWidth="1"/>
    <col min="39" max="39" width="8.88888888888889" style="1605" bestFit="1" customWidth="1"/>
    <col min="40" max="40" width="9.77777777777778" style="1605" bestFit="1" customWidth="1"/>
    <col min="41" max="41" width="9.22222222222222" style="1605" bestFit="1" customWidth="1"/>
    <col min="42" max="42" width="7.77777777777778" style="1605" customWidth="1"/>
    <col min="43" max="46" width="8.77777777777778" style="1605" customWidth="1"/>
    <col min="47" max="16384" width="8.77777777777778" style="1605"/>
  </cols>
  <sheetData>
    <row r="2" spans="1:46" ht="14.4">
      <c r="A2" s="1605" t="s">
        <v>341</v>
      </c>
      <c r="M2" s="1605"/>
      <c r="N2" s="1605"/>
      <c r="O2" s="1605"/>
      <c r="P2" s="1605"/>
      <c r="Q2" s="1605"/>
      <c r="R2" s="1605"/>
      <c r="S2" s="1605"/>
      <c r="T2" s="1605"/>
      <c r="Y2" s="1605"/>
      <c r="Z2" s="1605"/>
      <c r="AA2" s="1605"/>
      <c r="AB2" s="1605"/>
      <c r="AC2" s="1605"/>
      <c r="AD2" s="1605"/>
      <c r="AE2" s="1664"/>
      <c r="AF2" s="1664"/>
      <c r="AG2" s="1664"/>
      <c r="AH2" s="1664"/>
      <c r="AI2" s="1605"/>
      <c r="AJ2" s="1605"/>
      <c r="AK2" s="1605"/>
      <c r="AL2" s="1605"/>
      <c r="AM2" s="1664"/>
      <c r="AN2" s="1664"/>
      <c r="AO2" s="1664"/>
      <c r="AP2" s="1664"/>
      <c r="AQ2" s="1605"/>
      <c r="AR2" s="1605"/>
      <c r="AS2" s="1605"/>
      <c r="AT2" s="1605"/>
    </row>
    <row r="3" spans="1:46" ht="72">
      <c r="A3" s="1606" t="str">
        <f>'Talquin 2015'!B21</f>
        <v>Measure</v>
      </c>
      <c r="B3" s="1606" t="str">
        <f>'Talquin 2015'!C21</f>
        <v>Co-op's Implementation Costs</v>
      </c>
      <c r="C3" s="1606" t="str">
        <f>'Talquin 2015'!D21</f>
        <v>Incentives</v>
      </c>
      <c r="D3" s="1606" t="str">
        <f>'Talquin 2015'!E21</f>
        <v>Total Spending</v>
      </c>
      <c r="E3" s="1606" t="str">
        <f>'Talquin 2015'!F21</f>
        <v>Unit Definition </v>
      </c>
      <c r="F3" s="1606" t="str">
        <f>'Talquin 2015'!G21</f>
        <v>Number of Units</v>
      </c>
      <c r="G3" s="1606" t="str">
        <f>'Talquin 2015'!H21</f>
        <v>Annual Energy Savings Per Unit (kWh)</v>
      </c>
      <c r="H3" s="1606" t="str">
        <f>'Talquin 2015'!I21</f>
        <v>Peak Demand Savings Per Unit (kW)</v>
      </c>
      <c r="I3" s="1606" t="str">
        <f>'Talquin 2015'!J21</f>
        <v>Measure Life (yrs)</v>
      </c>
      <c r="J3" s="1606" t="str">
        <f>'Talquin 2015'!K21</f>
        <v>Total Annual MWh</v>
      </c>
      <c r="K3" s="1606" t="str">
        <f>'Talquin 2015'!L21</f>
        <v>Total Lifetime MWh</v>
      </c>
      <c r="L3" s="1606" t="str">
        <f>'Talquin 2015'!M21</f>
        <v>Total Coincident Demand (kW)</v>
      </c>
      <c r="M3" s="1606" t="str">
        <f>'Talquin 2015'!N21</f>
        <v>Notes</v>
      </c>
      <c r="N3" s="1606">
        <f>'Talquin 2015'!O21</f>
        <v>0</v>
      </c>
      <c r="O3" s="1606" t="str">
        <f>'Talquin 2015'!P21</f>
        <v>Total Annual MWh Weighting</v>
      </c>
      <c r="P3" s="1606">
        <f>'Talquin 2015'!Q21</f>
        <v>0</v>
      </c>
      <c r="Q3" s="1606">
        <f>'Talquin 2015'!R21</f>
        <v>0</v>
      </c>
      <c r="R3" s="1606" t="str">
        <f>'Talquin 2015'!S21</f>
        <v>Participation Weighting Factor</v>
      </c>
      <c r="S3" s="1606" t="str">
        <f>'Talquin 2015'!T21</f>
        <v>Replacement Type</v>
      </c>
      <c r="T3" s="1606" t="str">
        <f>'Talquin 2015'!U21</f>
        <v>Cost Type</v>
      </c>
      <c r="U3" s="1606" t="str">
        <f>'Talquin 2015'!V21</f>
        <v>NTG</v>
      </c>
      <c r="V3" s="1606" t="str">
        <f>'Talquin 2015'!W21</f>
        <v>Customer Cost Savings ($/Unit)</v>
      </c>
      <c r="W3" s="1606" t="str">
        <f>'Talquin 2015'!X21</f>
        <v>PV of Lost Revenue ($/Unit)</v>
      </c>
      <c r="X3" s="1606" t="str">
        <f>'Talquin 2015'!Y21</f>
        <v>Incentive per Unit ($/Unit)</v>
      </c>
      <c r="Y3" s="1606" t="str">
        <f>'Talquin 2015'!Z21</f>
        <v>Measure Incremental Cost ($/Unit)</v>
      </c>
      <c r="Z3" s="1606" t="str">
        <f>'Talquin 2015'!AA21</f>
        <v>Notes</v>
      </c>
      <c r="AA3" s="1606" t="str">
        <f>'Talquin 2015'!AB21</f>
        <v>PV of Program Benefits</v>
      </c>
      <c r="AB3" s="1606" t="str">
        <f>'Talquin 2015'!AC21</f>
        <v>PV of Program Costs</v>
      </c>
      <c r="AC3" s="1606" t="str">
        <f>'Talquin 2015'!AD21</f>
        <v>NPV</v>
      </c>
      <c r="AD3" s="1606" t="str">
        <f>'Talquin 2015'!AE21</f>
        <v>Benefit/Cost Ratio</v>
      </c>
      <c r="AE3" s="1606" t="str">
        <f>'Talquin 2015'!AF21</f>
        <v>PV of Program Benefits</v>
      </c>
      <c r="AF3" s="1606" t="str">
        <f>'Talquin 2015'!AG21</f>
        <v>PV of Program Costs</v>
      </c>
      <c r="AG3" s="1606" t="str">
        <f>'Talquin 2015'!AH21</f>
        <v>NPV</v>
      </c>
      <c r="AH3" s="1606" t="str">
        <f>'Talquin 2015'!AI21</f>
        <v>Benefit/Cost Ratio</v>
      </c>
      <c r="AI3" s="1606" t="str">
        <f>'Talquin 2015'!AJ21</f>
        <v>PV of Program Benefits</v>
      </c>
      <c r="AJ3" s="1606" t="str">
        <f>'Talquin 2015'!AK21</f>
        <v>PV of Program Costs</v>
      </c>
      <c r="AK3" s="1606" t="str">
        <f>'Talquin 2015'!AL21</f>
        <v>NPV</v>
      </c>
      <c r="AL3" s="1606" t="str">
        <f>'Talquin 2015'!AM21</f>
        <v>Benefit/Cost Ratio</v>
      </c>
      <c r="AM3" s="1606" t="str">
        <f>'Talquin 2015'!AN21</f>
        <v>PV of Program Benefits</v>
      </c>
      <c r="AN3" s="1606" t="str">
        <f>'Talquin 2015'!AO21</f>
        <v>PV of Program Costs</v>
      </c>
      <c r="AO3" s="1606" t="str">
        <f>'Talquin 2015'!AP21</f>
        <v>NPV</v>
      </c>
      <c r="AP3" s="1606" t="str">
        <f>'Talquin 2015'!AQ21</f>
        <v>Benefit/Cost Ratio</v>
      </c>
      <c r="AQ3" s="1605">
        <f>'Talquin 2015'!AR21</f>
        <v>0</v>
      </c>
      <c r="AR3" s="1605" t="str">
        <f>'Talquin 2015'!AS21</f>
        <v>$/kWh</v>
      </c>
      <c r="AS3" s="1605" t="str">
        <f>'Talquin 2015'!AT21</f>
        <v>$/kW</v>
      </c>
      <c r="AT3" s="1605" t="str">
        <f>'Talquin 2015'!AU21</f>
        <v>$/Unit</v>
      </c>
    </row>
    <row r="4" spans="1:46" ht="28.8">
      <c r="A4" s="1606" t="str">
        <f>'Talquin 2015'!B22</f>
        <v>In-Home Audit</v>
      </c>
      <c r="B4" s="1607">
        <f>'Talquin 2015'!C22</f>
        <v>233160.21</v>
      </c>
      <c r="C4" s="1607">
        <f>'Talquin 2015'!D22</f>
        <v>0</v>
      </c>
      <c r="D4" s="1607">
        <f>'Talquin 2015'!E22</f>
        <v>233160.21</v>
      </c>
      <c r="E4" s="1606" t="str">
        <f>'Talquin 2015'!F22</f>
        <v>Home</v>
      </c>
      <c r="F4" s="1606">
        <f>'Talquin 2015'!G22</f>
        <v>414</v>
      </c>
      <c r="G4" s="1608">
        <f>'Talquin 2015'!H22</f>
        <v>549.22164164204958</v>
      </c>
      <c r="H4" s="1606">
        <f>'Talquin 2015'!I22</f>
        <v>0</v>
      </c>
      <c r="I4" s="1606">
        <f>'Talquin 2015'!J22</f>
        <v>1</v>
      </c>
      <c r="J4" s="1608">
        <f>'Talquin 2015'!K22</f>
        <v>227.37775963980852</v>
      </c>
      <c r="K4" s="1608">
        <f>'Talquin 2015'!L22</f>
        <v>227.37775963980852</v>
      </c>
      <c r="L4" s="1606">
        <f>'Talquin 2015'!M22</f>
        <v>0</v>
      </c>
      <c r="M4" s="1606">
        <f>'Talquin 2015'!N22</f>
        <v>0</v>
      </c>
      <c r="N4" s="1606">
        <f>'Talquin 2015'!O22</f>
        <v>0</v>
      </c>
      <c r="O4" s="1606">
        <f>'Talquin 2015'!P22</f>
        <v>0.97599443141897191</v>
      </c>
      <c r="P4" s="1606">
        <f>'Talquin 2015'!Q22</f>
        <v>0</v>
      </c>
      <c r="Q4" s="1606">
        <f>'Talquin 2015'!R22</f>
        <v>0</v>
      </c>
      <c r="R4" s="1606">
        <f>'Talquin 2015'!S22</f>
        <v>0.67426710097719866</v>
      </c>
      <c r="S4" s="1606" t="str">
        <f>'Talquin 2015'!T22</f>
        <v>RET</v>
      </c>
      <c r="T4" s="1606" t="str">
        <f>'Talquin 2015'!U22</f>
        <v>Full</v>
      </c>
      <c r="U4" s="1606">
        <f>'Talquin 2015'!V22</f>
        <v>0.90</v>
      </c>
      <c r="V4" s="1609">
        <f>'Talquin 2015'!W22</f>
        <v>71.810405027686684</v>
      </c>
      <c r="W4" s="1609">
        <f>'Talquin 2015'!X22</f>
        <v>67.745665120459122</v>
      </c>
      <c r="X4" s="1609">
        <f>'Talquin 2015'!Y22</f>
        <v>0</v>
      </c>
      <c r="Y4" s="1609">
        <f>'Talquin 2015'!Z22</f>
        <v>5</v>
      </c>
      <c r="Z4" s="1606">
        <f>'Talquin 2015'!AA22</f>
        <v>0</v>
      </c>
      <c r="AA4" s="1606" t="str">
        <f>'Talquin 2015'!AB22</f>
        <v/>
      </c>
      <c r="AB4" s="1606">
        <f>'Talquin 2015'!AC22</f>
        <v>567.68891304347824</v>
      </c>
      <c r="AC4" s="1606" t="str">
        <f>'Talquin 2015'!AD22</f>
        <v/>
      </c>
      <c r="AD4" s="1606" t="str">
        <f>'Talquin 2015'!AE22</f>
        <v/>
      </c>
      <c r="AE4" s="1609">
        <f>'Talquin 2015'!AF22</f>
        <v>13.616551643729306</v>
      </c>
      <c r="AF4" s="1609">
        <f>'Talquin 2015'!AG22</f>
        <v>531.31029532403647</v>
      </c>
      <c r="AG4" s="1609">
        <f>'Talquin 2015'!AH22</f>
        <v>-517.69374368030719</v>
      </c>
      <c r="AH4" s="1610">
        <f>'Talquin 2015'!AI22</f>
        <v>0.02562824730400682</v>
      </c>
      <c r="AI4" s="1606">
        <f>'Talquin 2015'!AJ22</f>
        <v>67.745665120459179</v>
      </c>
      <c r="AJ4" s="1606">
        <f>'Talquin 2015'!AK22</f>
        <v>5</v>
      </c>
      <c r="AK4" s="1606">
        <f>'Talquin 2015'!AL22</f>
        <v>62.745665120459179</v>
      </c>
      <c r="AL4" s="1606">
        <f>'Talquin 2015'!AM22</f>
        <v>13.549133024091836</v>
      </c>
      <c r="AM4" s="1609">
        <f>'Talquin 2015'!AN22</f>
        <v>13.616551643729306</v>
      </c>
      <c r="AN4" s="1609">
        <f>'Talquin 2015'!AO22</f>
        <v>630.93457816393732</v>
      </c>
      <c r="AO4" s="1609">
        <f>'Talquin 2015'!AP22</f>
        <v>-617.31802652020804</v>
      </c>
      <c r="AP4" s="1610">
        <f>'Talquin 2015'!AQ22</f>
        <v>0.021581558714620461</v>
      </c>
      <c r="AQ4" s="1605">
        <f>'Talquin 2015'!AR22</f>
        <v>0</v>
      </c>
      <c r="AR4" s="1605">
        <f>'Talquin 2015'!AS22</f>
        <v>0.0292</v>
      </c>
      <c r="AS4" s="1605">
        <f>'Talquin 2015'!AT22</f>
        <v>76.44</v>
      </c>
      <c r="AT4" s="1605">
        <f>'Talquin 2015'!AU22</f>
        <v>563.18891304347824</v>
      </c>
    </row>
    <row r="5" ht="14.4"/>
    <row r="6" ht="14.4"/>
    <row r="7" spans="1:42" ht="14.4">
      <c r="A7" s="1605" t="s">
        <v>354</v>
      </c>
      <c r="AE7" s="1664"/>
      <c r="AF7" s="1664"/>
      <c r="AG7" s="1664"/>
      <c r="AH7" s="1664"/>
      <c r="AM7" s="1664"/>
      <c r="AN7" s="1664"/>
      <c r="AO7" s="1664"/>
      <c r="AP7" s="1664"/>
    </row>
    <row r="8" spans="1:46" ht="72">
      <c r="A8" s="1606" t="str">
        <f>'Clay 2015 without Resizing'!B21</f>
        <v>Measure</v>
      </c>
      <c r="B8" s="1606" t="str">
        <f>'Clay 2015 without Resizing'!C21</f>
        <v>Co-op's Implementation Costs</v>
      </c>
      <c r="C8" s="1606" t="str">
        <f>'Clay 2015 without Resizing'!D21</f>
        <v>Incentives</v>
      </c>
      <c r="D8" s="1606" t="str">
        <f>'Clay 2015 without Resizing'!E21</f>
        <v>Total Spending</v>
      </c>
      <c r="E8" s="1606" t="str">
        <f>'Clay 2015 without Resizing'!F21</f>
        <v>Unit Definition </v>
      </c>
      <c r="F8" s="1606" t="str">
        <f>'Clay 2015 without Resizing'!G21</f>
        <v>Number of Units</v>
      </c>
      <c r="G8" s="1606" t="str">
        <f>'Clay 2015 without Resizing'!H21</f>
        <v>Annual Energy Savings Per Unit (kWh)</v>
      </c>
      <c r="H8" s="1606" t="str">
        <f>'Clay 2015 without Resizing'!I21</f>
        <v>Peak Demand Savings Per Unit (kW)</v>
      </c>
      <c r="I8" s="1606" t="str">
        <f>'Clay 2015 without Resizing'!J21</f>
        <v>Measure Life (yrs)</v>
      </c>
      <c r="J8" s="1606" t="str">
        <f>'Clay 2015 without Resizing'!K21</f>
        <v>Total Annual MWh</v>
      </c>
      <c r="K8" s="1606" t="str">
        <f>'Clay 2015 without Resizing'!L21</f>
        <v>Total Lifetime MWh</v>
      </c>
      <c r="L8" s="1606" t="str">
        <f>'Clay 2015 without Resizing'!M21</f>
        <v>Total Coincident Demand (kW)</v>
      </c>
      <c r="M8" s="1606" t="str">
        <f>'Clay 2015 without Resizing'!N21</f>
        <v>Notes</v>
      </c>
      <c r="N8" s="1606">
        <f>'Clay 2015 without Resizing'!O21</f>
        <v>0</v>
      </c>
      <c r="O8" s="1606" t="str">
        <f>'Clay 2015 without Resizing'!P21</f>
        <v>Total Annual MWh Weighting</v>
      </c>
      <c r="P8" s="1606">
        <f>'Clay 2015 without Resizing'!Q21</f>
        <v>0</v>
      </c>
      <c r="Q8" s="1606">
        <f>'Clay 2015 without Resizing'!R21</f>
        <v>0</v>
      </c>
      <c r="R8" s="1606" t="str">
        <f>'Clay 2015 without Resizing'!S21</f>
        <v>Participation Weighting Factor</v>
      </c>
      <c r="S8" s="1606" t="str">
        <f>'Clay 2015 without Resizing'!T21</f>
        <v>Replacement Type</v>
      </c>
      <c r="T8" s="1606" t="str">
        <f>'Clay 2015 without Resizing'!U21</f>
        <v>Cost Type</v>
      </c>
      <c r="U8" s="1606" t="str">
        <f>'Clay 2015 without Resizing'!V21</f>
        <v>NTG</v>
      </c>
      <c r="V8" s="1606" t="str">
        <f>'Clay 2015 without Resizing'!W21</f>
        <v>Customer Cost Savings ($/Unit)</v>
      </c>
      <c r="W8" s="1606" t="str">
        <f>'Clay 2015 without Resizing'!X21</f>
        <v>PV of Lost Revenue ($/Unit)</v>
      </c>
      <c r="X8" s="1606" t="str">
        <f>'Clay 2015 without Resizing'!Y21</f>
        <v>Incentive per Unit ($/Unit)</v>
      </c>
      <c r="Y8" s="1606" t="str">
        <f>'Clay 2015 without Resizing'!Z21</f>
        <v>Measure Incremental Cost ($/Unit)</v>
      </c>
      <c r="Z8" s="1606" t="str">
        <f>'Clay 2015 without Resizing'!AA21</f>
        <v>Notes</v>
      </c>
      <c r="AA8" s="1606" t="str">
        <f>'Clay 2015 without Resizing'!AB21</f>
        <v>PV of Program Benefits</v>
      </c>
      <c r="AB8" s="1606" t="str">
        <f>'Clay 2015 without Resizing'!AC21</f>
        <v>PV of Program Costs</v>
      </c>
      <c r="AC8" s="1606" t="str">
        <f>'Clay 2015 without Resizing'!AD21</f>
        <v>NPV</v>
      </c>
      <c r="AD8" s="1606" t="str">
        <f>'Clay 2015 without Resizing'!AE21</f>
        <v>Benefit/Cost Ratio</v>
      </c>
      <c r="AE8" s="1606" t="str">
        <f>'Clay 2015 without Resizing'!AF21</f>
        <v>PV of Program Benefits</v>
      </c>
      <c r="AF8" s="1606" t="str">
        <f>'Clay 2015 without Resizing'!AG21</f>
        <v>PV of Program Costs</v>
      </c>
      <c r="AG8" s="1606" t="str">
        <f>'Clay 2015 without Resizing'!AH21</f>
        <v>NPV</v>
      </c>
      <c r="AH8" s="1606" t="str">
        <f>'Clay 2015 without Resizing'!AI21</f>
        <v>Benefit/Cost Ratio</v>
      </c>
      <c r="AI8" s="1606" t="str">
        <f>'Clay 2015 without Resizing'!AJ21</f>
        <v>PV of Program Benefits</v>
      </c>
      <c r="AJ8" s="1606" t="str">
        <f>'Clay 2015 without Resizing'!AK21</f>
        <v>PV of Program Costs</v>
      </c>
      <c r="AK8" s="1606" t="str">
        <f>'Clay 2015 without Resizing'!AL21</f>
        <v>NPV</v>
      </c>
      <c r="AL8" s="1606" t="str">
        <f>'Clay 2015 without Resizing'!AM21</f>
        <v>Benefit/Cost Ratio</v>
      </c>
      <c r="AM8" s="1606" t="str">
        <f>'Clay 2015 without Resizing'!AN21</f>
        <v>PV of Program Benefits</v>
      </c>
      <c r="AN8" s="1606" t="str">
        <f>'Clay 2015 without Resizing'!AO21</f>
        <v>PV of Program Costs</v>
      </c>
      <c r="AO8" s="1606" t="str">
        <f>'Clay 2015 without Resizing'!AP21</f>
        <v>NPV</v>
      </c>
      <c r="AP8" s="1606" t="str">
        <f>'Clay 2015 without Resizing'!AQ21</f>
        <v>Benefit/Cost Ratio</v>
      </c>
      <c r="AQ8" s="1605">
        <f>'Clay 2015 without Resizing'!AR21</f>
        <v>0</v>
      </c>
      <c r="AR8" s="1605" t="str">
        <f>'Clay 2015 without Resizing'!AS21</f>
        <v>$/kWh</v>
      </c>
      <c r="AS8" s="1605" t="str">
        <f>'Clay 2015 without Resizing'!AT21</f>
        <v>$/kW</v>
      </c>
      <c r="AT8" s="1605" t="str">
        <f>'Clay 2015 without Resizing'!AU21</f>
        <v>$/Unit</v>
      </c>
    </row>
    <row r="9" spans="1:46" ht="34.5" customHeight="1">
      <c r="A9" s="1606" t="str">
        <f>'Clay 2015 without Resizing'!B25</f>
        <v>Heat Pump HVAC</v>
      </c>
      <c r="B9" s="1607">
        <f>'Clay 2015 without Resizing'!C25</f>
        <v>109485.17837565047</v>
      </c>
      <c r="C9" s="1607">
        <f>'Clay 2015 without Resizing'!D25</f>
        <v>150175</v>
      </c>
      <c r="D9" s="1607">
        <f>'Clay 2015 without Resizing'!E25</f>
        <v>259660.17837565049</v>
      </c>
      <c r="E9" s="1606" t="str">
        <f>'Clay 2015 without Resizing'!F25</f>
        <v>Heat Pump</v>
      </c>
      <c r="F9" s="1606">
        <f>'Clay 2015 without Resizing'!G25</f>
        <v>617</v>
      </c>
      <c r="G9" s="1608">
        <f>'Clay 2015 without Resizing'!H25</f>
        <v>767.57462465739445</v>
      </c>
      <c r="H9" s="1610">
        <f>'Clay 2015 without Resizing'!I25</f>
        <v>0.31491395373910425</v>
      </c>
      <c r="I9" s="1606">
        <f>'Clay 2015 without Resizing'!J25</f>
        <v>12</v>
      </c>
      <c r="J9" s="1608">
        <f>'Clay 2015 without Resizing'!K25</f>
        <v>473.59354341361234</v>
      </c>
      <c r="K9" s="1611">
        <f>'Clay 2015 without Resizing'!L25</f>
        <v>5683.1225209633485</v>
      </c>
      <c r="L9" s="1608">
        <f>'Clay 2015 without Resizing'!M25</f>
        <v>194.30190945702731</v>
      </c>
      <c r="M9" s="1606" t="str">
        <f>'Clay 2015 without Resizing'!N25</f>
        <v>https://www.clayelectric.com/member-information/energy-information/energy-rebates-loans</v>
      </c>
      <c r="N9" s="1606">
        <f>'Clay 2015 without Resizing'!O25</f>
        <v>0</v>
      </c>
      <c r="O9" s="1606">
        <f>'Clay 2015 without Resizing'!P25</f>
        <v>0.71903536639253463</v>
      </c>
      <c r="P9" s="1606">
        <f>'Clay 2015 without Resizing'!Q25</f>
        <v>0</v>
      </c>
      <c r="Q9" s="1606">
        <f>'Clay 2015 without Resizing'!R25</f>
        <v>0</v>
      </c>
      <c r="R9" s="1606">
        <f>'Clay 2015 without Resizing'!S25</f>
        <v>0.0029088063286573998</v>
      </c>
      <c r="S9" s="1606" t="str">
        <f>'Clay 2015 without Resizing'!T25</f>
        <v>RET</v>
      </c>
      <c r="T9" s="1606" t="str">
        <f>'Clay 2015 without Resizing'!U25</f>
        <v>Full</v>
      </c>
      <c r="U9" s="1606">
        <f>'Clay 2015 without Resizing'!V25</f>
        <v>0.90</v>
      </c>
      <c r="V9" s="1609">
        <f>'Clay 2015 without Resizing'!W25</f>
        <v>93.852122154280281</v>
      </c>
      <c r="W9" s="1609">
        <f>'Clay 2015 without Resizing'!X25</f>
        <v>786.8415456152776</v>
      </c>
      <c r="X9" s="1609">
        <f>'Clay 2015 without Resizing'!Y25</f>
        <v>243.39546191247973</v>
      </c>
      <c r="Y9" s="1609">
        <f>'Clay 2015 without Resizing'!Z25</f>
        <v>5</v>
      </c>
      <c r="Z9" s="1606">
        <f>'Clay 2015 without Resizing'!AA25</f>
        <v>0</v>
      </c>
      <c r="AA9" s="1606">
        <f>'Clay 2015 without Resizing'!AB25</f>
        <v>284.07463039886625</v>
      </c>
      <c r="AB9" s="1606">
        <f>'Clay 2015 without Resizing'!AC25</f>
        <v>181.94761487139462</v>
      </c>
      <c r="AC9" s="1606">
        <f>'Clay 2015 without Resizing'!AD25</f>
        <v>102.12701552747163</v>
      </c>
      <c r="AD9" s="1606">
        <f>'Clay 2015 without Resizing'!AE25</f>
        <v>1.5612990068578678</v>
      </c>
      <c r="AE9" s="1609">
        <f>'Clay 2015 without Resizing'!AF25</f>
        <v>274.28710471665488</v>
      </c>
      <c r="AF9" s="1609">
        <f>'Clay 2015 without Resizing'!AG25</f>
        <v>397.02177055082524</v>
      </c>
      <c r="AG9" s="1609">
        <f>'Clay 2015 without Resizing'!AH25</f>
        <v>-122.73466583417036</v>
      </c>
      <c r="AH9" s="1610">
        <f>'Clay 2015 without Resizing'!AI25</f>
        <v>0.69086162286796227</v>
      </c>
      <c r="AI9" s="1606">
        <f>'Clay 2015 without Resizing'!AJ25</f>
        <v>1030.2370075277581</v>
      </c>
      <c r="AJ9" s="1606">
        <f>'Clay 2015 without Resizing'!AK25</f>
        <v>5</v>
      </c>
      <c r="AK9" s="1606">
        <f>'Clay 2015 without Resizing'!AL25</f>
        <v>1025.2370075277581</v>
      </c>
      <c r="AL9" s="1606">
        <f>'Clay 2015 without Resizing'!AM25</f>
        <v>206.04740150555162</v>
      </c>
      <c r="AM9" s="1609">
        <f>'Clay 2015 without Resizing'!AN25</f>
        <v>274.28710471665488</v>
      </c>
      <c r="AN9" s="1609">
        <f>'Clay 2015 without Resizing'!AO25</f>
        <v>1207.684622399152</v>
      </c>
      <c r="AO9" s="1609">
        <f>'Clay 2015 without Resizing'!AP25</f>
        <v>-933.3975176824971</v>
      </c>
      <c r="AP9" s="1610">
        <f>'Clay 2015 without Resizing'!AQ25</f>
        <v>0.22711815620518866</v>
      </c>
      <c r="AQ9" s="1605">
        <f>'Clay 2015 without Resizing'!AR25</f>
        <v>0</v>
      </c>
      <c r="AR9" s="1605">
        <f>'Clay 2015 without Resizing'!AS25</f>
        <v>0.041009999999999998</v>
      </c>
      <c r="AS9" s="1605">
        <f>'Clay 2015 without Resizing'!AT25</f>
        <v>116.76</v>
      </c>
      <c r="AT9" s="1605">
        <f>'Clay 2015 without Resizing'!AU25</f>
        <v>177.44761487139462</v>
      </c>
    </row>
  </sheetData>
  <mergeCells count="4">
    <mergeCell ref="AE2:AH2"/>
    <mergeCell ref="AM2:AP2"/>
    <mergeCell ref="AE7:AH7"/>
    <mergeCell ref="AM7:AP7"/>
  </mergeCells>
  <pageMargins left="0.7" right="0.7" top="0.75" bottom="0.75" header="0.3" footer="0.3"/>
  <pageSetup fitToHeight="0" orientation="landscape" scale="10"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dimension ref="A1:V47"/>
  <sheetViews>
    <sheetView zoomScale="70" zoomScaleNormal="70" workbookViewId="0" topLeftCell="A1"/>
  </sheetViews>
  <sheetFormatPr defaultColWidth="8.77734375" defaultRowHeight="14.4"/>
  <cols>
    <col min="1" max="1" width="4.77777777777778" style="291" customWidth="1"/>
    <col min="2" max="2" width="8.22222222222222" style="291" customWidth="1"/>
    <col min="3" max="3" width="8.44444444444444" style="291" customWidth="1"/>
    <col min="4" max="4" width="8.77777777777778" style="291"/>
    <col min="5" max="5" width="11.4444444444444" style="291" bestFit="1" customWidth="1"/>
    <col min="6" max="6" width="1.77777777777778" style="291" customWidth="1"/>
    <col min="7" max="8" width="8.77777777777778" style="291"/>
    <col min="9" max="9" width="9.77777777777778" style="291" customWidth="1"/>
    <col min="10" max="10" width="10.2222222222222" style="291" customWidth="1"/>
    <col min="11" max="11" width="12.2222222222222" style="291" customWidth="1"/>
    <col min="12" max="14" width="8.77777777777778" style="291"/>
    <col min="15" max="15" width="10.7777777777778" style="291" customWidth="1"/>
    <col min="16" max="16" width="3.55555555555556" style="291" customWidth="1"/>
    <col min="17" max="18" width="8.77777777777778" style="291"/>
    <col min="19" max="19" width="11.7777777777778" style="291" customWidth="1"/>
    <col min="20" max="20" width="10.7777777777778" style="291" customWidth="1"/>
    <col min="21" max="22" width="8.77777777777778" style="291"/>
    <col min="23" max="16384" width="8.77777777777778" style="291"/>
  </cols>
  <sheetData>
    <row r="1" ht="14.4">
      <c r="B1" s="572" t="s">
        <v>1635</v>
      </c>
    </row>
    <row r="2" ht="14.4"/>
    <row r="3" ht="14.4"/>
    <row r="4" spans="1:20" ht="14.4">
      <c r="A4" s="255"/>
      <c r="B4" s="268" t="s">
        <v>655</v>
      </c>
      <c r="C4" s="255"/>
      <c r="D4" s="255"/>
      <c r="E4" s="255"/>
      <c r="F4" s="255"/>
      <c r="G4" s="255"/>
      <c r="H4" s="255"/>
      <c r="I4" s="255"/>
      <c r="J4" s="255"/>
      <c r="K4" s="255"/>
      <c r="L4" s="302"/>
      <c r="M4" s="302"/>
      <c r="N4" s="255"/>
      <c r="O4" s="255"/>
      <c r="P4" s="1951" t="s">
        <v>654</v>
      </c>
      <c r="Q4" s="1951"/>
      <c r="R4" s="255"/>
      <c r="S4" s="255"/>
      <c r="T4" s="255"/>
    </row>
    <row r="5" spans="1:20" ht="14.4">
      <c r="A5" s="255"/>
      <c r="B5" s="268"/>
      <c r="C5" s="255"/>
      <c r="D5" s="255"/>
      <c r="E5" s="255"/>
      <c r="F5" s="255"/>
      <c r="G5" s="255"/>
      <c r="H5" s="255"/>
      <c r="I5" s="255"/>
      <c r="J5" s="255"/>
      <c r="K5" s="255"/>
      <c r="L5" s="255"/>
      <c r="M5" s="255"/>
      <c r="N5" s="255"/>
      <c r="O5" s="255"/>
      <c r="P5" s="255"/>
      <c r="Q5" s="255"/>
      <c r="R5" s="255"/>
      <c r="S5" s="255"/>
      <c r="T5" s="255"/>
    </row>
    <row r="6" spans="1:20" ht="14.4">
      <c r="A6" s="255"/>
      <c r="B6" s="1952" t="s">
        <v>653</v>
      </c>
      <c r="C6" s="1952"/>
      <c r="D6" s="1952"/>
      <c r="E6" s="1952"/>
      <c r="F6" s="255"/>
      <c r="G6" s="1952" t="s">
        <v>652</v>
      </c>
      <c r="H6" s="1952"/>
      <c r="I6" s="1952"/>
      <c r="J6" s="1952"/>
      <c r="K6" s="255"/>
      <c r="L6" s="1952" t="s">
        <v>651</v>
      </c>
      <c r="M6" s="1952"/>
      <c r="N6" s="1952"/>
      <c r="O6" s="1952"/>
      <c r="P6" s="255"/>
      <c r="Q6" s="1952" t="s">
        <v>650</v>
      </c>
      <c r="R6" s="1952"/>
      <c r="S6" s="1952"/>
      <c r="T6" s="1952"/>
    </row>
    <row r="7" spans="1:20" ht="70.5" customHeight="1">
      <c r="A7" s="306"/>
      <c r="B7" s="306" t="s">
        <v>649</v>
      </c>
      <c r="C7" s="306" t="s">
        <v>648</v>
      </c>
      <c r="D7" s="306" t="s">
        <v>647</v>
      </c>
      <c r="E7" s="306"/>
      <c r="F7" s="306"/>
      <c r="G7" s="306" t="s">
        <v>649</v>
      </c>
      <c r="H7" s="306" t="s">
        <v>648</v>
      </c>
      <c r="I7" s="306" t="s">
        <v>647</v>
      </c>
      <c r="J7" s="306"/>
      <c r="K7" s="255"/>
      <c r="L7" s="306" t="s">
        <v>649</v>
      </c>
      <c r="M7" s="306" t="s">
        <v>648</v>
      </c>
      <c r="N7" s="306" t="s">
        <v>647</v>
      </c>
      <c r="O7" s="306"/>
      <c r="P7" s="255"/>
      <c r="Q7" s="306" t="s">
        <v>649</v>
      </c>
      <c r="R7" s="306" t="s">
        <v>648</v>
      </c>
      <c r="S7" s="306" t="s">
        <v>647</v>
      </c>
      <c r="T7" s="306"/>
    </row>
    <row r="8" spans="1:20" ht="14.4">
      <c r="A8" s="255"/>
      <c r="B8" s="255">
        <v>1</v>
      </c>
      <c r="C8" s="305">
        <f>'Glades 2015'!K22</f>
        <v>5.5925855999999996</v>
      </c>
      <c r="D8" s="304">
        <f>'Glades 2015'!J22</f>
        <v>20</v>
      </c>
      <c r="E8" s="303">
        <f t="shared" si="0" ref="E8:E17">IF($C$19&gt;0,C8/$C$19*D8,0)</f>
        <v>20</v>
      </c>
      <c r="G8" s="255">
        <v>1</v>
      </c>
      <c r="H8" s="304">
        <v>0</v>
      </c>
      <c r="I8" s="304">
        <v>0</v>
      </c>
      <c r="J8" s="303">
        <f t="shared" si="1" ref="J8:J17">IF($H$19&gt;0,H8/$H$19*I8,0)</f>
        <v>0</v>
      </c>
      <c r="L8" s="291">
        <v>1</v>
      </c>
      <c r="M8" s="304">
        <v>0</v>
      </c>
      <c r="N8" s="304">
        <v>0</v>
      </c>
      <c r="O8" s="303">
        <f t="shared" si="2" ref="O8:O17">IF($M$19&gt;0,M8/$M$19*N8,0)</f>
        <v>0</v>
      </c>
      <c r="Q8" s="291">
        <v>1</v>
      </c>
      <c r="R8" s="304">
        <v>0</v>
      </c>
      <c r="S8" s="304">
        <v>0</v>
      </c>
      <c r="T8" s="303">
        <f t="shared" si="3" ref="T8:T17">IF($R$19&gt;0,R8/$R$19*S8,0)</f>
        <v>0</v>
      </c>
    </row>
    <row r="9" spans="1:20" ht="14.4">
      <c r="A9" s="255"/>
      <c r="B9" s="255">
        <v>2</v>
      </c>
      <c r="C9" s="304">
        <v>0</v>
      </c>
      <c r="D9" s="304">
        <v>0</v>
      </c>
      <c r="E9" s="303">
        <f t="shared" si="0"/>
        <v>0</v>
      </c>
      <c r="G9" s="255">
        <v>2</v>
      </c>
      <c r="H9" s="304">
        <v>0</v>
      </c>
      <c r="I9" s="304">
        <v>0</v>
      </c>
      <c r="J9" s="303">
        <f t="shared" si="1"/>
        <v>0</v>
      </c>
      <c r="L9" s="291">
        <v>2</v>
      </c>
      <c r="M9" s="304">
        <v>0</v>
      </c>
      <c r="N9" s="304">
        <v>0</v>
      </c>
      <c r="O9" s="303">
        <f t="shared" si="2"/>
        <v>0</v>
      </c>
      <c r="Q9" s="291">
        <v>2</v>
      </c>
      <c r="R9" s="304">
        <v>0</v>
      </c>
      <c r="S9" s="304">
        <v>0</v>
      </c>
      <c r="T9" s="303">
        <f t="shared" si="3"/>
        <v>0</v>
      </c>
    </row>
    <row r="10" spans="1:20" ht="14.4">
      <c r="A10" s="255"/>
      <c r="B10" s="255">
        <v>3</v>
      </c>
      <c r="C10" s="304">
        <v>0</v>
      </c>
      <c r="D10" s="304">
        <v>0</v>
      </c>
      <c r="E10" s="303">
        <f t="shared" si="0"/>
        <v>0</v>
      </c>
      <c r="G10" s="255">
        <v>3</v>
      </c>
      <c r="H10" s="304">
        <v>0</v>
      </c>
      <c r="I10" s="304">
        <v>0</v>
      </c>
      <c r="J10" s="303">
        <f t="shared" si="1"/>
        <v>0</v>
      </c>
      <c r="L10" s="291">
        <v>3</v>
      </c>
      <c r="M10" s="304">
        <v>0</v>
      </c>
      <c r="N10" s="304">
        <v>0</v>
      </c>
      <c r="O10" s="303">
        <f t="shared" si="2"/>
        <v>0</v>
      </c>
      <c r="Q10" s="291">
        <v>3</v>
      </c>
      <c r="R10" s="304">
        <v>0</v>
      </c>
      <c r="S10" s="304">
        <v>0</v>
      </c>
      <c r="T10" s="303">
        <f t="shared" si="3"/>
        <v>0</v>
      </c>
    </row>
    <row r="11" spans="1:20" ht="14.4">
      <c r="A11" s="255"/>
      <c r="B11" s="255">
        <v>4</v>
      </c>
      <c r="C11" s="304">
        <v>0</v>
      </c>
      <c r="D11" s="304">
        <v>0</v>
      </c>
      <c r="E11" s="303">
        <f t="shared" si="0"/>
        <v>0</v>
      </c>
      <c r="G11" s="255">
        <v>4</v>
      </c>
      <c r="H11" s="304">
        <v>0</v>
      </c>
      <c r="I11" s="304">
        <v>0</v>
      </c>
      <c r="J11" s="303">
        <f t="shared" si="1"/>
        <v>0</v>
      </c>
      <c r="L11" s="291">
        <v>4</v>
      </c>
      <c r="M11" s="304">
        <v>0</v>
      </c>
      <c r="N11" s="304">
        <v>0</v>
      </c>
      <c r="O11" s="303">
        <f t="shared" si="2"/>
        <v>0</v>
      </c>
      <c r="Q11" s="291">
        <v>4</v>
      </c>
      <c r="R11" s="304">
        <v>0</v>
      </c>
      <c r="S11" s="304">
        <v>0</v>
      </c>
      <c r="T11" s="303">
        <f t="shared" si="3"/>
        <v>0</v>
      </c>
    </row>
    <row r="12" spans="1:20" ht="14.4">
      <c r="A12" s="255"/>
      <c r="B12" s="255">
        <v>5</v>
      </c>
      <c r="C12" s="304">
        <v>0</v>
      </c>
      <c r="D12" s="304">
        <v>0</v>
      </c>
      <c r="E12" s="303">
        <f t="shared" si="0"/>
        <v>0</v>
      </c>
      <c r="G12" s="255">
        <v>5</v>
      </c>
      <c r="H12" s="304">
        <v>0</v>
      </c>
      <c r="I12" s="304">
        <v>0</v>
      </c>
      <c r="J12" s="303">
        <f t="shared" si="1"/>
        <v>0</v>
      </c>
      <c r="L12" s="291">
        <v>5</v>
      </c>
      <c r="M12" s="304">
        <v>0</v>
      </c>
      <c r="N12" s="304">
        <v>0</v>
      </c>
      <c r="O12" s="303">
        <f t="shared" si="2"/>
        <v>0</v>
      </c>
      <c r="Q12" s="291">
        <v>5</v>
      </c>
      <c r="R12" s="304">
        <v>0</v>
      </c>
      <c r="S12" s="304">
        <v>0</v>
      </c>
      <c r="T12" s="303">
        <f t="shared" si="3"/>
        <v>0</v>
      </c>
    </row>
    <row r="13" spans="1:20" ht="14.4">
      <c r="A13" s="255"/>
      <c r="B13" s="255">
        <v>6</v>
      </c>
      <c r="C13" s="304">
        <v>0</v>
      </c>
      <c r="D13" s="304">
        <v>0</v>
      </c>
      <c r="E13" s="303">
        <f t="shared" si="0"/>
        <v>0</v>
      </c>
      <c r="G13" s="255">
        <v>6</v>
      </c>
      <c r="H13" s="304">
        <v>0</v>
      </c>
      <c r="I13" s="304">
        <v>0</v>
      </c>
      <c r="J13" s="303">
        <f t="shared" si="1"/>
        <v>0</v>
      </c>
      <c r="L13" s="291">
        <v>6</v>
      </c>
      <c r="M13" s="304">
        <v>0</v>
      </c>
      <c r="N13" s="304">
        <v>0</v>
      </c>
      <c r="O13" s="303">
        <f t="shared" si="2"/>
        <v>0</v>
      </c>
      <c r="Q13" s="291">
        <v>6</v>
      </c>
      <c r="R13" s="304">
        <v>0</v>
      </c>
      <c r="S13" s="304">
        <v>0</v>
      </c>
      <c r="T13" s="303">
        <f t="shared" si="3"/>
        <v>0</v>
      </c>
    </row>
    <row r="14" spans="1:20" ht="14.4">
      <c r="A14" s="255"/>
      <c r="B14" s="255">
        <v>7</v>
      </c>
      <c r="C14" s="304">
        <v>0</v>
      </c>
      <c r="D14" s="304">
        <v>0</v>
      </c>
      <c r="E14" s="303">
        <f t="shared" si="0"/>
        <v>0</v>
      </c>
      <c r="G14" s="255">
        <v>7</v>
      </c>
      <c r="H14" s="304">
        <v>0</v>
      </c>
      <c r="I14" s="304">
        <v>0</v>
      </c>
      <c r="J14" s="303">
        <f t="shared" si="1"/>
        <v>0</v>
      </c>
      <c r="L14" s="291">
        <v>7</v>
      </c>
      <c r="M14" s="304">
        <v>0</v>
      </c>
      <c r="N14" s="304">
        <v>0</v>
      </c>
      <c r="O14" s="303">
        <f t="shared" si="2"/>
        <v>0</v>
      </c>
      <c r="Q14" s="291">
        <v>7</v>
      </c>
      <c r="R14" s="304">
        <v>0</v>
      </c>
      <c r="S14" s="304">
        <v>0</v>
      </c>
      <c r="T14" s="303">
        <f t="shared" si="3"/>
        <v>0</v>
      </c>
    </row>
    <row r="15" spans="1:20" ht="14.4">
      <c r="A15" s="255"/>
      <c r="B15" s="255">
        <v>8</v>
      </c>
      <c r="C15" s="304">
        <v>0</v>
      </c>
      <c r="D15" s="304">
        <v>0</v>
      </c>
      <c r="E15" s="303">
        <f t="shared" si="0"/>
        <v>0</v>
      </c>
      <c r="G15" s="255">
        <v>8</v>
      </c>
      <c r="H15" s="304">
        <v>0</v>
      </c>
      <c r="I15" s="304">
        <v>0</v>
      </c>
      <c r="J15" s="303">
        <f t="shared" si="1"/>
        <v>0</v>
      </c>
      <c r="L15" s="291">
        <v>8</v>
      </c>
      <c r="M15" s="304">
        <v>0</v>
      </c>
      <c r="N15" s="304">
        <v>0</v>
      </c>
      <c r="O15" s="303">
        <f t="shared" si="2"/>
        <v>0</v>
      </c>
      <c r="Q15" s="291">
        <v>8</v>
      </c>
      <c r="R15" s="304">
        <v>0</v>
      </c>
      <c r="S15" s="304">
        <v>0</v>
      </c>
      <c r="T15" s="303">
        <f t="shared" si="3"/>
        <v>0</v>
      </c>
    </row>
    <row r="16" spans="1:20" ht="14.4">
      <c r="A16" s="255"/>
      <c r="B16" s="255">
        <v>9</v>
      </c>
      <c r="C16" s="304">
        <v>0</v>
      </c>
      <c r="D16" s="304">
        <v>0</v>
      </c>
      <c r="E16" s="303">
        <f t="shared" si="0"/>
        <v>0</v>
      </c>
      <c r="G16" s="255">
        <v>9</v>
      </c>
      <c r="H16" s="304">
        <v>0</v>
      </c>
      <c r="I16" s="304">
        <v>0</v>
      </c>
      <c r="J16" s="303">
        <f t="shared" si="1"/>
        <v>0</v>
      </c>
      <c r="L16" s="291">
        <v>9</v>
      </c>
      <c r="M16" s="304">
        <v>0</v>
      </c>
      <c r="N16" s="304">
        <v>0</v>
      </c>
      <c r="O16" s="303">
        <f t="shared" si="2"/>
        <v>0</v>
      </c>
      <c r="Q16" s="291">
        <v>9</v>
      </c>
      <c r="R16" s="304">
        <v>0</v>
      </c>
      <c r="S16" s="304">
        <v>0</v>
      </c>
      <c r="T16" s="303">
        <f t="shared" si="3"/>
        <v>0</v>
      </c>
    </row>
    <row r="17" spans="1:20" ht="14.4">
      <c r="A17" s="255"/>
      <c r="B17" s="255">
        <v>10</v>
      </c>
      <c r="C17" s="304">
        <v>0</v>
      </c>
      <c r="D17" s="304">
        <v>0</v>
      </c>
      <c r="E17" s="303">
        <f t="shared" si="0"/>
        <v>0</v>
      </c>
      <c r="G17" s="255">
        <v>10</v>
      </c>
      <c r="H17" s="304">
        <v>0</v>
      </c>
      <c r="I17" s="304">
        <v>0</v>
      </c>
      <c r="J17" s="303">
        <f t="shared" si="1"/>
        <v>0</v>
      </c>
      <c r="L17" s="291">
        <v>10</v>
      </c>
      <c r="M17" s="304">
        <v>0</v>
      </c>
      <c r="N17" s="304">
        <v>0</v>
      </c>
      <c r="O17" s="303">
        <f t="shared" si="2"/>
        <v>0</v>
      </c>
      <c r="Q17" s="291">
        <v>10</v>
      </c>
      <c r="R17" s="304">
        <v>0</v>
      </c>
      <c r="S17" s="304">
        <v>0</v>
      </c>
      <c r="T17" s="303">
        <f t="shared" si="3"/>
        <v>0</v>
      </c>
    </row>
    <row r="18" spans="1:22" ht="15" thickBot="1">
      <c r="A18" s="255"/>
      <c r="B18" s="255"/>
      <c r="C18" s="262"/>
      <c r="D18" s="255"/>
      <c r="E18" s="303"/>
      <c r="F18" s="255"/>
      <c r="G18" s="255"/>
      <c r="H18" s="255"/>
      <c r="I18" s="255"/>
      <c r="J18" s="303"/>
      <c r="K18" s="255"/>
      <c r="L18" s="255"/>
      <c r="M18" s="255"/>
      <c r="N18" s="255"/>
      <c r="O18" s="303"/>
      <c r="P18" s="255"/>
      <c r="Q18" s="255"/>
      <c r="R18" s="255"/>
      <c r="S18" s="255"/>
      <c r="T18" s="303"/>
      <c r="U18" s="255"/>
      <c r="V18" s="255"/>
    </row>
    <row r="19" spans="1:22" ht="15" thickBot="1">
      <c r="A19" s="302"/>
      <c r="B19" s="301" t="s">
        <v>131</v>
      </c>
      <c r="C19" s="301">
        <f>SUM(C8:C18)</f>
        <v>5.5925855999999996</v>
      </c>
      <c r="D19" s="301"/>
      <c r="E19" s="300">
        <f>SUM(E8:E17)</f>
        <v>20</v>
      </c>
      <c r="F19" s="255"/>
      <c r="G19" s="301" t="s">
        <v>131</v>
      </c>
      <c r="H19" s="301">
        <f>SUM(H8:H17)</f>
        <v>0</v>
      </c>
      <c r="I19" s="301"/>
      <c r="J19" s="300">
        <f>SUM(J8:J17)</f>
        <v>0</v>
      </c>
      <c r="K19" s="255"/>
      <c r="L19" s="301" t="s">
        <v>131</v>
      </c>
      <c r="M19" s="301">
        <f>SUM(M8:M17)</f>
        <v>0</v>
      </c>
      <c r="N19" s="301"/>
      <c r="O19" s="300">
        <f>SUM(O8:O17)</f>
        <v>0</v>
      </c>
      <c r="P19" s="255"/>
      <c r="Q19" s="301" t="s">
        <v>131</v>
      </c>
      <c r="R19" s="301">
        <f>SUM(R8:R17)</f>
        <v>0</v>
      </c>
      <c r="S19" s="301"/>
      <c r="T19" s="300">
        <f>SUM(T8:T17)</f>
        <v>0</v>
      </c>
      <c r="U19" s="255"/>
      <c r="V19" s="255"/>
    </row>
    <row r="20" spans="1:22" ht="14.4">
      <c r="A20" s="255"/>
      <c r="B20" s="255"/>
      <c r="C20" s="255"/>
      <c r="D20" s="255"/>
      <c r="E20" s="255"/>
      <c r="F20" s="255"/>
      <c r="G20" s="255"/>
      <c r="H20" s="255"/>
      <c r="I20" s="255"/>
      <c r="J20" s="255"/>
      <c r="K20" s="255"/>
      <c r="L20" s="255"/>
      <c r="M20" s="255"/>
      <c r="N20" s="255"/>
      <c r="O20" s="255"/>
      <c r="P20" s="255"/>
      <c r="Q20" s="255"/>
      <c r="R20" s="255"/>
      <c r="S20" s="255"/>
      <c r="T20" s="255"/>
      <c r="U20" s="255"/>
      <c r="V20" s="255"/>
    </row>
    <row r="21" spans="1:22" ht="14.55" customHeight="1">
      <c r="A21" s="255"/>
      <c r="B21" s="255"/>
      <c r="C21" s="255"/>
      <c r="D21" s="1945" t="s">
        <v>646</v>
      </c>
      <c r="E21" s="1946"/>
      <c r="F21" s="255"/>
      <c r="G21" s="255"/>
      <c r="H21" s="299"/>
      <c r="I21" s="1945" t="s">
        <v>645</v>
      </c>
      <c r="J21" s="1946"/>
      <c r="K21" s="255"/>
      <c r="L21" s="255"/>
      <c r="M21" s="255"/>
      <c r="N21" s="1945" t="s">
        <v>644</v>
      </c>
      <c r="O21" s="1946"/>
      <c r="P21" s="255"/>
      <c r="Q21" s="255"/>
      <c r="R21" s="255"/>
      <c r="S21" s="1945" t="s">
        <v>643</v>
      </c>
      <c r="T21" s="1946"/>
      <c r="U21" s="255"/>
      <c r="V21" s="255"/>
    </row>
    <row r="22" spans="1:22" ht="14.55" customHeight="1">
      <c r="A22" s="255"/>
      <c r="B22" s="255"/>
      <c r="C22" s="255"/>
      <c r="D22" s="1947"/>
      <c r="E22" s="1948"/>
      <c r="F22" s="255"/>
      <c r="G22" s="255"/>
      <c r="H22" s="299"/>
      <c r="I22" s="1947"/>
      <c r="J22" s="1948"/>
      <c r="K22" s="255"/>
      <c r="L22" s="255"/>
      <c r="M22" s="255"/>
      <c r="N22" s="1947"/>
      <c r="O22" s="1948"/>
      <c r="P22" s="255"/>
      <c r="Q22" s="255"/>
      <c r="R22" s="255"/>
      <c r="S22" s="1947"/>
      <c r="T22" s="1948"/>
      <c r="U22" s="255"/>
      <c r="V22" s="255"/>
    </row>
    <row r="23" spans="1:22" ht="19.05" customHeight="1">
      <c r="A23" s="255"/>
      <c r="B23" s="255"/>
      <c r="C23" s="255"/>
      <c r="D23" s="1949"/>
      <c r="E23" s="1950"/>
      <c r="F23" s="255"/>
      <c r="G23" s="255"/>
      <c r="H23" s="299"/>
      <c r="I23" s="1949"/>
      <c r="J23" s="1950"/>
      <c r="K23" s="255"/>
      <c r="L23" s="255"/>
      <c r="M23" s="255"/>
      <c r="N23" s="1949"/>
      <c r="O23" s="1950"/>
      <c r="P23" s="255"/>
      <c r="Q23" s="255"/>
      <c r="R23" s="255"/>
      <c r="S23" s="1949"/>
      <c r="T23" s="1950"/>
      <c r="U23" s="255"/>
      <c r="V23" s="255"/>
    </row>
    <row r="24" ht="14.4"/>
    <row r="25" spans="1:12" ht="14.4">
      <c r="A25" s="293"/>
      <c r="B25" s="298"/>
      <c r="C25" s="293"/>
      <c r="D25" s="293"/>
      <c r="E25" s="293"/>
      <c r="F25" s="293"/>
      <c r="G25" s="293"/>
      <c r="H25" s="293"/>
      <c r="I25" s="293"/>
      <c r="J25" s="293"/>
      <c r="K25" s="293"/>
      <c r="L25" s="293"/>
    </row>
    <row r="26" spans="1:12" ht="14.4">
      <c r="A26" s="293"/>
      <c r="B26" s="293"/>
      <c r="C26" s="293"/>
      <c r="D26" s="293"/>
      <c r="E26" s="293"/>
      <c r="F26" s="293"/>
      <c r="G26" s="293"/>
      <c r="H26" s="293"/>
      <c r="I26" s="293"/>
      <c r="J26" s="293"/>
      <c r="K26" s="293"/>
      <c r="L26" s="293"/>
    </row>
    <row r="27" spans="1:12" ht="14.4">
      <c r="A27" s="293"/>
      <c r="B27" s="293"/>
      <c r="C27" s="293"/>
      <c r="D27" s="293"/>
      <c r="E27" s="293"/>
      <c r="F27" s="293"/>
      <c r="G27" s="293"/>
      <c r="H27" s="293"/>
      <c r="I27" s="293"/>
      <c r="J27" s="293"/>
      <c r="K27" s="293"/>
      <c r="L27" s="293"/>
    </row>
    <row r="28" spans="1:12" ht="14.4">
      <c r="A28" s="293"/>
      <c r="B28" s="293"/>
      <c r="C28" s="293"/>
      <c r="D28" s="293"/>
      <c r="E28" s="293"/>
      <c r="F28" s="293"/>
      <c r="G28" s="293"/>
      <c r="H28" s="293"/>
      <c r="I28" s="293"/>
      <c r="J28" s="293"/>
      <c r="K28" s="293"/>
      <c r="L28" s="293"/>
    </row>
    <row r="29" spans="1:12" ht="14.4">
      <c r="A29" s="293"/>
      <c r="B29" s="297"/>
      <c r="C29" s="297"/>
      <c r="D29" s="297"/>
      <c r="E29" s="297"/>
      <c r="F29" s="293"/>
      <c r="G29" s="293"/>
      <c r="H29" s="297"/>
      <c r="I29" s="297"/>
      <c r="J29" s="297"/>
      <c r="K29" s="297"/>
      <c r="L29" s="293"/>
    </row>
    <row r="30" spans="1:12" ht="14.4">
      <c r="A30" s="293"/>
      <c r="B30" s="293"/>
      <c r="C30" s="293"/>
      <c r="D30" s="293"/>
      <c r="E30" s="293"/>
      <c r="F30" s="294"/>
      <c r="G30" s="294"/>
      <c r="H30" s="293"/>
      <c r="I30" s="293"/>
      <c r="J30" s="293"/>
      <c r="K30" s="296"/>
      <c r="L30" s="293"/>
    </row>
    <row r="31" spans="1:12" ht="14.4">
      <c r="A31" s="293"/>
      <c r="B31" s="293"/>
      <c r="C31" s="293"/>
      <c r="D31" s="293"/>
      <c r="E31" s="293"/>
      <c r="F31" s="294"/>
      <c r="G31" s="294"/>
      <c r="H31" s="293"/>
      <c r="I31" s="293"/>
      <c r="J31" s="293"/>
      <c r="K31" s="293"/>
      <c r="L31" s="293"/>
    </row>
    <row r="32" spans="1:12" ht="14.4">
      <c r="A32" s="293"/>
      <c r="B32" s="293"/>
      <c r="C32" s="293"/>
      <c r="D32" s="293"/>
      <c r="E32" s="293"/>
      <c r="F32" s="294"/>
      <c r="G32" s="294"/>
      <c r="H32" s="293"/>
      <c r="I32" s="293"/>
      <c r="J32" s="293"/>
      <c r="K32" s="293"/>
      <c r="L32" s="293"/>
    </row>
    <row r="33" spans="1:12" ht="14.4">
      <c r="A33" s="293"/>
      <c r="B33" s="293"/>
      <c r="C33" s="293"/>
      <c r="D33" s="293"/>
      <c r="E33" s="293"/>
      <c r="F33" s="294"/>
      <c r="G33" s="294"/>
      <c r="H33" s="293"/>
      <c r="I33" s="293"/>
      <c r="J33" s="293"/>
      <c r="K33" s="293"/>
      <c r="L33" s="293"/>
    </row>
    <row r="34" spans="1:12" ht="14.4">
      <c r="A34" s="293"/>
      <c r="B34" s="293"/>
      <c r="C34" s="293"/>
      <c r="D34" s="293"/>
      <c r="E34" s="293"/>
      <c r="F34" s="294"/>
      <c r="G34" s="294"/>
      <c r="H34" s="293"/>
      <c r="I34" s="293"/>
      <c r="J34" s="293"/>
      <c r="K34" s="293"/>
      <c r="L34" s="293"/>
    </row>
    <row r="35" spans="1:12" ht="14.4">
      <c r="A35" s="293"/>
      <c r="B35" s="293"/>
      <c r="C35" s="293"/>
      <c r="D35" s="293"/>
      <c r="E35" s="293"/>
      <c r="F35" s="294"/>
      <c r="G35" s="294"/>
      <c r="H35" s="293"/>
      <c r="I35" s="293"/>
      <c r="J35" s="293"/>
      <c r="K35" s="293"/>
      <c r="L35" s="293"/>
    </row>
    <row r="36" spans="1:12" ht="14.4">
      <c r="A36" s="293"/>
      <c r="B36" s="293"/>
      <c r="C36" s="293"/>
      <c r="D36" s="293"/>
      <c r="E36" s="293"/>
      <c r="F36" s="294"/>
      <c r="G36" s="294"/>
      <c r="H36" s="293"/>
      <c r="I36" s="293"/>
      <c r="J36" s="293"/>
      <c r="K36" s="293"/>
      <c r="L36" s="293"/>
    </row>
    <row r="37" spans="1:12" ht="14.4">
      <c r="A37" s="293"/>
      <c r="B37" s="293"/>
      <c r="C37" s="293"/>
      <c r="D37" s="293"/>
      <c r="E37" s="293"/>
      <c r="F37" s="294"/>
      <c r="G37" s="294"/>
      <c r="H37" s="293"/>
      <c r="I37" s="293"/>
      <c r="J37" s="293"/>
      <c r="K37" s="293"/>
      <c r="L37" s="293"/>
    </row>
    <row r="38" spans="1:12" ht="14.4">
      <c r="A38" s="293"/>
      <c r="B38" s="293"/>
      <c r="C38" s="293"/>
      <c r="D38" s="293"/>
      <c r="E38" s="293"/>
      <c r="F38" s="294"/>
      <c r="G38" s="294"/>
      <c r="H38" s="293"/>
      <c r="I38" s="293"/>
      <c r="J38" s="293"/>
      <c r="K38" s="293"/>
      <c r="L38" s="293"/>
    </row>
    <row r="39" spans="1:12" ht="14.4">
      <c r="A39" s="293"/>
      <c r="B39" s="293"/>
      <c r="C39" s="293"/>
      <c r="D39" s="293"/>
      <c r="E39" s="293"/>
      <c r="F39" s="294"/>
      <c r="G39" s="294"/>
      <c r="H39" s="293"/>
      <c r="I39" s="293"/>
      <c r="J39" s="293"/>
      <c r="K39" s="293"/>
      <c r="L39" s="293"/>
    </row>
    <row r="40" spans="1:12" ht="14.4">
      <c r="A40" s="293"/>
      <c r="B40" s="293"/>
      <c r="C40" s="293"/>
      <c r="D40" s="293"/>
      <c r="E40" s="293"/>
      <c r="F40" s="294"/>
      <c r="G40" s="294"/>
      <c r="H40" s="293"/>
      <c r="I40" s="293"/>
      <c r="J40" s="293"/>
      <c r="K40" s="293"/>
      <c r="L40" s="293"/>
    </row>
    <row r="41" spans="1:12" ht="14.4">
      <c r="A41" s="293"/>
      <c r="B41" s="293"/>
      <c r="C41" s="293"/>
      <c r="D41" s="293"/>
      <c r="E41" s="293"/>
      <c r="F41" s="294"/>
      <c r="G41" s="294"/>
      <c r="H41" s="293"/>
      <c r="I41" s="296"/>
      <c r="J41" s="293"/>
      <c r="K41" s="296"/>
      <c r="L41" s="293"/>
    </row>
    <row r="42" spans="1:12" ht="14.4">
      <c r="A42" s="293"/>
      <c r="B42" s="294"/>
      <c r="C42" s="294"/>
      <c r="D42" s="294"/>
      <c r="E42" s="294"/>
      <c r="F42" s="294"/>
      <c r="G42" s="294"/>
      <c r="H42" s="294"/>
      <c r="I42" s="294"/>
      <c r="J42" s="294"/>
      <c r="K42" s="294"/>
      <c r="L42" s="293"/>
    </row>
    <row r="43" spans="1:12" ht="14.4">
      <c r="A43" s="293"/>
      <c r="B43" s="294"/>
      <c r="C43" s="294"/>
      <c r="D43" s="294"/>
      <c r="E43" s="294"/>
      <c r="F43" s="294"/>
      <c r="G43" s="294"/>
      <c r="H43" s="294"/>
      <c r="I43" s="293"/>
      <c r="J43" s="293"/>
      <c r="K43" s="295"/>
      <c r="L43" s="293"/>
    </row>
    <row r="44" spans="1:12" ht="14.4">
      <c r="A44" s="293"/>
      <c r="B44" s="294"/>
      <c r="C44" s="294"/>
      <c r="D44" s="294"/>
      <c r="E44" s="294"/>
      <c r="F44" s="294"/>
      <c r="G44" s="294"/>
      <c r="H44" s="294"/>
      <c r="I44" s="293"/>
      <c r="J44" s="293"/>
      <c r="K44" s="293"/>
      <c r="L44" s="293"/>
    </row>
    <row r="45" spans="1:12" ht="14.4">
      <c r="A45" s="293"/>
      <c r="B45" s="294"/>
      <c r="C45" s="294"/>
      <c r="D45" s="294"/>
      <c r="E45" s="294"/>
      <c r="F45" s="294"/>
      <c r="G45" s="294"/>
      <c r="H45" s="294"/>
      <c r="I45" s="293"/>
      <c r="J45" s="293"/>
      <c r="K45" s="293"/>
      <c r="L45" s="293"/>
    </row>
    <row r="46" spans="1:12" ht="14.4">
      <c r="A46" s="292"/>
      <c r="B46" s="292"/>
      <c r="C46" s="292"/>
      <c r="D46" s="292"/>
      <c r="E46" s="292"/>
      <c r="F46" s="292"/>
      <c r="G46" s="292"/>
      <c r="H46" s="292"/>
      <c r="I46" s="292"/>
      <c r="J46" s="292"/>
      <c r="K46" s="292"/>
      <c r="L46" s="292"/>
    </row>
    <row r="47" spans="1:12" ht="14.4">
      <c r="A47" s="292"/>
      <c r="B47" s="292"/>
      <c r="C47" s="292"/>
      <c r="D47" s="292"/>
      <c r="E47" s="292"/>
      <c r="F47" s="292"/>
      <c r="G47" s="292"/>
      <c r="H47" s="292"/>
      <c r="I47" s="292"/>
      <c r="J47" s="292"/>
      <c r="K47" s="292"/>
      <c r="L47" s="292"/>
    </row>
  </sheetData>
  <sheetProtection selectLockedCells="1"/>
  <protectedRanges>
    <protectedRange password="E2D1" sqref="R8:S17" name="Range4"/>
    <protectedRange password="E2D1" sqref="H8:I17" name="Range2"/>
    <protectedRange password="E2D1" sqref="C8:D17" name="Range1"/>
    <protectedRange sqref="M8:N17" name="Range3"/>
  </protectedRanges>
  <mergeCells count="9">
    <mergeCell ref="D21:E23"/>
    <mergeCell ref="I21:J23"/>
    <mergeCell ref="N21:O23"/>
    <mergeCell ref="S21:T23"/>
    <mergeCell ref="P4:Q4"/>
    <mergeCell ref="B6:E6"/>
    <mergeCell ref="G6:J6"/>
    <mergeCell ref="L6:O6"/>
    <mergeCell ref="Q6:T6"/>
  </mergeCells>
  <pageMargins left="0.7" right="0.7" top="0.75" bottom="0.75" header="0.3" footer="0.3"/>
  <pageSetup orientation="landscape" r:id="rId2"/>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rgb="FFFF0000"/>
  </sheetPr>
  <dimension ref="A1:A3"/>
  <sheetViews>
    <sheetView zoomScale="70" zoomScaleNormal="70" workbookViewId="0" topLeftCell="A1"/>
  </sheetViews>
  <sheetFormatPr defaultColWidth="8.88888888888889" defaultRowHeight="14.4"/>
  <cols>
    <col min="1" max="1" width="8.88888888888889" customWidth="1"/>
  </cols>
  <sheetData>
    <row r="1" ht="14.4">
      <c r="A1" s="381" t="s">
        <v>1540</v>
      </c>
    </row>
    <row r="2" ht="14.4"/>
    <row r="3" ht="14.4">
      <c r="A3" s="281" t="s">
        <v>1636</v>
      </c>
    </row>
  </sheetData>
  <pageMargins left="0.7" right="0.7" top="0.75" bottom="0.75" header="0.3" footer="0.3"/>
  <pageSetup orientation="portrait"/>
  <headerFooter alignWithMargins="0"/>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tabColor theme="6" tint="0.39998"/>
  </sheetPr>
  <dimension ref="A1:C176"/>
  <sheetViews>
    <sheetView zoomScale="70" zoomScaleNormal="70" workbookViewId="0" topLeftCell="A1">
      <selection pane="topLeft" activeCell="A1" sqref="A1"/>
    </sheetView>
  </sheetViews>
  <sheetFormatPr defaultColWidth="8.77734375" defaultRowHeight="14.4"/>
  <cols>
    <col min="1" max="1" width="41.2222222222222" style="464" bestFit="1" customWidth="1"/>
    <col min="2" max="2" width="26.7777777777778" style="464" bestFit="1" customWidth="1"/>
    <col min="3" max="3" width="47.7777777777778" style="464" bestFit="1" customWidth="1"/>
    <col min="4" max="16384" width="8.77777777777778" style="464"/>
  </cols>
  <sheetData>
    <row r="1" spans="1:3" ht="14.4">
      <c r="A1" s="465" t="s">
        <v>934</v>
      </c>
      <c r="B1" s="1784" t="s">
        <v>1637</v>
      </c>
      <c r="C1" s="1784"/>
    </row>
    <row r="2" ht="14.4"/>
    <row r="3" ht="14.4">
      <c r="A3" s="465" t="s">
        <v>1051</v>
      </c>
    </row>
    <row r="4" ht="14.4"/>
    <row r="5" spans="1:3" ht="16.2">
      <c r="A5" s="464" t="s">
        <v>1052</v>
      </c>
      <c r="B5" s="464" t="s">
        <v>1053</v>
      </c>
      <c r="C5" s="464" t="s">
        <v>1054</v>
      </c>
    </row>
    <row r="6" spans="1:3" ht="14.4">
      <c r="A6" s="464" t="s">
        <v>1055</v>
      </c>
      <c r="B6" s="467">
        <v>2828.25</v>
      </c>
      <c r="C6" s="467">
        <v>2834.11</v>
      </c>
    </row>
    <row r="7" spans="1:3" ht="14.4">
      <c r="A7" s="464" t="s">
        <v>1056</v>
      </c>
      <c r="B7" s="467">
        <v>20.52</v>
      </c>
      <c r="C7" s="467">
        <v>20.52</v>
      </c>
    </row>
    <row r="8" spans="1:3" ht="14.4">
      <c r="A8" s="464" t="s">
        <v>1057</v>
      </c>
      <c r="B8" s="467">
        <v>2253.81</v>
      </c>
      <c r="C8" s="467">
        <v>2253.81</v>
      </c>
    </row>
    <row r="9" spans="1:3" ht="14.4">
      <c r="A9" s="464" t="s">
        <v>1058</v>
      </c>
      <c r="B9" s="467">
        <v>1204.57</v>
      </c>
      <c r="C9" s="467">
        <v>1204.57</v>
      </c>
    </row>
    <row r="10" spans="1:3" ht="14.4">
      <c r="A10" s="464" t="s">
        <v>1059</v>
      </c>
      <c r="B10" s="467">
        <v>1131.30</v>
      </c>
      <c r="C10" s="467">
        <v>1169.4000000000001</v>
      </c>
    </row>
    <row r="11" spans="1:3" ht="14.4">
      <c r="A11" s="464" t="s">
        <v>1060</v>
      </c>
      <c r="B11" s="467">
        <v>70.34</v>
      </c>
      <c r="C11" s="467">
        <v>67.41</v>
      </c>
    </row>
    <row r="12" spans="1:3" ht="14.4">
      <c r="A12" s="464" t="s">
        <v>1061</v>
      </c>
      <c r="B12" s="467">
        <v>4276.08</v>
      </c>
      <c r="C12" s="467">
        <v>4419.70</v>
      </c>
    </row>
    <row r="13" spans="1:3" ht="14.4">
      <c r="A13" s="464" t="s">
        <v>1062</v>
      </c>
      <c r="B13" s="467">
        <v>559.79</v>
      </c>
      <c r="C13" s="467">
        <v>530.48</v>
      </c>
    </row>
    <row r="14" spans="1:3" ht="14.4">
      <c r="A14" s="464" t="s">
        <v>1063</v>
      </c>
      <c r="B14" s="467">
        <v>8.7899999999999991</v>
      </c>
      <c r="C14" s="467">
        <v>8.7899999999999991</v>
      </c>
    </row>
    <row r="15" spans="1:3" ht="14.4">
      <c r="A15" s="464" t="s">
        <v>1064</v>
      </c>
      <c r="B15" s="467">
        <v>2500</v>
      </c>
      <c r="C15" s="467">
        <v>978.90</v>
      </c>
    </row>
    <row r="16" spans="1:3" ht="14.4">
      <c r="A16" s="464" t="s">
        <v>1065</v>
      </c>
      <c r="B16" s="467"/>
      <c r="C16" s="467"/>
    </row>
    <row r="17" spans="1:3" ht="14.4">
      <c r="A17" s="464" t="s">
        <v>1066</v>
      </c>
      <c r="B17" s="467">
        <v>14853</v>
      </c>
      <c r="C17" s="467">
        <v>13488</v>
      </c>
    </row>
    <row r="18" spans="1:3" ht="14.4">
      <c r="A18" s="468" t="s">
        <v>1067</v>
      </c>
      <c r="B18" s="468"/>
      <c r="C18" s="469">
        <f>B17-C17</f>
        <v>1365</v>
      </c>
    </row>
    <row r="19" spans="1:3" ht="14.4">
      <c r="A19" s="464" t="s">
        <v>1068</v>
      </c>
      <c r="C19" s="470">
        <v>3410</v>
      </c>
    </row>
    <row r="20" spans="1:3" ht="14.4">
      <c r="A20" s="464" t="s">
        <v>1069</v>
      </c>
      <c r="C20" s="471">
        <f>C18/C19</f>
        <v>0.40029325513196479</v>
      </c>
    </row>
    <row r="21" ht="14.4"/>
    <row r="22" ht="14.4"/>
    <row r="23" spans="1:3" ht="16.2">
      <c r="A23" s="464" t="s">
        <v>1052</v>
      </c>
      <c r="B23" s="464" t="s">
        <v>1070</v>
      </c>
      <c r="C23" s="464" t="s">
        <v>1071</v>
      </c>
    </row>
    <row r="24" spans="1:3" ht="14.4">
      <c r="A24" s="464" t="s">
        <v>1055</v>
      </c>
      <c r="B24" s="467">
        <v>2825.32</v>
      </c>
      <c r="C24" s="464">
        <v>2831.18</v>
      </c>
    </row>
    <row r="25" spans="1:3" ht="14.4">
      <c r="A25" s="464" t="s">
        <v>1056</v>
      </c>
      <c r="B25" s="467">
        <v>20.52</v>
      </c>
      <c r="C25" s="464">
        <v>20.52</v>
      </c>
    </row>
    <row r="26" spans="1:3" ht="14.4">
      <c r="A26" s="464" t="s">
        <v>1057</v>
      </c>
      <c r="B26" s="467">
        <v>2253.81</v>
      </c>
      <c r="C26" s="464">
        <v>2253.81</v>
      </c>
    </row>
    <row r="27" spans="1:3" ht="14.4">
      <c r="A27" s="464" t="s">
        <v>1058</v>
      </c>
      <c r="B27" s="467">
        <v>1204.57</v>
      </c>
      <c r="C27" s="464">
        <v>1204.57</v>
      </c>
    </row>
    <row r="28" spans="1:3" ht="14.4">
      <c r="A28" s="464" t="s">
        <v>1059</v>
      </c>
      <c r="B28" s="467">
        <v>1119.58</v>
      </c>
      <c r="C28" s="464">
        <v>1157.68</v>
      </c>
    </row>
    <row r="29" spans="1:3" ht="14.4">
      <c r="A29" s="464" t="s">
        <v>1060</v>
      </c>
      <c r="B29" s="467">
        <v>70.34</v>
      </c>
      <c r="C29" s="464">
        <v>67.41</v>
      </c>
    </row>
    <row r="30" spans="1:3" ht="14.4">
      <c r="A30" s="464" t="s">
        <v>1061</v>
      </c>
      <c r="B30" s="467">
        <v>4235.05</v>
      </c>
      <c r="C30" s="464">
        <v>4378.66</v>
      </c>
    </row>
    <row r="31" spans="1:3" ht="14.4">
      <c r="A31" s="464" t="s">
        <v>1062</v>
      </c>
      <c r="B31" s="467">
        <v>574.44000000000005</v>
      </c>
      <c r="C31" s="464">
        <v>545.13</v>
      </c>
    </row>
    <row r="32" spans="1:3" ht="14.4">
      <c r="A32" s="464" t="s">
        <v>1063</v>
      </c>
      <c r="B32" s="467">
        <v>8.7899999999999991</v>
      </c>
      <c r="C32" s="464">
        <v>8.7899999999999991</v>
      </c>
    </row>
    <row r="33" spans="1:3" ht="14.4">
      <c r="A33" s="464" t="s">
        <v>1064</v>
      </c>
      <c r="B33" s="467">
        <v>2321.2199999999998</v>
      </c>
      <c r="C33" s="464">
        <v>811.84</v>
      </c>
    </row>
    <row r="34" spans="1:2" ht="14.4">
      <c r="A34" s="464" t="s">
        <v>1065</v>
      </c>
      <c r="B34" s="467"/>
    </row>
    <row r="35" spans="1:3" ht="14.4">
      <c r="A35" s="464" t="s">
        <v>1066</v>
      </c>
      <c r="B35" s="467">
        <v>14634</v>
      </c>
      <c r="C35" s="464">
        <v>13280</v>
      </c>
    </row>
    <row r="36" spans="1:3" ht="14.4">
      <c r="A36" s="468" t="s">
        <v>1067</v>
      </c>
      <c r="B36" s="468"/>
      <c r="C36" s="469">
        <f>B35-C35</f>
        <v>1354</v>
      </c>
    </row>
    <row r="37" spans="1:3" ht="14.4">
      <c r="A37" s="464" t="s">
        <v>1068</v>
      </c>
      <c r="C37" s="467">
        <v>3410</v>
      </c>
    </row>
    <row r="38" spans="1:3" ht="14.4">
      <c r="A38" s="464" t="s">
        <v>1069</v>
      </c>
      <c r="C38" s="471">
        <f>C36/C37</f>
        <v>0.39706744868035193</v>
      </c>
    </row>
    <row r="39" ht="14.4"/>
    <row r="40" ht="14.4">
      <c r="A40" s="466" t="s">
        <v>1075</v>
      </c>
    </row>
    <row r="41" ht="14.4"/>
    <row r="42" spans="1:3" ht="28.8">
      <c r="A42" s="464" t="s">
        <v>1052</v>
      </c>
      <c r="B42" s="464" t="s">
        <v>1076</v>
      </c>
      <c r="C42" s="464" t="s">
        <v>1077</v>
      </c>
    </row>
    <row r="43" spans="1:3" ht="14.4">
      <c r="A43" s="464" t="s">
        <v>1055</v>
      </c>
      <c r="B43" s="467">
        <v>2757.91</v>
      </c>
      <c r="C43" s="467">
        <v>2851.70</v>
      </c>
    </row>
    <row r="44" spans="1:3" ht="14.4">
      <c r="A44" s="464" t="s">
        <v>1056</v>
      </c>
      <c r="B44" s="467">
        <v>20.52</v>
      </c>
      <c r="C44" s="467">
        <v>20.52</v>
      </c>
    </row>
    <row r="45" spans="1:3" ht="14.4">
      <c r="A45" s="464" t="s">
        <v>1057</v>
      </c>
      <c r="B45" s="467">
        <v>2253.81</v>
      </c>
      <c r="C45" s="467">
        <v>2253.81</v>
      </c>
    </row>
    <row r="46" spans="1:3" ht="14.4">
      <c r="A46" s="464" t="s">
        <v>1058</v>
      </c>
      <c r="B46" s="467">
        <v>1204.57</v>
      </c>
      <c r="C46" s="467">
        <v>1204.57</v>
      </c>
    </row>
    <row r="47" spans="1:3" ht="14.4">
      <c r="A47" s="464" t="s">
        <v>1059</v>
      </c>
      <c r="B47" s="467">
        <v>1529.89</v>
      </c>
      <c r="C47" s="467">
        <v>1063.8900000000001</v>
      </c>
    </row>
    <row r="48" spans="1:3" ht="14.4">
      <c r="A48" s="464" t="s">
        <v>1060</v>
      </c>
      <c r="B48" s="467">
        <v>208.09</v>
      </c>
      <c r="C48" s="467">
        <v>49.82</v>
      </c>
    </row>
    <row r="49" spans="1:3" ht="14.4">
      <c r="A49" s="464" t="s">
        <v>1061</v>
      </c>
      <c r="B49" s="467">
        <v>5882.18</v>
      </c>
      <c r="C49" s="467">
        <v>4070.93</v>
      </c>
    </row>
    <row r="50" spans="1:3" ht="14.4">
      <c r="A50" s="464" t="s">
        <v>1062</v>
      </c>
      <c r="B50" s="467">
        <v>1702.81</v>
      </c>
      <c r="C50" s="467">
        <v>389.80</v>
      </c>
    </row>
    <row r="51" spans="1:3" ht="14.4">
      <c r="A51" s="464" t="s">
        <v>1063</v>
      </c>
      <c r="B51" s="467">
        <v>11.72</v>
      </c>
      <c r="C51" s="467">
        <v>8.7899999999999991</v>
      </c>
    </row>
    <row r="52" spans="1:3" ht="14.4">
      <c r="A52" s="464" t="s">
        <v>1064</v>
      </c>
      <c r="B52" s="467">
        <v>2505.86</v>
      </c>
      <c r="C52" s="467">
        <v>2500</v>
      </c>
    </row>
    <row r="53" spans="1:3" ht="14.4">
      <c r="A53" s="464" t="s">
        <v>1066</v>
      </c>
      <c r="B53" s="467">
        <v>18077</v>
      </c>
      <c r="C53" s="467">
        <v>14414</v>
      </c>
    </row>
    <row r="54" spans="1:3" ht="14.4">
      <c r="A54" s="468" t="s">
        <v>1067</v>
      </c>
      <c r="B54" s="468"/>
      <c r="C54" s="469">
        <f>B53-C53</f>
        <v>3663</v>
      </c>
    </row>
    <row r="55" spans="1:3" ht="14.4">
      <c r="A55" s="464" t="s">
        <v>1068</v>
      </c>
      <c r="C55" s="464" t="s">
        <v>1078</v>
      </c>
    </row>
    <row r="56" ht="14.4">
      <c r="A56" s="464" t="s">
        <v>1069</v>
      </c>
    </row>
    <row r="57" ht="14.4"/>
    <row r="58" ht="14.4"/>
    <row r="59" spans="1:3" ht="28.8">
      <c r="A59" s="464" t="s">
        <v>1052</v>
      </c>
      <c r="B59" s="464" t="s">
        <v>1079</v>
      </c>
      <c r="C59" s="464" t="s">
        <v>1077</v>
      </c>
    </row>
    <row r="60" spans="1:3" ht="14.4">
      <c r="A60" s="464" t="s">
        <v>1055</v>
      </c>
      <c r="B60" s="467">
        <v>2828.25</v>
      </c>
      <c r="C60" s="467">
        <v>2851.70</v>
      </c>
    </row>
    <row r="61" spans="1:3" ht="14.4">
      <c r="A61" s="464" t="s">
        <v>1056</v>
      </c>
      <c r="B61" s="467">
        <v>20.52</v>
      </c>
      <c r="C61" s="467">
        <v>20.52</v>
      </c>
    </row>
    <row r="62" spans="1:3" ht="14.4">
      <c r="A62" s="464" t="s">
        <v>1057</v>
      </c>
      <c r="B62" s="467">
        <v>2253.81</v>
      </c>
      <c r="C62" s="467">
        <v>2253.81</v>
      </c>
    </row>
    <row r="63" spans="1:3" ht="14.4">
      <c r="A63" s="464" t="s">
        <v>1058</v>
      </c>
      <c r="B63" s="467">
        <v>1204.57</v>
      </c>
      <c r="C63" s="467">
        <v>1204.57</v>
      </c>
    </row>
    <row r="64" spans="1:3" ht="14.4">
      <c r="A64" s="464" t="s">
        <v>1059</v>
      </c>
      <c r="B64" s="467">
        <v>1131.30</v>
      </c>
      <c r="C64" s="467">
        <v>1063.8900000000001</v>
      </c>
    </row>
    <row r="65" spans="1:3" ht="14.4">
      <c r="A65" s="464" t="s">
        <v>1060</v>
      </c>
      <c r="B65" s="467">
        <v>70.34</v>
      </c>
      <c r="C65" s="467">
        <v>49.82</v>
      </c>
    </row>
    <row r="66" spans="1:3" ht="14.4">
      <c r="A66" s="464" t="s">
        <v>1061</v>
      </c>
      <c r="B66" s="467">
        <v>4276.08</v>
      </c>
      <c r="C66" s="467">
        <v>4070.93</v>
      </c>
    </row>
    <row r="67" spans="1:3" ht="14.4">
      <c r="A67" s="464" t="s">
        <v>1062</v>
      </c>
      <c r="B67" s="467">
        <v>559.79</v>
      </c>
      <c r="C67" s="467">
        <v>389.80</v>
      </c>
    </row>
    <row r="68" spans="1:3" ht="14.4">
      <c r="A68" s="464" t="s">
        <v>1063</v>
      </c>
      <c r="B68" s="467">
        <v>8.7899999999999991</v>
      </c>
      <c r="C68" s="467">
        <v>8.7899999999999991</v>
      </c>
    </row>
    <row r="69" spans="1:3" ht="14.4">
      <c r="A69" s="464" t="s">
        <v>1064</v>
      </c>
      <c r="B69" s="467">
        <v>2500</v>
      </c>
      <c r="C69" s="467">
        <v>2500</v>
      </c>
    </row>
    <row r="70" spans="1:3" ht="14.4">
      <c r="A70" s="464" t="s">
        <v>1066</v>
      </c>
      <c r="B70" s="467">
        <v>14853</v>
      </c>
      <c r="C70" s="467">
        <v>14414</v>
      </c>
    </row>
    <row r="71" spans="1:3" ht="14.4">
      <c r="A71" s="468" t="s">
        <v>1067</v>
      </c>
      <c r="B71" s="468"/>
      <c r="C71" s="469">
        <f>B70-C70</f>
        <v>439</v>
      </c>
    </row>
    <row r="72" spans="1:3" ht="14.4">
      <c r="A72" s="464" t="s">
        <v>1068</v>
      </c>
      <c r="C72" s="464" t="s">
        <v>1078</v>
      </c>
    </row>
    <row r="73" ht="14.4">
      <c r="A73" s="464" t="s">
        <v>1069</v>
      </c>
    </row>
    <row r="74" ht="14.4"/>
    <row r="75" ht="14.4"/>
    <row r="76" spans="1:3" ht="28.8">
      <c r="A76" s="464" t="s">
        <v>1052</v>
      </c>
      <c r="B76" s="464" t="s">
        <v>1079</v>
      </c>
      <c r="C76" s="464" t="s">
        <v>1080</v>
      </c>
    </row>
    <row r="77" spans="1:3" ht="14.4">
      <c r="A77" s="464" t="s">
        <v>1055</v>
      </c>
      <c r="B77" s="467">
        <v>2828.25</v>
      </c>
      <c r="C77" s="467">
        <v>2869.28</v>
      </c>
    </row>
    <row r="78" spans="1:3" ht="14.4">
      <c r="A78" s="464" t="s">
        <v>1056</v>
      </c>
      <c r="B78" s="467">
        <v>20.52</v>
      </c>
      <c r="C78" s="467">
        <v>20.52</v>
      </c>
    </row>
    <row r="79" spans="1:3" ht="14.4">
      <c r="A79" s="464" t="s">
        <v>1057</v>
      </c>
      <c r="B79" s="467">
        <v>2253.81</v>
      </c>
      <c r="C79" s="467">
        <v>2253.81</v>
      </c>
    </row>
    <row r="80" spans="1:3" ht="14.4">
      <c r="A80" s="464" t="s">
        <v>1058</v>
      </c>
      <c r="B80" s="467">
        <v>1204.57</v>
      </c>
      <c r="C80" s="467">
        <v>1204.57</v>
      </c>
    </row>
    <row r="81" spans="1:3" ht="14.4">
      <c r="A81" s="464" t="s">
        <v>1059</v>
      </c>
      <c r="B81" s="467">
        <v>1131.30</v>
      </c>
      <c r="C81" s="467">
        <v>923.21</v>
      </c>
    </row>
    <row r="82" spans="1:3" ht="14.4">
      <c r="A82" s="464" t="s">
        <v>1060</v>
      </c>
      <c r="B82" s="467">
        <v>70.34</v>
      </c>
      <c r="C82" s="467">
        <v>38.10</v>
      </c>
    </row>
    <row r="83" spans="1:3" ht="14.4">
      <c r="A83" s="464" t="s">
        <v>1061</v>
      </c>
      <c r="B83" s="467">
        <v>4276.08</v>
      </c>
      <c r="C83" s="467">
        <v>4135.3999999999996</v>
      </c>
    </row>
    <row r="84" spans="1:3" ht="14.4">
      <c r="A84" s="464" t="s">
        <v>1062</v>
      </c>
      <c r="B84" s="467">
        <v>559.79</v>
      </c>
      <c r="C84" s="467">
        <v>301.88</v>
      </c>
    </row>
    <row r="85" spans="1:3" ht="14.4">
      <c r="A85" s="464" t="s">
        <v>1063</v>
      </c>
      <c r="B85" s="467">
        <v>8.7899999999999991</v>
      </c>
      <c r="C85" s="467">
        <v>8.7899999999999991</v>
      </c>
    </row>
    <row r="86" spans="1:3" ht="14.4">
      <c r="A86" s="464" t="s">
        <v>1064</v>
      </c>
      <c r="B86" s="467">
        <v>2500</v>
      </c>
      <c r="C86" s="467">
        <v>2500</v>
      </c>
    </row>
    <row r="87" spans="1:3" ht="14.4">
      <c r="A87" s="464" t="s">
        <v>1066</v>
      </c>
      <c r="B87" s="467">
        <v>14853</v>
      </c>
      <c r="C87" s="467">
        <v>14256</v>
      </c>
    </row>
    <row r="88" spans="1:3" ht="14.4">
      <c r="A88" s="468" t="s">
        <v>1067</v>
      </c>
      <c r="B88" s="468"/>
      <c r="C88" s="469">
        <f>B87-C87</f>
        <v>597</v>
      </c>
    </row>
    <row r="89" spans="1:3" ht="14.4">
      <c r="A89" s="464" t="s">
        <v>1068</v>
      </c>
      <c r="C89" s="470">
        <v>5130</v>
      </c>
    </row>
    <row r="90" spans="1:3" ht="14.4">
      <c r="A90" s="464" t="s">
        <v>1069</v>
      </c>
      <c r="C90" s="471">
        <f>C88/C89</f>
        <v>0.11637426900584795</v>
      </c>
    </row>
    <row r="91" ht="14.4"/>
    <row r="92" ht="14.4"/>
    <row r="93" spans="1:3" ht="28.8">
      <c r="A93" s="464" t="s">
        <v>1052</v>
      </c>
      <c r="B93" s="464" t="s">
        <v>1081</v>
      </c>
      <c r="C93" s="464" t="s">
        <v>1080</v>
      </c>
    </row>
    <row r="94" spans="1:3" ht="14.4">
      <c r="A94" s="464" t="s">
        <v>1055</v>
      </c>
      <c r="B94" s="467">
        <v>2851.70</v>
      </c>
      <c r="C94" s="467">
        <v>2869.28</v>
      </c>
    </row>
    <row r="95" spans="1:3" ht="14.4">
      <c r="A95" s="464" t="s">
        <v>1056</v>
      </c>
      <c r="B95" s="467">
        <v>20.52</v>
      </c>
      <c r="C95" s="467">
        <v>20.52</v>
      </c>
    </row>
    <row r="96" spans="1:3" ht="14.4">
      <c r="A96" s="464" t="s">
        <v>1057</v>
      </c>
      <c r="B96" s="467">
        <v>2253.81</v>
      </c>
      <c r="C96" s="467">
        <v>2253.81</v>
      </c>
    </row>
    <row r="97" spans="1:3" ht="14.4">
      <c r="A97" s="464" t="s">
        <v>1058</v>
      </c>
      <c r="B97" s="467">
        <v>1204.57</v>
      </c>
      <c r="C97" s="467">
        <v>1204.57</v>
      </c>
    </row>
    <row r="98" spans="1:3" ht="14.4">
      <c r="A98" s="464" t="s">
        <v>1059</v>
      </c>
      <c r="B98" s="467">
        <v>1063.8900000000001</v>
      </c>
      <c r="C98" s="467">
        <v>923.21</v>
      </c>
    </row>
    <row r="99" spans="1:3" ht="14.4">
      <c r="A99" s="464" t="s">
        <v>1060</v>
      </c>
      <c r="B99" s="467">
        <v>49.82</v>
      </c>
      <c r="C99" s="467">
        <v>38.10</v>
      </c>
    </row>
    <row r="100" spans="1:3" ht="14.4">
      <c r="A100" s="464" t="s">
        <v>1061</v>
      </c>
      <c r="B100" s="467">
        <v>4070.93</v>
      </c>
      <c r="C100" s="467">
        <v>4135.3999999999996</v>
      </c>
    </row>
    <row r="101" spans="1:3" ht="14.4">
      <c r="A101" s="464" t="s">
        <v>1062</v>
      </c>
      <c r="B101" s="467">
        <v>389.80</v>
      </c>
      <c r="C101" s="467">
        <v>301.88</v>
      </c>
    </row>
    <row r="102" spans="1:3" ht="14.4">
      <c r="A102" s="464" t="s">
        <v>1063</v>
      </c>
      <c r="B102" s="467">
        <v>8.7899999999999991</v>
      </c>
      <c r="C102" s="467">
        <v>8.7899999999999991</v>
      </c>
    </row>
    <row r="103" spans="1:3" ht="14.4">
      <c r="A103" s="464" t="s">
        <v>1064</v>
      </c>
      <c r="B103" s="467">
        <v>2500</v>
      </c>
      <c r="C103" s="467">
        <v>2500</v>
      </c>
    </row>
    <row r="104" spans="1:3" ht="14.4">
      <c r="A104" s="464" t="s">
        <v>1066</v>
      </c>
      <c r="B104" s="467">
        <v>14414</v>
      </c>
      <c r="C104" s="467">
        <v>14256</v>
      </c>
    </row>
    <row r="105" spans="1:3" ht="14.4">
      <c r="A105" s="468" t="s">
        <v>1067</v>
      </c>
      <c r="B105" s="468"/>
      <c r="C105" s="469">
        <f>B104-C104</f>
        <v>158</v>
      </c>
    </row>
    <row r="106" spans="1:3" ht="14.4">
      <c r="A106" s="464" t="s">
        <v>1068</v>
      </c>
      <c r="C106" s="470">
        <v>1657</v>
      </c>
    </row>
    <row r="107" spans="1:3" ht="14.4">
      <c r="A107" s="464" t="s">
        <v>1069</v>
      </c>
      <c r="C107" s="471">
        <f>C105/C106</f>
        <v>0.095353047676523833</v>
      </c>
    </row>
    <row r="108" ht="14.4"/>
    <row r="109" ht="14.4">
      <c r="A109" s="465" t="s">
        <v>1082</v>
      </c>
    </row>
    <row r="110" ht="14.4"/>
    <row r="111" spans="1:3" ht="28.8">
      <c r="A111" s="464" t="s">
        <v>1052</v>
      </c>
      <c r="B111" s="464" t="s">
        <v>1083</v>
      </c>
      <c r="C111" s="464" t="s">
        <v>1084</v>
      </c>
    </row>
    <row r="112" spans="1:3" ht="14.4">
      <c r="A112" s="464" t="s">
        <v>1055</v>
      </c>
      <c r="B112" s="467">
        <v>2816.53</v>
      </c>
      <c r="C112" s="467">
        <v>2793.08</v>
      </c>
    </row>
    <row r="113" spans="1:3" ht="14.4">
      <c r="A113" s="464" t="s">
        <v>1056</v>
      </c>
      <c r="B113" s="467">
        <v>20.52</v>
      </c>
      <c r="C113" s="467">
        <v>20.52</v>
      </c>
    </row>
    <row r="114" spans="1:3" ht="14.4">
      <c r="A114" s="464" t="s">
        <v>1057</v>
      </c>
      <c r="B114" s="467">
        <v>2253.81</v>
      </c>
      <c r="C114" s="467">
        <v>2253.81</v>
      </c>
    </row>
    <row r="115" spans="1:3" ht="14.4">
      <c r="A115" s="464" t="s">
        <v>1058</v>
      </c>
      <c r="B115" s="467">
        <v>1204.57</v>
      </c>
      <c r="C115" s="467">
        <v>1204.57</v>
      </c>
    </row>
    <row r="116" spans="1:3" ht="14.4">
      <c r="A116" s="464" t="s">
        <v>1059</v>
      </c>
      <c r="B116" s="467">
        <v>1166.47</v>
      </c>
      <c r="C116" s="467">
        <v>1078.55</v>
      </c>
    </row>
    <row r="117" spans="1:3" ht="14.4">
      <c r="A117" s="464" t="s">
        <v>1060</v>
      </c>
      <c r="B117" s="467">
        <v>84.99</v>
      </c>
      <c r="C117" s="467">
        <v>105.51</v>
      </c>
    </row>
    <row r="118" spans="1:3" ht="14.4">
      <c r="A118" s="464" t="s">
        <v>1061</v>
      </c>
      <c r="B118" s="467">
        <v>4425.5600000000004</v>
      </c>
      <c r="C118" s="467">
        <v>4097.30</v>
      </c>
    </row>
    <row r="119" spans="1:3" ht="14.4">
      <c r="A119" s="464" t="s">
        <v>1062</v>
      </c>
      <c r="B119" s="467">
        <v>688.75</v>
      </c>
      <c r="C119" s="467">
        <v>855.80</v>
      </c>
    </row>
    <row r="120" spans="1:3" ht="14.4">
      <c r="A120" s="464" t="s">
        <v>1063</v>
      </c>
      <c r="B120" s="467">
        <v>11.72</v>
      </c>
      <c r="C120" s="467">
        <v>11.72</v>
      </c>
    </row>
    <row r="121" spans="1:3" ht="14.4">
      <c r="A121" s="464" t="s">
        <v>1064</v>
      </c>
      <c r="B121" s="467">
        <v>2500</v>
      </c>
      <c r="C121" s="467">
        <v>2505.86</v>
      </c>
    </row>
    <row r="122" spans="1:3" ht="14.4">
      <c r="A122" s="464" t="s">
        <v>1066</v>
      </c>
      <c r="B122" s="467">
        <v>15173</v>
      </c>
      <c r="C122" s="467">
        <v>14927</v>
      </c>
    </row>
    <row r="123" spans="1:3" ht="14.4">
      <c r="A123" s="468" t="s">
        <v>1067</v>
      </c>
      <c r="B123" s="468"/>
      <c r="C123" s="469">
        <f>B122-C122</f>
        <v>246</v>
      </c>
    </row>
    <row r="124" spans="1:3" ht="14.4">
      <c r="A124" s="464" t="s">
        <v>1068</v>
      </c>
      <c r="C124" s="464">
        <v>257</v>
      </c>
    </row>
    <row r="125" spans="1:3" ht="14.4">
      <c r="A125" s="464" t="s">
        <v>1069</v>
      </c>
      <c r="C125" s="471">
        <f>C123/C124</f>
        <v>0.95719844357976658</v>
      </c>
    </row>
    <row r="126" ht="14.4"/>
    <row r="127" ht="14.4"/>
    <row r="128" spans="1:3" ht="43.2">
      <c r="A128" s="464" t="s">
        <v>1052</v>
      </c>
      <c r="B128" s="464" t="s">
        <v>1085</v>
      </c>
      <c r="C128" s="464" t="s">
        <v>1086</v>
      </c>
    </row>
    <row r="129" spans="1:3" ht="14.4">
      <c r="A129" s="464" t="s">
        <v>1055</v>
      </c>
      <c r="B129" s="467">
        <v>2816.53</v>
      </c>
      <c r="C129" s="467">
        <v>2790.15</v>
      </c>
    </row>
    <row r="130" spans="1:3" ht="14.4">
      <c r="A130" s="464" t="s">
        <v>1056</v>
      </c>
      <c r="B130" s="467">
        <v>20.52</v>
      </c>
      <c r="C130" s="467">
        <v>20.52</v>
      </c>
    </row>
    <row r="131" spans="1:3" ht="14.4">
      <c r="A131" s="464" t="s">
        <v>1057</v>
      </c>
      <c r="B131" s="467">
        <v>2253.81</v>
      </c>
      <c r="C131" s="467">
        <v>2253.81</v>
      </c>
    </row>
    <row r="132" spans="1:3" ht="14.4">
      <c r="A132" s="464" t="s">
        <v>1058</v>
      </c>
      <c r="B132" s="467">
        <v>1204.57</v>
      </c>
      <c r="C132" s="467">
        <v>1204.57</v>
      </c>
    </row>
    <row r="133" spans="1:3" ht="14.4">
      <c r="A133" s="464" t="s">
        <v>1059</v>
      </c>
      <c r="B133" s="467">
        <v>1145.96</v>
      </c>
      <c r="C133" s="467">
        <v>1031.6500000000001</v>
      </c>
    </row>
    <row r="134" spans="1:3" ht="14.4">
      <c r="A134" s="464" t="s">
        <v>1060</v>
      </c>
      <c r="B134" s="467">
        <v>84.99</v>
      </c>
      <c r="C134" s="467">
        <v>102.58</v>
      </c>
    </row>
    <row r="135" spans="1:3" ht="14.4">
      <c r="A135" s="464" t="s">
        <v>1061</v>
      </c>
      <c r="B135" s="467">
        <v>4355.22</v>
      </c>
      <c r="C135" s="467">
        <v>3912.66</v>
      </c>
    </row>
    <row r="136" spans="1:3" ht="14.4">
      <c r="A136" s="464" t="s">
        <v>1062</v>
      </c>
      <c r="B136" s="467">
        <v>694.61</v>
      </c>
      <c r="C136" s="467">
        <v>844.08</v>
      </c>
    </row>
    <row r="137" spans="1:3" ht="14.4">
      <c r="A137" s="464" t="s">
        <v>1063</v>
      </c>
      <c r="B137" s="467">
        <v>11.72</v>
      </c>
      <c r="C137" s="467">
        <v>11.72</v>
      </c>
    </row>
    <row r="138" spans="1:3" ht="14.4">
      <c r="A138" s="464" t="s">
        <v>1064</v>
      </c>
      <c r="B138" s="467">
        <v>2502.9299999999998</v>
      </c>
      <c r="C138" s="467">
        <v>2505.86</v>
      </c>
    </row>
    <row r="139" spans="1:3" ht="14.4">
      <c r="A139" s="464" t="s">
        <v>1066</v>
      </c>
      <c r="B139" s="467">
        <v>15091</v>
      </c>
      <c r="C139" s="467">
        <v>14678</v>
      </c>
    </row>
    <row r="140" spans="1:3" ht="14.4">
      <c r="A140" s="468" t="s">
        <v>1067</v>
      </c>
      <c r="B140" s="468"/>
      <c r="C140" s="469">
        <f>B139-C139</f>
        <v>413</v>
      </c>
    </row>
    <row r="141" spans="1:3" ht="14.4">
      <c r="A141" s="464" t="s">
        <v>1068</v>
      </c>
      <c r="C141" s="464">
        <v>257</v>
      </c>
    </row>
    <row r="142" spans="1:3" ht="14.4">
      <c r="A142" s="464" t="s">
        <v>1069</v>
      </c>
      <c r="C142" s="471">
        <f>C140/C141</f>
        <v>1.6070038910505837</v>
      </c>
    </row>
    <row r="143" ht="14.4"/>
    <row r="144" ht="14.4"/>
    <row r="145" spans="1:3" ht="28.8">
      <c r="A145" s="464" t="s">
        <v>1052</v>
      </c>
      <c r="B145" s="464" t="s">
        <v>1087</v>
      </c>
      <c r="C145" s="464" t="s">
        <v>1088</v>
      </c>
    </row>
    <row r="146" spans="1:3" ht="14.4">
      <c r="A146" s="464" t="s">
        <v>1055</v>
      </c>
      <c r="B146" s="467">
        <v>2819.46</v>
      </c>
      <c r="C146" s="467">
        <v>2793.08</v>
      </c>
    </row>
    <row r="147" spans="1:3" ht="14.4">
      <c r="A147" s="464" t="s">
        <v>1056</v>
      </c>
      <c r="B147" s="467">
        <v>20.52</v>
      </c>
      <c r="C147" s="467">
        <v>20.52</v>
      </c>
    </row>
    <row r="148" spans="1:3" ht="14.4">
      <c r="A148" s="464" t="s">
        <v>1057</v>
      </c>
      <c r="B148" s="467">
        <v>2253.81</v>
      </c>
      <c r="C148" s="467">
        <v>2253.81</v>
      </c>
    </row>
    <row r="149" spans="1:3" ht="14.4">
      <c r="A149" s="464" t="s">
        <v>1058</v>
      </c>
      <c r="B149" s="467">
        <v>1204.57</v>
      </c>
      <c r="C149" s="467">
        <v>1204.57</v>
      </c>
    </row>
    <row r="150" spans="1:3" ht="14.4">
      <c r="A150" s="464" t="s">
        <v>1059</v>
      </c>
      <c r="B150" s="467">
        <v>1151.82</v>
      </c>
      <c r="C150" s="467">
        <v>1034.58</v>
      </c>
    </row>
    <row r="151" spans="1:3" ht="14.4">
      <c r="A151" s="464" t="s">
        <v>1060</v>
      </c>
      <c r="B151" s="467">
        <v>79.13</v>
      </c>
      <c r="C151" s="467">
        <v>99.65</v>
      </c>
    </row>
    <row r="152" spans="1:3" ht="14.4">
      <c r="A152" s="464" t="s">
        <v>1061</v>
      </c>
      <c r="B152" s="467">
        <v>4364.01</v>
      </c>
      <c r="C152" s="467">
        <v>3924.38</v>
      </c>
    </row>
    <row r="153" spans="1:3" ht="14.4">
      <c r="A153" s="464" t="s">
        <v>1062</v>
      </c>
      <c r="B153" s="467">
        <v>641.85</v>
      </c>
      <c r="C153" s="467">
        <v>805.98</v>
      </c>
    </row>
    <row r="154" spans="1:3" ht="14.4">
      <c r="A154" s="464" t="s">
        <v>1063</v>
      </c>
      <c r="B154" s="467">
        <v>11.72</v>
      </c>
      <c r="C154" s="467">
        <v>11.72</v>
      </c>
    </row>
    <row r="155" spans="1:3" ht="14.4">
      <c r="A155" s="464" t="s">
        <v>1064</v>
      </c>
      <c r="B155" s="467">
        <v>2500</v>
      </c>
      <c r="C155" s="467">
        <v>2505.86</v>
      </c>
    </row>
    <row r="156" spans="1:3" ht="14.4">
      <c r="A156" s="464" t="s">
        <v>1066</v>
      </c>
      <c r="B156" s="467">
        <v>15047</v>
      </c>
      <c r="C156" s="467">
        <v>14654</v>
      </c>
    </row>
    <row r="157" spans="1:3" ht="14.4">
      <c r="A157" s="468" t="s">
        <v>1067</v>
      </c>
      <c r="B157" s="468"/>
      <c r="C157" s="469">
        <f>B156-C156</f>
        <v>393</v>
      </c>
    </row>
    <row r="158" spans="1:3" ht="14.4">
      <c r="A158" s="464" t="s">
        <v>1068</v>
      </c>
      <c r="C158" s="464">
        <v>257</v>
      </c>
    </row>
    <row r="159" spans="1:3" ht="14.4">
      <c r="A159" s="464" t="s">
        <v>1069</v>
      </c>
      <c r="C159" s="471">
        <f>C157/C158</f>
        <v>1.5291828793774318</v>
      </c>
    </row>
    <row r="160" ht="14.4"/>
    <row r="161" ht="14.4"/>
    <row r="162" spans="1:3" ht="43.2">
      <c r="A162" s="464" t="s">
        <v>1052</v>
      </c>
      <c r="B162" s="464" t="s">
        <v>1089</v>
      </c>
      <c r="C162" s="464" t="s">
        <v>1090</v>
      </c>
    </row>
    <row r="163" spans="1:3" ht="14.4">
      <c r="A163" s="464" t="s">
        <v>1055</v>
      </c>
      <c r="B163" s="467">
        <v>2819.46</v>
      </c>
      <c r="C163" s="467">
        <v>2798.95</v>
      </c>
    </row>
    <row r="164" spans="1:3" ht="14.4">
      <c r="A164" s="464" t="s">
        <v>1056</v>
      </c>
      <c r="B164" s="467">
        <v>20.52</v>
      </c>
      <c r="C164" s="467">
        <v>20.52</v>
      </c>
    </row>
    <row r="165" spans="1:3" ht="14.4">
      <c r="A165" s="464" t="s">
        <v>1057</v>
      </c>
      <c r="B165" s="467">
        <v>2253.81</v>
      </c>
      <c r="C165" s="467">
        <v>2253.81</v>
      </c>
    </row>
    <row r="166" spans="1:3" ht="14.4">
      <c r="A166" s="464" t="s">
        <v>1058</v>
      </c>
      <c r="B166" s="467">
        <v>1204.57</v>
      </c>
      <c r="C166" s="467">
        <v>1204.57</v>
      </c>
    </row>
    <row r="167" spans="1:3" ht="14.4">
      <c r="A167" s="464" t="s">
        <v>1059</v>
      </c>
      <c r="B167" s="467">
        <v>1099.06</v>
      </c>
      <c r="C167" s="467">
        <v>1019.93</v>
      </c>
    </row>
    <row r="168" spans="1:3" ht="14.4">
      <c r="A168" s="464" t="s">
        <v>1060</v>
      </c>
      <c r="B168" s="467">
        <v>76.20</v>
      </c>
      <c r="C168" s="467">
        <v>90.86</v>
      </c>
    </row>
    <row r="169" spans="1:3" ht="14.4">
      <c r="A169" s="464" t="s">
        <v>1061</v>
      </c>
      <c r="B169" s="467">
        <v>4161.78</v>
      </c>
      <c r="C169" s="467">
        <v>3862.84</v>
      </c>
    </row>
    <row r="170" spans="1:3" ht="14.4">
      <c r="A170" s="464" t="s">
        <v>1062</v>
      </c>
      <c r="B170" s="467">
        <v>621.34</v>
      </c>
      <c r="C170" s="467">
        <v>732.71</v>
      </c>
    </row>
    <row r="171" spans="1:3" ht="14.4">
      <c r="A171" s="464" t="s">
        <v>1063</v>
      </c>
      <c r="B171" s="467">
        <v>11.72</v>
      </c>
      <c r="C171" s="467">
        <v>11.72</v>
      </c>
    </row>
    <row r="172" spans="1:3" ht="14.4">
      <c r="A172" s="464" t="s">
        <v>1064</v>
      </c>
      <c r="B172" s="467">
        <v>2502.9299999999998</v>
      </c>
      <c r="C172" s="467">
        <v>2505.86</v>
      </c>
    </row>
    <row r="173" spans="1:3" ht="14.4">
      <c r="A173" s="464" t="s">
        <v>1066</v>
      </c>
      <c r="B173" s="467">
        <v>14771</v>
      </c>
      <c r="C173" s="467">
        <v>14502</v>
      </c>
    </row>
    <row r="174" spans="1:3" ht="14.4">
      <c r="A174" s="468" t="s">
        <v>1067</v>
      </c>
      <c r="B174" s="468"/>
      <c r="C174" s="469">
        <f>B173-C173</f>
        <v>269</v>
      </c>
    </row>
    <row r="175" spans="1:3" ht="14.4">
      <c r="A175" s="464" t="s">
        <v>1068</v>
      </c>
      <c r="C175" s="464">
        <v>257</v>
      </c>
    </row>
    <row r="176" spans="1:3" ht="14.4">
      <c r="A176" s="464" t="s">
        <v>1069</v>
      </c>
      <c r="C176" s="471">
        <f>C174/C175</f>
        <v>1.0466926070038911</v>
      </c>
    </row>
  </sheetData>
  <mergeCells count="1">
    <mergeCell ref="B1:C1"/>
  </mergeCells>
  <pageMargins left="0.7" right="0.7" top="0.75" bottom="0.75" header="0.3" footer="0.3"/>
  <pageSetup orientation="portrait"/>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8"/>
  </sheetPr>
  <dimension ref="A1:P29"/>
  <sheetViews>
    <sheetView zoomScale="90" zoomScaleNormal="90" workbookViewId="0" topLeftCell="A1">
      <selection pane="topLeft" activeCell="A1" sqref="A1"/>
    </sheetView>
  </sheetViews>
  <sheetFormatPr defaultColWidth="9.21875" defaultRowHeight="14.4" outlineLevelCol="1"/>
  <cols>
    <col min="1" max="1" width="25.2222222222222" style="865" bestFit="1" customWidth="1"/>
    <col min="2" max="2" width="25.7777777777778" style="865" bestFit="1" customWidth="1"/>
    <col min="3" max="4" width="28.7777777777778" style="865" bestFit="1" customWidth="1"/>
    <col min="5" max="5" width="30" style="865" bestFit="1" customWidth="1"/>
    <col min="6" max="6" width="29.5555555555556" style="865" bestFit="1" customWidth="1" outlineLevel="1"/>
    <col min="7" max="7" width="36.4444444444444" style="865" bestFit="1" customWidth="1" outlineLevel="1"/>
    <col min="8" max="8" width="35.2222222222222" style="865" bestFit="1" customWidth="1" outlineLevel="1"/>
    <col min="9" max="9" width="29.2222222222222" style="865" bestFit="1" customWidth="1" outlineLevel="1"/>
    <col min="10" max="11" width="36.2222222222222" style="865" bestFit="1" customWidth="1" outlineLevel="1"/>
    <col min="12" max="12" width="39.7777777777778" style="865" bestFit="1" customWidth="1" outlineLevel="1"/>
    <col min="13" max="13" width="27.2222222222222" style="865" bestFit="1" customWidth="1"/>
    <col min="14" max="14" width="24.7777777777778" style="865" bestFit="1" customWidth="1"/>
    <col min="15" max="15" width="28.2222222222222" style="865" bestFit="1" customWidth="1"/>
    <col min="16" max="16" width="23.4444444444444" style="865" bestFit="1" customWidth="1"/>
    <col min="17" max="16384" width="9.22222222222222" style="865"/>
  </cols>
  <sheetData>
    <row r="1" spans="2:16" ht="14.4">
      <c r="B1" s="865" t="s">
        <v>1716</v>
      </c>
      <c r="C1" s="865" t="s">
        <v>1754</v>
      </c>
      <c r="D1" s="865" t="s">
        <v>1755</v>
      </c>
      <c r="E1" s="865" t="s">
        <v>1756</v>
      </c>
      <c r="F1" s="865" t="s">
        <v>1715</v>
      </c>
      <c r="G1" s="865" t="s">
        <v>1714</v>
      </c>
      <c r="H1" s="865" t="s">
        <v>1713</v>
      </c>
      <c r="I1" s="865" t="s">
        <v>1712</v>
      </c>
      <c r="J1" s="865" t="s">
        <v>1711</v>
      </c>
      <c r="K1" s="865" t="s">
        <v>1710</v>
      </c>
      <c r="L1" s="865" t="s">
        <v>1709</v>
      </c>
      <c r="M1" s="865" t="s">
        <v>1708</v>
      </c>
      <c r="N1" s="865" t="s">
        <v>1707</v>
      </c>
      <c r="O1" s="865" t="s">
        <v>1706</v>
      </c>
      <c r="P1" s="865" t="s">
        <v>1705</v>
      </c>
    </row>
    <row r="2" spans="1:16" ht="14.4">
      <c r="A2" s="865" t="s">
        <v>1704</v>
      </c>
      <c r="B2" s="865">
        <v>2828.25</v>
      </c>
      <c r="C2" s="865">
        <v>2757.91</v>
      </c>
      <c r="D2" s="865">
        <v>2828.25</v>
      </c>
      <c r="E2" s="865">
        <v>2851.70</v>
      </c>
      <c r="F2" s="865">
        <v>2869.28</v>
      </c>
      <c r="G2" s="865">
        <v>2866.35</v>
      </c>
      <c r="H2" s="865">
        <v>2869.28</v>
      </c>
      <c r="I2" s="865">
        <v>2790.15</v>
      </c>
      <c r="J2" s="865">
        <v>2828.25</v>
      </c>
      <c r="K2" s="865">
        <v>2828.25</v>
      </c>
      <c r="L2" s="865">
        <v>2796.01</v>
      </c>
      <c r="M2" s="865">
        <v>2963.07</v>
      </c>
      <c r="N2" s="865">
        <v>2916.18</v>
      </c>
      <c r="O2" s="865">
        <v>2793.08</v>
      </c>
      <c r="P2" s="865">
        <v>2913.25</v>
      </c>
    </row>
    <row r="3" spans="1:16" ht="14.4">
      <c r="A3" s="865" t="s">
        <v>1703</v>
      </c>
      <c r="B3" s="865">
        <v>20.52</v>
      </c>
      <c r="C3" s="865">
        <v>20.52</v>
      </c>
      <c r="D3" s="865">
        <v>20.52</v>
      </c>
      <c r="E3" s="865">
        <v>20.52</v>
      </c>
      <c r="F3" s="865">
        <v>20.52</v>
      </c>
      <c r="G3" s="865">
        <v>20.52</v>
      </c>
      <c r="H3" s="865">
        <v>20.52</v>
      </c>
      <c r="I3" s="865">
        <v>20.52</v>
      </c>
      <c r="J3" s="865">
        <v>20.52</v>
      </c>
      <c r="K3" s="865">
        <v>20.52</v>
      </c>
      <c r="L3" s="865">
        <v>20.52</v>
      </c>
      <c r="M3" s="865">
        <v>20.52</v>
      </c>
      <c r="N3" s="865">
        <v>20.52</v>
      </c>
      <c r="O3" s="865">
        <v>20.52</v>
      </c>
      <c r="P3" s="865">
        <v>20.52</v>
      </c>
    </row>
    <row r="4" spans="1:16" ht="14.4">
      <c r="A4" s="865" t="s">
        <v>1702</v>
      </c>
      <c r="B4" s="865">
        <v>2253.81</v>
      </c>
      <c r="C4" s="865">
        <v>2253.81</v>
      </c>
      <c r="D4" s="865">
        <v>2253.81</v>
      </c>
      <c r="E4" s="865">
        <v>2253.81</v>
      </c>
      <c r="F4" s="865">
        <v>2253.81</v>
      </c>
      <c r="G4" s="865">
        <v>2253.81</v>
      </c>
      <c r="H4" s="865">
        <v>2253.81</v>
      </c>
      <c r="I4" s="865">
        <v>2253.81</v>
      </c>
      <c r="J4" s="865">
        <v>2253.81</v>
      </c>
      <c r="K4" s="865">
        <v>2253.81</v>
      </c>
      <c r="L4" s="865">
        <v>2253.81</v>
      </c>
      <c r="M4" s="865">
        <v>2253.81</v>
      </c>
      <c r="N4" s="865">
        <v>2253.81</v>
      </c>
      <c r="O4" s="865">
        <v>2253.81</v>
      </c>
      <c r="P4" s="865">
        <v>2253.81</v>
      </c>
    </row>
    <row r="5" spans="1:16" ht="14.4">
      <c r="A5" s="865" t="s">
        <v>1701</v>
      </c>
      <c r="B5" s="865">
        <v>1204.57</v>
      </c>
      <c r="C5" s="865">
        <v>1204.57</v>
      </c>
      <c r="D5" s="865">
        <v>1204.57</v>
      </c>
      <c r="E5" s="865">
        <v>1204.57</v>
      </c>
      <c r="F5" s="865">
        <v>1204.57</v>
      </c>
      <c r="G5" s="865">
        <v>1204.57</v>
      </c>
      <c r="H5" s="865">
        <v>1204.57</v>
      </c>
      <c r="I5" s="865">
        <v>1204.57</v>
      </c>
      <c r="J5" s="865">
        <v>1204.57</v>
      </c>
      <c r="K5" s="865">
        <v>1204.57</v>
      </c>
      <c r="L5" s="865">
        <v>1204.57</v>
      </c>
      <c r="M5" s="865">
        <v>1204.57</v>
      </c>
      <c r="N5" s="865">
        <v>1204.57</v>
      </c>
      <c r="O5" s="865">
        <v>1204.57</v>
      </c>
      <c r="P5" s="865">
        <v>1204.57</v>
      </c>
    </row>
    <row r="6" spans="1:16" ht="14.4">
      <c r="A6" s="865" t="s">
        <v>1700</v>
      </c>
      <c r="B6" s="865">
        <v>1131.30</v>
      </c>
      <c r="C6" s="865">
        <v>1529.89</v>
      </c>
      <c r="D6" s="865">
        <v>1131.30</v>
      </c>
      <c r="E6" s="865">
        <v>1063.8900000000001</v>
      </c>
      <c r="F6" s="865">
        <v>923.21</v>
      </c>
      <c r="G6" s="865">
        <v>940.80</v>
      </c>
      <c r="H6" s="865">
        <v>923.21</v>
      </c>
      <c r="I6" s="865">
        <v>1011.14</v>
      </c>
      <c r="J6" s="865">
        <v>1216.30</v>
      </c>
      <c r="K6" s="865">
        <v>981.83</v>
      </c>
      <c r="L6" s="865">
        <v>1052.17</v>
      </c>
      <c r="M6" s="865">
        <v>1737.98</v>
      </c>
      <c r="N6" s="865">
        <v>1356.98</v>
      </c>
      <c r="O6" s="865">
        <v>1058.03</v>
      </c>
      <c r="P6" s="865">
        <v>1532.83</v>
      </c>
    </row>
    <row r="7" spans="1:16" ht="14.4">
      <c r="A7" s="865" t="s">
        <v>1699</v>
      </c>
      <c r="B7" s="865">
        <v>70.34</v>
      </c>
      <c r="C7" s="865">
        <v>208.09</v>
      </c>
      <c r="D7" s="865">
        <v>70.34</v>
      </c>
      <c r="E7" s="865">
        <v>49.82</v>
      </c>
      <c r="F7" s="865">
        <v>38.10</v>
      </c>
      <c r="G7" s="865">
        <v>41.03</v>
      </c>
      <c r="H7" s="865">
        <v>38.10</v>
      </c>
      <c r="I7" s="865">
        <v>99.65</v>
      </c>
      <c r="J7" s="865">
        <v>67.41</v>
      </c>
      <c r="K7" s="865">
        <v>61.55</v>
      </c>
      <c r="L7" s="865">
        <v>84.99</v>
      </c>
      <c r="M7" s="865">
        <v>5.86</v>
      </c>
      <c r="N7" s="865">
        <v>17.579999999999998</v>
      </c>
      <c r="O7" s="865">
        <v>93.79</v>
      </c>
      <c r="P7" s="865">
        <v>20.52</v>
      </c>
    </row>
    <row r="8" spans="1:16" ht="14.4">
      <c r="A8" s="865" t="s">
        <v>1698</v>
      </c>
      <c r="B8" s="865">
        <v>4276.08</v>
      </c>
      <c r="C8" s="865">
        <v>5882.18</v>
      </c>
      <c r="D8" s="865">
        <v>4276.08</v>
      </c>
      <c r="E8" s="865">
        <v>4070.93</v>
      </c>
      <c r="F8" s="865">
        <v>4135.3999999999996</v>
      </c>
      <c r="G8" s="865">
        <v>4126.6099999999997</v>
      </c>
      <c r="H8" s="865">
        <v>4135.3999999999996</v>
      </c>
      <c r="I8" s="865">
        <v>3827.67</v>
      </c>
      <c r="J8" s="865">
        <v>4185.2299999999996</v>
      </c>
      <c r="K8" s="865">
        <v>2576.1999999999998</v>
      </c>
      <c r="L8" s="865">
        <v>3985.93</v>
      </c>
      <c r="M8" s="865">
        <v>6568</v>
      </c>
      <c r="N8" s="865">
        <v>5073.2700000000004</v>
      </c>
      <c r="O8" s="865">
        <v>4026.96</v>
      </c>
      <c r="P8" s="865">
        <v>5797.19</v>
      </c>
    </row>
    <row r="9" spans="1:16" ht="14.4">
      <c r="A9" s="865" t="s">
        <v>1697</v>
      </c>
      <c r="B9" s="865">
        <v>559.79</v>
      </c>
      <c r="C9" s="865">
        <v>1702.81</v>
      </c>
      <c r="D9" s="865">
        <v>559.79</v>
      </c>
      <c r="E9" s="865">
        <v>389.80</v>
      </c>
      <c r="F9" s="865">
        <v>301.88</v>
      </c>
      <c r="G9" s="865">
        <v>316.52999999999997</v>
      </c>
      <c r="H9" s="865">
        <v>304.81</v>
      </c>
      <c r="I9" s="865">
        <v>826.49</v>
      </c>
      <c r="J9" s="865">
        <v>536.34</v>
      </c>
      <c r="K9" s="865">
        <v>325.32</v>
      </c>
      <c r="L9" s="865">
        <v>703.40</v>
      </c>
      <c r="M9" s="865">
        <v>46.89</v>
      </c>
      <c r="N9" s="865">
        <v>161.19999999999999</v>
      </c>
      <c r="O9" s="865">
        <v>747.36</v>
      </c>
      <c r="P9" s="865">
        <v>169.99</v>
      </c>
    </row>
    <row r="10" spans="1:16" ht="14.4">
      <c r="A10" s="865" t="s">
        <v>1696</v>
      </c>
      <c r="B10" s="865">
        <v>8.7899999999999991</v>
      </c>
      <c r="C10" s="865">
        <v>11.72</v>
      </c>
      <c r="D10" s="865">
        <v>8.7899999999999991</v>
      </c>
      <c r="E10" s="865">
        <v>8.7899999999999991</v>
      </c>
      <c r="F10" s="865">
        <v>8.7899999999999991</v>
      </c>
      <c r="G10" s="865">
        <v>8.7899999999999991</v>
      </c>
      <c r="H10" s="865">
        <v>8.7899999999999991</v>
      </c>
      <c r="I10" s="865">
        <v>11.72</v>
      </c>
      <c r="J10" s="865">
        <v>26.38</v>
      </c>
      <c r="K10" s="865">
        <v>23.45</v>
      </c>
      <c r="L10" s="865">
        <v>11.72</v>
      </c>
      <c r="O10" s="865">
        <v>20.52</v>
      </c>
      <c r="P10" s="865">
        <v>2.93</v>
      </c>
    </row>
    <row r="11" spans="1:16" ht="14.4">
      <c r="A11" s="865" t="s">
        <v>1695</v>
      </c>
      <c r="B11" s="865">
        <v>2500</v>
      </c>
      <c r="C11" s="865">
        <v>2505.86</v>
      </c>
      <c r="D11" s="865">
        <v>2500</v>
      </c>
      <c r="E11" s="865">
        <v>2500</v>
      </c>
      <c r="F11" s="865">
        <v>2500</v>
      </c>
      <c r="G11" s="865">
        <v>2500</v>
      </c>
      <c r="H11" s="865">
        <v>2500</v>
      </c>
      <c r="I11" s="865">
        <v>2505.86</v>
      </c>
      <c r="J11" s="865">
        <v>2500</v>
      </c>
      <c r="K11" s="865">
        <v>2500</v>
      </c>
      <c r="L11" s="865">
        <v>653.58000000000004</v>
      </c>
      <c r="M11" s="865">
        <v>2069.17</v>
      </c>
      <c r="N11" s="865">
        <v>2291.91</v>
      </c>
      <c r="O11" s="865">
        <v>2587.9299999999998</v>
      </c>
      <c r="P11" s="865">
        <v>2247.9499999999998</v>
      </c>
    </row>
    <row r="12" spans="1:12" ht="14.4">
      <c r="A12" s="865" t="s">
        <v>1694</v>
      </c>
      <c r="L12" s="865">
        <v>436.69</v>
      </c>
    </row>
    <row r="13" spans="1:16" ht="14.4">
      <c r="A13" s="865" t="s">
        <v>1693</v>
      </c>
      <c r="B13" s="865">
        <v>14853</v>
      </c>
      <c r="C13" s="865">
        <v>18077</v>
      </c>
      <c r="D13" s="865">
        <v>14853</v>
      </c>
      <c r="E13" s="865">
        <v>14414</v>
      </c>
      <c r="F13" s="865">
        <v>14256</v>
      </c>
      <c r="G13" s="865">
        <v>14279</v>
      </c>
      <c r="H13" s="865">
        <v>14258</v>
      </c>
      <c r="I13" s="865">
        <v>14552</v>
      </c>
      <c r="J13" s="865">
        <v>14839</v>
      </c>
      <c r="K13" s="865">
        <v>12776</v>
      </c>
      <c r="L13" s="865">
        <v>13203</v>
      </c>
      <c r="M13" s="865">
        <v>16870</v>
      </c>
      <c r="N13" s="865">
        <v>15296</v>
      </c>
      <c r="O13" s="865">
        <v>14807</v>
      </c>
      <c r="P13" s="865">
        <v>16164</v>
      </c>
    </row>
    <row r="14" spans="1:16" ht="14.4">
      <c r="A14" s="865" t="s">
        <v>1692</v>
      </c>
      <c r="B14" s="865">
        <v>3.93635</v>
      </c>
      <c r="C14" s="865">
        <v>6.1529150000000001</v>
      </c>
      <c r="D14" s="865">
        <v>3.93635</v>
      </c>
      <c r="E14" s="865">
        <v>3.5442800000000001</v>
      </c>
      <c r="F14" s="865">
        <v>3.3616549999999998</v>
      </c>
      <c r="G14" s="865">
        <v>3.3791699999999998</v>
      </c>
      <c r="H14" s="865">
        <v>3.361885</v>
      </c>
      <c r="I14" s="865">
        <v>4.293285</v>
      </c>
      <c r="J14" s="865">
        <v>3.7772250000000001</v>
      </c>
      <c r="K14" s="865">
        <v>2.9308350000000001</v>
      </c>
      <c r="L14" s="865">
        <v>4.7455350000000003</v>
      </c>
      <c r="M14" s="865">
        <v>1.80989</v>
      </c>
      <c r="N14" s="865">
        <v>2.6507450000000001</v>
      </c>
      <c r="O14" s="865">
        <v>1.392847</v>
      </c>
      <c r="P14" s="865">
        <v>1.4382950000000001</v>
      </c>
    </row>
    <row r="15" spans="11:12" ht="14.4">
      <c r="K15" s="865" t="s">
        <v>1740</v>
      </c>
      <c r="L15" s="865">
        <f>L13-(SUM(B6:B10)-SUM(L6:L10))</f>
        <v>12994.91</v>
      </c>
    </row>
    <row r="16" spans="11:12" ht="14.4">
      <c r="K16" s="865" t="s">
        <v>1741</v>
      </c>
      <c r="L16" s="865">
        <f>(L15/L13)*$L$14</f>
        <v>4.6707415153260623</v>
      </c>
    </row>
    <row r="17" ht="14.4"/>
    <row r="18" spans="1:12" ht="14.4">
      <c r="A18" s="865" t="s">
        <v>1717</v>
      </c>
      <c r="G18" s="865">
        <f>$D13-G13</f>
        <v>574</v>
      </c>
      <c r="H18" s="865">
        <f>$D13-H13</f>
        <v>595</v>
      </c>
      <c r="I18" s="865">
        <f>$B13-I13</f>
        <v>301</v>
      </c>
      <c r="K18" s="865">
        <f>J13-K13</f>
        <v>2063</v>
      </c>
      <c r="L18" s="865">
        <f>$B13-L15</f>
        <v>1858.09</v>
      </c>
    </row>
    <row r="19" spans="1:12" ht="14.4">
      <c r="A19" s="865" t="s">
        <v>1718</v>
      </c>
      <c r="G19" s="1042">
        <f>$D14-G14</f>
        <v>0.55718000000000023</v>
      </c>
      <c r="H19" s="1042">
        <f>$D14-H14</f>
        <v>0.574465</v>
      </c>
      <c r="I19" s="1042">
        <f>$B14-I14</f>
        <v>-0.356935</v>
      </c>
      <c r="J19" s="1042"/>
      <c r="K19" s="1042">
        <f>J14-K14</f>
        <v>0.84638999999999998</v>
      </c>
      <c r="L19" s="1042">
        <f>$B14-L16</f>
        <v>-0.73439151532606228</v>
      </c>
    </row>
    <row r="20" spans="2:16" ht="14.4">
      <c r="B20" s="865" t="s">
        <v>342</v>
      </c>
      <c r="G20" s="1042"/>
      <c r="H20" s="1042"/>
      <c r="I20" s="1042"/>
      <c r="J20" s="1042"/>
      <c r="K20" s="1042"/>
      <c r="L20" s="1042"/>
      <c r="M20" s="865" t="s">
        <v>350</v>
      </c>
      <c r="N20" s="865" t="s">
        <v>345</v>
      </c>
      <c r="O20" s="865" t="s">
        <v>337</v>
      </c>
      <c r="P20" s="865" t="s">
        <v>334</v>
      </c>
    </row>
    <row r="21" spans="2:16" ht="14.4">
      <c r="B21" s="865" t="str">
        <f>B1&amp;" kW/kWh"</f>
        <v>Gainesville Baseline kW/kWh</v>
      </c>
      <c r="I21" s="865" t="s">
        <v>1719</v>
      </c>
      <c r="K21" s="865" t="s">
        <v>1723</v>
      </c>
      <c r="L21" s="865" t="s">
        <v>1721</v>
      </c>
      <c r="M21" s="865" t="str">
        <f>M1&amp;" kW/kWh"</f>
        <v>Fort Myers Baseline kW/kWh</v>
      </c>
      <c r="N21" s="865" t="str">
        <f>N1&amp;" kW/kWh"</f>
        <v>Orlando Baseline kW/kWh</v>
      </c>
      <c r="O21" s="865" t="str">
        <f>O1&amp;" kW/kWh"</f>
        <v>Tallahassee Baseline kW/kWh</v>
      </c>
      <c r="P21" s="865" t="str">
        <f>P1&amp;" kW/kWh"</f>
        <v>Tampa Baseline kW/kWh</v>
      </c>
    </row>
    <row r="22" spans="2:16" ht="14.4">
      <c r="B22" s="865">
        <f>B14/B13</f>
        <v>0.00026502053457214033</v>
      </c>
      <c r="I22" s="865">
        <f>I19/I18</f>
        <v>-0.0011858305647840532</v>
      </c>
      <c r="K22" s="865">
        <f>K19/K18</f>
        <v>0.00041027144934561316</v>
      </c>
      <c r="L22" s="865">
        <f>L19/L18</f>
        <v>-0.00039524001276905973</v>
      </c>
      <c r="M22" s="865">
        <f>M14/M13</f>
        <v>0.00010728452874925904</v>
      </c>
      <c r="N22" s="865">
        <f>N14/N13</f>
        <v>0.00017329661349372387</v>
      </c>
      <c r="O22" s="865">
        <f>O14/O13</f>
        <v>9.4066792733166739E-05</v>
      </c>
      <c r="P22" s="865">
        <f>P14/P13</f>
        <v>8.8981378371690188E-05</v>
      </c>
    </row>
    <row r="23" ht="14.4"/>
    <row r="24" spans="2:4" ht="14.4">
      <c r="B24" s="1953" t="s">
        <v>331</v>
      </c>
      <c r="C24" s="1953" t="s">
        <v>1757</v>
      </c>
      <c r="D24" s="1953"/>
    </row>
    <row r="25" spans="2:4" ht="14.4">
      <c r="B25" s="1953"/>
      <c r="C25" s="1254" t="s">
        <v>1758</v>
      </c>
      <c r="D25" s="1035" t="s">
        <v>1759</v>
      </c>
    </row>
    <row r="26" spans="2:4" ht="14.4">
      <c r="B26" s="1085" t="s">
        <v>324</v>
      </c>
      <c r="C26" s="1255">
        <f>$C$13-$E$13</f>
        <v>3663</v>
      </c>
      <c r="D26" s="1085">
        <f>$C14-E14</f>
        <v>2.608635</v>
      </c>
    </row>
    <row r="27" spans="2:4" ht="14.4">
      <c r="B27" s="1085" t="s">
        <v>323</v>
      </c>
      <c r="C27" s="1085">
        <f>$D$13-$F$13</f>
        <v>597</v>
      </c>
      <c r="D27" s="1085">
        <f>$D$14-$F$14</f>
        <v>0.57469500000000018</v>
      </c>
    </row>
    <row r="28" spans="2:4" ht="14.4">
      <c r="B28" s="1085" t="s">
        <v>322</v>
      </c>
      <c r="C28" s="1085">
        <f>$D$13-$E$13</f>
        <v>439</v>
      </c>
      <c r="D28" s="1085">
        <f>$D$14-$E$14</f>
        <v>0.39206999999999992</v>
      </c>
    </row>
    <row r="29" spans="2:4" ht="14.4">
      <c r="B29" s="1085" t="s">
        <v>321</v>
      </c>
      <c r="C29" s="1085">
        <f>$E$13-$F$13</f>
        <v>158</v>
      </c>
      <c r="D29" s="1085">
        <f>$E$14-$F$14</f>
        <v>0.18262500000000026</v>
      </c>
    </row>
  </sheetData>
  <mergeCells count="2">
    <mergeCell ref="C24:D24"/>
    <mergeCell ref="B24:B25"/>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tabColor theme="6" tint="0.39998"/>
  </sheetPr>
  <dimension ref="A1:L60"/>
  <sheetViews>
    <sheetView zoomScale="70" zoomScaleNormal="70" workbookViewId="0" topLeftCell="A1"/>
  </sheetViews>
  <sheetFormatPr defaultColWidth="8.88888888888889" defaultRowHeight="14.4"/>
  <cols>
    <col min="1" max="1" width="32.7777777777778" bestFit="1" customWidth="1"/>
    <col min="2" max="2" width="30.2222222222222" bestFit="1" customWidth="1"/>
    <col min="3" max="3" width="39.4444444444444" bestFit="1" customWidth="1"/>
    <col min="4" max="4" width="137.222222222222" bestFit="1" customWidth="1"/>
    <col min="5" max="12" width="17.4444444444444" customWidth="1"/>
  </cols>
  <sheetData>
    <row r="1" spans="1:4" ht="14.4">
      <c r="A1" s="281" t="s">
        <v>1050</v>
      </c>
      <c r="C1" s="1784" t="s">
        <v>1637</v>
      </c>
      <c r="D1" s="1784"/>
    </row>
    <row r="2" ht="14.4"/>
    <row r="3" spans="1:11" ht="40.2" thickBot="1">
      <c r="A3" s="338" t="s">
        <v>935</v>
      </c>
      <c r="B3" s="338" t="s">
        <v>936</v>
      </c>
      <c r="C3" s="338" t="s">
        <v>937</v>
      </c>
      <c r="D3" s="338" t="s">
        <v>78</v>
      </c>
      <c r="E3" s="462" t="s">
        <v>938</v>
      </c>
      <c r="F3" s="462" t="s">
        <v>939</v>
      </c>
      <c r="G3" s="462" t="s">
        <v>940</v>
      </c>
      <c r="H3" s="462" t="s">
        <v>941</v>
      </c>
      <c r="I3" s="462" t="s">
        <v>942</v>
      </c>
      <c r="J3" s="462" t="s">
        <v>943</v>
      </c>
      <c r="K3" s="462" t="s">
        <v>106</v>
      </c>
    </row>
    <row r="4" spans="1:12" ht="14.4">
      <c r="A4" s="449" t="s">
        <v>944</v>
      </c>
      <c r="B4" s="450"/>
      <c r="C4" s="451"/>
      <c r="D4" s="79"/>
      <c r="E4" s="449"/>
      <c r="F4" s="450"/>
      <c r="G4" s="450"/>
      <c r="H4" s="450"/>
      <c r="I4" s="450"/>
      <c r="J4" s="450"/>
      <c r="K4" s="450"/>
      <c r="L4" s="451"/>
    </row>
    <row r="5" spans="1:12" ht="14.4">
      <c r="A5" s="452"/>
      <c r="B5" s="79" t="s">
        <v>945</v>
      </c>
      <c r="C5" s="453" t="s">
        <v>946</v>
      </c>
      <c r="D5" s="79" t="s">
        <v>947</v>
      </c>
      <c r="E5" s="452"/>
      <c r="F5" s="79"/>
      <c r="G5" s="79"/>
      <c r="H5" s="79"/>
      <c r="I5" s="79"/>
      <c r="J5" s="79"/>
      <c r="K5" s="79"/>
      <c r="L5" s="453"/>
    </row>
    <row r="6" spans="1:12" ht="14.4">
      <c r="A6" s="452"/>
      <c r="B6" s="79" t="s">
        <v>948</v>
      </c>
      <c r="C6" s="453" t="s">
        <v>949</v>
      </c>
      <c r="D6" s="79" t="s">
        <v>950</v>
      </c>
      <c r="E6" s="452"/>
      <c r="F6" s="79"/>
      <c r="G6" s="79"/>
      <c r="H6" s="79"/>
      <c r="I6" s="79"/>
      <c r="J6" s="79"/>
      <c r="K6" s="79"/>
      <c r="L6" s="453"/>
    </row>
    <row r="7" spans="1:12" ht="15" thickBot="1">
      <c r="A7" s="454"/>
      <c r="B7" s="378" t="s">
        <v>951</v>
      </c>
      <c r="C7" s="377" t="s">
        <v>952</v>
      </c>
      <c r="D7" s="46" t="s">
        <v>950</v>
      </c>
      <c r="E7" s="454"/>
      <c r="F7" s="378"/>
      <c r="G7" s="378"/>
      <c r="H7" s="378"/>
      <c r="I7" s="378"/>
      <c r="J7" s="378"/>
      <c r="K7" s="378"/>
      <c r="L7" s="377"/>
    </row>
    <row r="8" spans="1:12" ht="14.4">
      <c r="A8" s="449" t="s">
        <v>953</v>
      </c>
      <c r="B8" s="450"/>
      <c r="C8" s="451"/>
      <c r="D8" s="79"/>
      <c r="E8" s="452"/>
      <c r="F8" s="79"/>
      <c r="G8" s="79"/>
      <c r="H8" s="79"/>
      <c r="I8" s="79"/>
      <c r="J8" s="79"/>
      <c r="K8" s="79"/>
      <c r="L8" s="453"/>
    </row>
    <row r="9" spans="1:12" ht="28.8">
      <c r="A9" s="452"/>
      <c r="B9" s="79" t="s">
        <v>954</v>
      </c>
      <c r="C9" s="455" t="s">
        <v>955</v>
      </c>
      <c r="D9" s="456" t="s">
        <v>956</v>
      </c>
      <c r="E9" s="452"/>
      <c r="F9" s="79"/>
      <c r="G9" s="79"/>
      <c r="H9" s="79"/>
      <c r="I9" s="79"/>
      <c r="J9" s="79"/>
      <c r="K9" s="79"/>
      <c r="L9" s="453"/>
    </row>
    <row r="10" spans="1:12" ht="14.4">
      <c r="A10" s="452"/>
      <c r="B10" s="79" t="s">
        <v>957</v>
      </c>
      <c r="C10" s="453" t="s">
        <v>958</v>
      </c>
      <c r="D10" s="46" t="s">
        <v>950</v>
      </c>
      <c r="E10" s="452"/>
      <c r="F10" s="79"/>
      <c r="G10" s="79"/>
      <c r="H10" s="79"/>
      <c r="I10" s="79"/>
      <c r="J10" s="79"/>
      <c r="K10" s="79"/>
      <c r="L10" s="453"/>
    </row>
    <row r="11" spans="1:12" ht="15" thickBot="1">
      <c r="A11" s="454"/>
      <c r="B11" s="378" t="s">
        <v>959</v>
      </c>
      <c r="C11" s="377" t="s">
        <v>960</v>
      </c>
      <c r="D11" s="46" t="s">
        <v>950</v>
      </c>
      <c r="E11" s="454"/>
      <c r="F11" s="378"/>
      <c r="G11" s="378"/>
      <c r="H11" s="378"/>
      <c r="I11" s="378"/>
      <c r="J11" s="378"/>
      <c r="K11" s="378"/>
      <c r="L11" s="377"/>
    </row>
    <row r="12" spans="1:12" ht="14.4">
      <c r="A12" s="449" t="s">
        <v>961</v>
      </c>
      <c r="B12" s="450"/>
      <c r="C12" s="451"/>
      <c r="D12" s="79"/>
      <c r="E12" s="452"/>
      <c r="F12" s="79"/>
      <c r="G12" s="79"/>
      <c r="H12" s="79"/>
      <c r="I12" s="79"/>
      <c r="J12" s="79"/>
      <c r="K12" s="79"/>
      <c r="L12" s="453"/>
    </row>
    <row r="13" spans="1:12" ht="57.6">
      <c r="A13" s="452"/>
      <c r="B13" s="79" t="s">
        <v>962</v>
      </c>
      <c r="C13" s="455" t="s">
        <v>963</v>
      </c>
      <c r="D13" s="456" t="s">
        <v>964</v>
      </c>
      <c r="E13" s="463" t="s">
        <v>965</v>
      </c>
      <c r="F13" s="457" t="s">
        <v>966</v>
      </c>
      <c r="G13" s="457" t="s">
        <v>967</v>
      </c>
      <c r="H13" s="79"/>
      <c r="I13" s="79"/>
      <c r="J13" s="79"/>
      <c r="K13" s="79"/>
      <c r="L13" s="453"/>
    </row>
    <row r="14" spans="1:12" ht="14.4">
      <c r="A14" s="452"/>
      <c r="B14" s="79" t="s">
        <v>968</v>
      </c>
      <c r="C14" s="453" t="s">
        <v>969</v>
      </c>
      <c r="D14" s="46" t="s">
        <v>950</v>
      </c>
      <c r="E14" s="452"/>
      <c r="F14" s="79"/>
      <c r="G14" s="79"/>
      <c r="H14" s="79"/>
      <c r="I14" s="79"/>
      <c r="J14" s="79"/>
      <c r="K14" s="79"/>
      <c r="L14" s="453"/>
    </row>
    <row r="15" spans="1:12" ht="15" thickBot="1">
      <c r="A15" s="454"/>
      <c r="B15" s="378" t="s">
        <v>970</v>
      </c>
      <c r="C15" s="377" t="s">
        <v>971</v>
      </c>
      <c r="D15" s="46" t="s">
        <v>950</v>
      </c>
      <c r="E15" s="454"/>
      <c r="F15" s="378"/>
      <c r="G15" s="378"/>
      <c r="H15" s="378"/>
      <c r="I15" s="378"/>
      <c r="J15" s="378"/>
      <c r="K15" s="378"/>
      <c r="L15" s="377"/>
    </row>
    <row r="16" spans="1:12" ht="14.4">
      <c r="A16" s="449" t="s">
        <v>972</v>
      </c>
      <c r="B16" s="450"/>
      <c r="C16" s="451"/>
      <c r="D16" s="79"/>
      <c r="E16" s="452"/>
      <c r="F16" s="79"/>
      <c r="G16" s="79"/>
      <c r="H16" s="79"/>
      <c r="I16" s="79"/>
      <c r="J16" s="79"/>
      <c r="K16" s="79"/>
      <c r="L16" s="453"/>
    </row>
    <row r="17" spans="1:12" ht="14.4">
      <c r="A17" s="452"/>
      <c r="B17" s="79" t="s">
        <v>973</v>
      </c>
      <c r="C17" s="453" t="s">
        <v>974</v>
      </c>
      <c r="D17" s="456" t="s">
        <v>956</v>
      </c>
      <c r="E17" s="452"/>
      <c r="F17" s="79"/>
      <c r="G17" s="79"/>
      <c r="H17" s="79"/>
      <c r="I17" s="79"/>
      <c r="J17" s="79"/>
      <c r="K17" s="79"/>
      <c r="L17" s="453"/>
    </row>
    <row r="18" spans="1:12" ht="15" thickBot="1">
      <c r="A18" s="454"/>
      <c r="B18" s="378" t="s">
        <v>975</v>
      </c>
      <c r="C18" s="377" t="s">
        <v>976</v>
      </c>
      <c r="D18" s="46" t="s">
        <v>950</v>
      </c>
      <c r="E18" s="454"/>
      <c r="F18" s="378"/>
      <c r="G18" s="378"/>
      <c r="H18" s="378"/>
      <c r="I18" s="378"/>
      <c r="J18" s="378"/>
      <c r="K18" s="378"/>
      <c r="L18" s="377"/>
    </row>
    <row r="19" spans="1:12" ht="14.4">
      <c r="A19" s="449" t="s">
        <v>977</v>
      </c>
      <c r="B19" s="450"/>
      <c r="C19" s="451"/>
      <c r="D19" s="79"/>
      <c r="E19" s="452"/>
      <c r="F19" s="79"/>
      <c r="G19" s="79"/>
      <c r="H19" s="79"/>
      <c r="I19" s="79"/>
      <c r="J19" s="79"/>
      <c r="K19" s="79"/>
      <c r="L19" s="453"/>
    </row>
    <row r="20" spans="1:12" ht="14.4">
      <c r="A20" s="452"/>
      <c r="B20" s="79" t="s">
        <v>978</v>
      </c>
      <c r="C20" s="453" t="s">
        <v>979</v>
      </c>
      <c r="D20" s="46" t="s">
        <v>950</v>
      </c>
      <c r="E20" s="452"/>
      <c r="F20" s="79"/>
      <c r="G20" s="79"/>
      <c r="H20" s="79"/>
      <c r="I20" s="79"/>
      <c r="J20" s="79"/>
      <c r="K20" s="79"/>
      <c r="L20" s="453"/>
    </row>
    <row r="21" spans="1:12" ht="14.4">
      <c r="A21" s="452"/>
      <c r="B21" s="79" t="s">
        <v>980</v>
      </c>
      <c r="C21" s="453" t="s">
        <v>979</v>
      </c>
      <c r="D21" s="46" t="s">
        <v>950</v>
      </c>
      <c r="E21" s="452"/>
      <c r="F21" s="79"/>
      <c r="G21" s="79"/>
      <c r="H21" s="79"/>
      <c r="I21" s="79"/>
      <c r="J21" s="79"/>
      <c r="K21" s="79"/>
      <c r="L21" s="453"/>
    </row>
    <row r="22" spans="1:12" ht="15" thickBot="1">
      <c r="A22" s="454"/>
      <c r="B22" s="378" t="s">
        <v>981</v>
      </c>
      <c r="C22" s="377" t="s">
        <v>979</v>
      </c>
      <c r="D22" s="46" t="s">
        <v>950</v>
      </c>
      <c r="E22" s="454"/>
      <c r="F22" s="378"/>
      <c r="G22" s="378"/>
      <c r="H22" s="378"/>
      <c r="I22" s="378"/>
      <c r="J22" s="378"/>
      <c r="K22" s="378"/>
      <c r="L22" s="377"/>
    </row>
    <row r="23" spans="1:12" ht="14.4">
      <c r="A23" s="449" t="s">
        <v>982</v>
      </c>
      <c r="B23" s="450"/>
      <c r="C23" s="451"/>
      <c r="D23" s="79"/>
      <c r="E23" s="452"/>
      <c r="F23" s="79"/>
      <c r="G23" s="79"/>
      <c r="H23" s="79"/>
      <c r="I23" s="79"/>
      <c r="J23" s="79"/>
      <c r="K23" s="79"/>
      <c r="L23" s="453"/>
    </row>
    <row r="24" spans="1:12" ht="16.2">
      <c r="A24" s="452"/>
      <c r="B24" s="79" t="s">
        <v>983</v>
      </c>
      <c r="C24" s="453" t="s">
        <v>984</v>
      </c>
      <c r="D24" s="46" t="s">
        <v>985</v>
      </c>
      <c r="E24" s="452"/>
      <c r="F24" s="79"/>
      <c r="G24" s="79"/>
      <c r="H24" s="79"/>
      <c r="I24" s="79"/>
      <c r="J24" s="79"/>
      <c r="K24" s="79"/>
      <c r="L24" s="453"/>
    </row>
    <row r="25" spans="1:12" ht="57.6">
      <c r="A25" s="452"/>
      <c r="B25" s="79" t="s">
        <v>986</v>
      </c>
      <c r="C25" s="455" t="s">
        <v>987</v>
      </c>
      <c r="D25" s="456" t="s">
        <v>956</v>
      </c>
      <c r="E25" s="452"/>
      <c r="F25" s="79"/>
      <c r="G25" s="79"/>
      <c r="H25" s="79"/>
      <c r="I25" s="79"/>
      <c r="J25" s="79"/>
      <c r="K25" s="456" t="s">
        <v>988</v>
      </c>
      <c r="L25" s="453"/>
    </row>
    <row r="26" spans="1:12" ht="14.4">
      <c r="A26" s="452"/>
      <c r="B26" s="79" t="s">
        <v>989</v>
      </c>
      <c r="C26" s="453" t="s">
        <v>990</v>
      </c>
      <c r="D26" s="46" t="s">
        <v>950</v>
      </c>
      <c r="E26" s="452"/>
      <c r="F26" s="79"/>
      <c r="G26" s="79"/>
      <c r="H26" s="79"/>
      <c r="I26" s="79"/>
      <c r="J26" s="79"/>
      <c r="K26" s="79"/>
      <c r="L26" s="453"/>
    </row>
    <row r="27" spans="1:12" ht="14.4">
      <c r="A27" s="452"/>
      <c r="B27" s="79" t="s">
        <v>991</v>
      </c>
      <c r="C27" s="453" t="s">
        <v>992</v>
      </c>
      <c r="D27" s="46" t="s">
        <v>950</v>
      </c>
      <c r="E27" s="452"/>
      <c r="F27" s="79"/>
      <c r="G27" s="79"/>
      <c r="H27" s="79"/>
      <c r="I27" s="79"/>
      <c r="J27" s="79"/>
      <c r="K27" s="79"/>
      <c r="L27" s="453"/>
    </row>
    <row r="28" spans="1:12" ht="14.4">
      <c r="A28" s="452"/>
      <c r="B28" s="79" t="s">
        <v>993</v>
      </c>
      <c r="C28" s="453" t="s">
        <v>994</v>
      </c>
      <c r="D28" s="456" t="s">
        <v>956</v>
      </c>
      <c r="E28" s="452"/>
      <c r="F28" s="79"/>
      <c r="G28" s="79"/>
      <c r="H28" s="79"/>
      <c r="I28" s="79"/>
      <c r="J28" s="79"/>
      <c r="K28" s="79"/>
      <c r="L28" s="453"/>
    </row>
    <row r="29" spans="1:12" ht="14.4">
      <c r="A29" s="452"/>
      <c r="B29" s="79" t="s">
        <v>995</v>
      </c>
      <c r="C29" s="453" t="s">
        <v>996</v>
      </c>
      <c r="D29" s="46" t="s">
        <v>950</v>
      </c>
      <c r="E29" s="452"/>
      <c r="F29" s="79"/>
      <c r="G29" s="79"/>
      <c r="H29" s="79"/>
      <c r="I29" s="79"/>
      <c r="J29" s="79"/>
      <c r="K29" s="79"/>
      <c r="L29" s="453"/>
    </row>
    <row r="30" spans="1:12" ht="15" thickBot="1">
      <c r="A30" s="454"/>
      <c r="B30" s="378" t="s">
        <v>997</v>
      </c>
      <c r="C30" s="377" t="s">
        <v>971</v>
      </c>
      <c r="D30" s="46" t="s">
        <v>950</v>
      </c>
      <c r="E30" s="454"/>
      <c r="F30" s="378"/>
      <c r="G30" s="378"/>
      <c r="H30" s="378"/>
      <c r="I30" s="378"/>
      <c r="J30" s="378"/>
      <c r="K30" s="378"/>
      <c r="L30" s="377"/>
    </row>
    <row r="31" spans="1:12" ht="14.4">
      <c r="A31" s="449" t="s">
        <v>998</v>
      </c>
      <c r="B31" s="450"/>
      <c r="C31" s="451"/>
      <c r="D31" s="79"/>
      <c r="E31" s="452"/>
      <c r="F31" s="79"/>
      <c r="G31" s="79"/>
      <c r="H31" s="79"/>
      <c r="I31" s="79"/>
      <c r="J31" s="79"/>
      <c r="K31" s="79"/>
      <c r="L31" s="453"/>
    </row>
    <row r="32" spans="1:12" ht="14.4">
      <c r="A32" s="452"/>
      <c r="B32" s="79" t="s">
        <v>999</v>
      </c>
      <c r="C32" s="453" t="s">
        <v>1000</v>
      </c>
      <c r="D32" s="456" t="s">
        <v>956</v>
      </c>
      <c r="E32" s="452"/>
      <c r="F32" s="79"/>
      <c r="G32" s="79"/>
      <c r="H32" s="79"/>
      <c r="I32" s="79"/>
      <c r="J32" s="79"/>
      <c r="K32" s="79"/>
      <c r="L32" s="453"/>
    </row>
    <row r="33" spans="1:12" ht="14.4">
      <c r="A33" s="452"/>
      <c r="B33" s="79" t="s">
        <v>1001</v>
      </c>
      <c r="C33" s="453" t="s">
        <v>971</v>
      </c>
      <c r="D33" s="46" t="s">
        <v>950</v>
      </c>
      <c r="E33" s="452"/>
      <c r="F33" s="79"/>
      <c r="G33" s="79"/>
      <c r="H33" s="79"/>
      <c r="I33" s="79"/>
      <c r="J33" s="79"/>
      <c r="K33" s="79"/>
      <c r="L33" s="453"/>
    </row>
    <row r="34" spans="1:12" ht="15" thickBot="1">
      <c r="A34" s="454"/>
      <c r="B34" s="378" t="s">
        <v>1002</v>
      </c>
      <c r="C34" s="377" t="s">
        <v>1003</v>
      </c>
      <c r="D34" s="46" t="s">
        <v>950</v>
      </c>
      <c r="E34" s="454"/>
      <c r="F34" s="378"/>
      <c r="G34" s="378"/>
      <c r="H34" s="378"/>
      <c r="I34" s="378"/>
      <c r="J34" s="378"/>
      <c r="K34" s="378"/>
      <c r="L34" s="377"/>
    </row>
    <row r="35" spans="1:12" ht="14.4">
      <c r="A35" s="449" t="s">
        <v>1004</v>
      </c>
      <c r="B35" s="450"/>
      <c r="C35" s="451"/>
      <c r="D35" s="79"/>
      <c r="E35" s="452"/>
      <c r="F35" s="79"/>
      <c r="G35" s="79"/>
      <c r="H35" s="79"/>
      <c r="I35" s="79"/>
      <c r="J35" s="79"/>
      <c r="K35" s="79"/>
      <c r="L35" s="453"/>
    </row>
    <row r="36" spans="1:12" ht="57.6">
      <c r="A36" s="452"/>
      <c r="B36" s="79" t="s">
        <v>1005</v>
      </c>
      <c r="C36" s="453" t="s">
        <v>1006</v>
      </c>
      <c r="D36" s="457" t="s">
        <v>1007</v>
      </c>
      <c r="E36" s="452"/>
      <c r="F36" s="79"/>
      <c r="G36" s="79"/>
      <c r="H36" s="458" t="s">
        <v>941</v>
      </c>
      <c r="I36" s="459"/>
      <c r="J36" s="79"/>
      <c r="K36" s="79"/>
      <c r="L36" s="453"/>
    </row>
    <row r="37" spans="1:12" ht="14.4">
      <c r="A37" s="452"/>
      <c r="B37" s="79" t="s">
        <v>1008</v>
      </c>
      <c r="C37" s="453" t="s">
        <v>1009</v>
      </c>
      <c r="D37" s="456" t="s">
        <v>956</v>
      </c>
      <c r="E37" s="452"/>
      <c r="F37" s="79"/>
      <c r="G37" s="79"/>
      <c r="H37" s="79"/>
      <c r="I37" s="79"/>
      <c r="J37" s="79"/>
      <c r="K37" s="79"/>
      <c r="L37" s="453"/>
    </row>
    <row r="38" spans="1:12" ht="14.4">
      <c r="A38" s="452"/>
      <c r="B38" s="79" t="s">
        <v>1010</v>
      </c>
      <c r="C38" s="453" t="s">
        <v>1011</v>
      </c>
      <c r="D38" s="46" t="s">
        <v>950</v>
      </c>
      <c r="E38" s="452"/>
      <c r="F38" s="79"/>
      <c r="G38" s="79"/>
      <c r="H38" s="79"/>
      <c r="I38" s="79"/>
      <c r="J38" s="79"/>
      <c r="K38" s="79"/>
      <c r="L38" s="453"/>
    </row>
    <row r="39" spans="1:12" ht="15" thickBot="1">
      <c r="A39" s="454"/>
      <c r="B39" s="378" t="s">
        <v>1012</v>
      </c>
      <c r="C39" s="377" t="s">
        <v>971</v>
      </c>
      <c r="D39" s="79" t="s">
        <v>950</v>
      </c>
      <c r="E39" s="454"/>
      <c r="F39" s="378"/>
      <c r="G39" s="378"/>
      <c r="H39" s="378"/>
      <c r="I39" s="378"/>
      <c r="J39" s="378"/>
      <c r="K39" s="378"/>
      <c r="L39" s="377"/>
    </row>
    <row r="40" spans="1:12" ht="28.8">
      <c r="A40" s="460" t="s">
        <v>1013</v>
      </c>
      <c r="B40" s="450"/>
      <c r="C40" s="451"/>
      <c r="D40" s="79"/>
      <c r="E40" s="452"/>
      <c r="F40" s="79"/>
      <c r="G40" s="79"/>
      <c r="H40" s="79"/>
      <c r="I40" s="79"/>
      <c r="J40" s="79"/>
      <c r="K40" s="79"/>
      <c r="L40" s="453"/>
    </row>
    <row r="41" spans="1:12" ht="14.4">
      <c r="A41" s="452"/>
      <c r="B41" s="79" t="s">
        <v>1014</v>
      </c>
      <c r="C41" s="453" t="s">
        <v>1015</v>
      </c>
      <c r="D41" s="79" t="s">
        <v>950</v>
      </c>
      <c r="E41" s="452"/>
      <c r="F41" s="79"/>
      <c r="G41" s="79"/>
      <c r="H41" s="79"/>
      <c r="I41" s="79"/>
      <c r="J41" s="79"/>
      <c r="K41" s="79"/>
      <c r="L41" s="453"/>
    </row>
    <row r="42" spans="1:12" ht="14.4">
      <c r="A42" s="452"/>
      <c r="B42" s="79" t="s">
        <v>1016</v>
      </c>
      <c r="C42" s="453" t="s">
        <v>1017</v>
      </c>
      <c r="D42" s="79" t="s">
        <v>950</v>
      </c>
      <c r="E42" s="452"/>
      <c r="F42" s="79"/>
      <c r="G42" s="79"/>
      <c r="H42" s="79"/>
      <c r="I42" s="79"/>
      <c r="J42" s="79"/>
      <c r="K42" s="79"/>
      <c r="L42" s="453"/>
    </row>
    <row r="43" spans="1:12" ht="15" thickBot="1">
      <c r="A43" s="454"/>
      <c r="B43" s="378" t="s">
        <v>1018</v>
      </c>
      <c r="C43" s="377" t="s">
        <v>971</v>
      </c>
      <c r="D43" s="79" t="s">
        <v>950</v>
      </c>
      <c r="E43" s="454"/>
      <c r="F43" s="378"/>
      <c r="G43" s="378"/>
      <c r="H43" s="378"/>
      <c r="I43" s="378"/>
      <c r="J43" s="378"/>
      <c r="K43" s="378"/>
      <c r="L43" s="377"/>
    </row>
    <row r="44" spans="1:12" ht="14.4">
      <c r="A44" s="449" t="s">
        <v>671</v>
      </c>
      <c r="B44" s="450"/>
      <c r="C44" s="451"/>
      <c r="D44" s="79"/>
      <c r="E44" s="452"/>
      <c r="F44" s="79"/>
      <c r="G44" s="79"/>
      <c r="H44" s="79"/>
      <c r="I44" s="79"/>
      <c r="J44" s="79"/>
      <c r="K44" s="79"/>
      <c r="L44" s="453"/>
    </row>
    <row r="45" spans="1:12" ht="43.2">
      <c r="A45" s="452"/>
      <c r="B45" s="79" t="s">
        <v>1019</v>
      </c>
      <c r="C45" s="453" t="s">
        <v>1020</v>
      </c>
      <c r="D45" s="461" t="s">
        <v>1021</v>
      </c>
      <c r="E45" s="452"/>
      <c r="F45" s="79"/>
      <c r="G45" s="79"/>
      <c r="H45" s="79"/>
      <c r="I45" s="456" t="s">
        <v>1022</v>
      </c>
      <c r="J45" s="79"/>
      <c r="K45" s="79"/>
      <c r="L45" s="453"/>
    </row>
    <row r="46" spans="1:12" ht="14.4">
      <c r="A46" s="452"/>
      <c r="B46" s="79" t="s">
        <v>1023</v>
      </c>
      <c r="C46" s="453" t="s">
        <v>1024</v>
      </c>
      <c r="D46" s="461" t="s">
        <v>1021</v>
      </c>
      <c r="E46" s="452"/>
      <c r="F46" s="79"/>
      <c r="G46" s="79"/>
      <c r="H46" s="79"/>
      <c r="I46" s="456"/>
      <c r="J46" s="79"/>
      <c r="K46" s="79"/>
      <c r="L46" s="453"/>
    </row>
    <row r="47" spans="1:12" ht="14.4">
      <c r="A47" s="452"/>
      <c r="B47" s="79" t="s">
        <v>1025</v>
      </c>
      <c r="C47" s="453" t="s">
        <v>1026</v>
      </c>
      <c r="D47" s="46" t="s">
        <v>950</v>
      </c>
      <c r="E47" s="452"/>
      <c r="F47" s="79"/>
      <c r="G47" s="79"/>
      <c r="H47" s="79"/>
      <c r="I47" s="79"/>
      <c r="J47" s="79"/>
      <c r="K47" s="79"/>
      <c r="L47" s="453"/>
    </row>
    <row r="48" spans="1:12" ht="14.4">
      <c r="A48" s="452"/>
      <c r="B48" s="79" t="s">
        <v>1027</v>
      </c>
      <c r="C48" s="453" t="s">
        <v>971</v>
      </c>
      <c r="D48" s="79"/>
      <c r="E48" s="452"/>
      <c r="F48" s="79"/>
      <c r="G48" s="79"/>
      <c r="H48" s="79"/>
      <c r="I48" s="79"/>
      <c r="J48" s="79" t="s">
        <v>1028</v>
      </c>
      <c r="K48" s="79"/>
      <c r="L48" s="453"/>
    </row>
    <row r="49" spans="1:12" ht="28.8">
      <c r="A49" s="452"/>
      <c r="B49" s="456" t="s">
        <v>1029</v>
      </c>
      <c r="C49" s="453" t="s">
        <v>200</v>
      </c>
      <c r="D49" s="79"/>
      <c r="E49" s="452"/>
      <c r="F49" s="79"/>
      <c r="G49" s="79"/>
      <c r="H49" s="79"/>
      <c r="I49" s="79"/>
      <c r="J49" s="79" t="s">
        <v>1030</v>
      </c>
      <c r="K49" s="79"/>
      <c r="L49" s="453"/>
    </row>
    <row r="50" spans="1:12" ht="15" thickBot="1">
      <c r="A50" s="454"/>
      <c r="B50" s="378" t="s">
        <v>1031</v>
      </c>
      <c r="C50" s="377" t="s">
        <v>200</v>
      </c>
      <c r="D50" s="79"/>
      <c r="E50" s="454"/>
      <c r="F50" s="378"/>
      <c r="G50" s="378"/>
      <c r="H50" s="378"/>
      <c r="I50" s="378"/>
      <c r="J50" s="378" t="s">
        <v>1032</v>
      </c>
      <c r="K50" s="378"/>
      <c r="L50" s="377"/>
    </row>
    <row r="51" spans="1:12" ht="14.4">
      <c r="A51" s="449" t="s">
        <v>1033</v>
      </c>
      <c r="B51" s="450"/>
      <c r="C51" s="451"/>
      <c r="D51" s="79"/>
      <c r="E51" s="452"/>
      <c r="F51" s="79"/>
      <c r="G51" s="79"/>
      <c r="H51" s="79"/>
      <c r="I51" s="79"/>
      <c r="J51" s="79"/>
      <c r="K51" s="79"/>
      <c r="L51" s="453"/>
    </row>
    <row r="52" spans="1:12" ht="15" thickBot="1">
      <c r="A52" s="452"/>
      <c r="B52" s="79" t="s">
        <v>1033</v>
      </c>
      <c r="C52" s="453" t="s">
        <v>1034</v>
      </c>
      <c r="D52" s="79" t="s">
        <v>950</v>
      </c>
      <c r="E52" s="454"/>
      <c r="F52" s="378"/>
      <c r="G52" s="378"/>
      <c r="H52" s="378"/>
      <c r="I52" s="378"/>
      <c r="J52" s="378"/>
      <c r="K52" s="378"/>
      <c r="L52" s="377"/>
    </row>
    <row r="53" spans="1:12" ht="14.4">
      <c r="A53" s="449" t="s">
        <v>1035</v>
      </c>
      <c r="B53" s="450"/>
      <c r="C53" s="451"/>
      <c r="D53" s="79"/>
      <c r="E53" s="452"/>
      <c r="F53" s="79"/>
      <c r="G53" s="79"/>
      <c r="H53" s="79"/>
      <c r="I53" s="79"/>
      <c r="J53" s="79"/>
      <c r="K53" s="79"/>
      <c r="L53" s="453"/>
    </row>
    <row r="54" spans="1:12" ht="14.4">
      <c r="A54" s="452"/>
      <c r="B54" s="46" t="s">
        <v>1036</v>
      </c>
      <c r="C54" s="453" t="s">
        <v>1037</v>
      </c>
      <c r="D54" s="456" t="s">
        <v>956</v>
      </c>
      <c r="E54" s="452"/>
      <c r="F54" s="79"/>
      <c r="G54" s="79"/>
      <c r="H54" s="79"/>
      <c r="I54" s="79"/>
      <c r="J54" s="79"/>
      <c r="K54" s="79"/>
      <c r="L54" s="453"/>
    </row>
    <row r="55" spans="1:12" ht="14.4">
      <c r="A55" s="452"/>
      <c r="B55" s="79" t="s">
        <v>1038</v>
      </c>
      <c r="C55" s="453" t="s">
        <v>1039</v>
      </c>
      <c r="D55" s="79" t="s">
        <v>950</v>
      </c>
      <c r="E55" s="452"/>
      <c r="F55" s="79"/>
      <c r="G55" s="79"/>
      <c r="H55" s="79"/>
      <c r="I55" s="79"/>
      <c r="J55" s="79"/>
      <c r="K55" s="79"/>
      <c r="L55" s="453"/>
    </row>
    <row r="56" spans="1:12" ht="14.4">
      <c r="A56" s="452"/>
      <c r="B56" s="79" t="s">
        <v>1040</v>
      </c>
      <c r="C56" s="453" t="s">
        <v>1041</v>
      </c>
      <c r="D56" s="79" t="s">
        <v>950</v>
      </c>
      <c r="E56" s="452"/>
      <c r="F56" s="79"/>
      <c r="G56" s="79"/>
      <c r="H56" s="79"/>
      <c r="I56" s="79"/>
      <c r="J56" s="79"/>
      <c r="K56" s="79"/>
      <c r="L56" s="453"/>
    </row>
    <row r="57" spans="1:12" ht="14.4">
      <c r="A57" s="452"/>
      <c r="B57" s="79" t="s">
        <v>1042</v>
      </c>
      <c r="C57" s="453" t="s">
        <v>1043</v>
      </c>
      <c r="D57" s="79" t="s">
        <v>950</v>
      </c>
      <c r="E57" s="452"/>
      <c r="F57" s="79"/>
      <c r="G57" s="79"/>
      <c r="H57" s="79"/>
      <c r="I57" s="79"/>
      <c r="J57" s="79"/>
      <c r="K57" s="79"/>
      <c r="L57" s="453"/>
    </row>
    <row r="58" spans="1:12" ht="14.4">
      <c r="A58" s="452"/>
      <c r="B58" s="79" t="s">
        <v>1044</v>
      </c>
      <c r="C58" s="453" t="s">
        <v>1045</v>
      </c>
      <c r="D58" s="79" t="s">
        <v>950</v>
      </c>
      <c r="E58" s="452"/>
      <c r="F58" s="79"/>
      <c r="G58" s="79"/>
      <c r="H58" s="79"/>
      <c r="I58" s="79"/>
      <c r="J58" s="79"/>
      <c r="K58" s="79"/>
      <c r="L58" s="453"/>
    </row>
    <row r="59" spans="1:12" ht="14.4">
      <c r="A59" s="452"/>
      <c r="B59" s="79" t="s">
        <v>1046</v>
      </c>
      <c r="C59" s="453" t="s">
        <v>1047</v>
      </c>
      <c r="D59" s="79" t="s">
        <v>950</v>
      </c>
      <c r="E59" s="452"/>
      <c r="F59" s="79"/>
      <c r="G59" s="79"/>
      <c r="H59" s="79"/>
      <c r="I59" s="79"/>
      <c r="J59" s="79"/>
      <c r="K59" s="79"/>
      <c r="L59" s="453"/>
    </row>
    <row r="60" spans="1:12" ht="15" thickBot="1">
      <c r="A60" s="454"/>
      <c r="B60" s="378" t="s">
        <v>1048</v>
      </c>
      <c r="C60" s="377" t="s">
        <v>1049</v>
      </c>
      <c r="D60" s="79" t="s">
        <v>950</v>
      </c>
      <c r="E60" s="454"/>
      <c r="F60" s="378"/>
      <c r="G60" s="378"/>
      <c r="H60" s="378"/>
      <c r="I60" s="378"/>
      <c r="J60" s="378"/>
      <c r="K60" s="378"/>
      <c r="L60" s="377"/>
    </row>
  </sheetData>
  <mergeCells count="1">
    <mergeCell ref="C1:D1"/>
  </mergeCells>
  <pageMargins left="0.7" right="0.7" top="0.75" bottom="0.75" header="0.3" footer="0.3"/>
  <pageSetup orientation="portrait"/>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7" tint="0.39998"/>
  </sheetPr>
  <dimension ref="B1:F51"/>
  <sheetViews>
    <sheetView zoomScale="70" zoomScaleNormal="70" workbookViewId="0" topLeftCell="A1">
      <selection pane="topLeft" activeCell="A1" sqref="A1"/>
    </sheetView>
  </sheetViews>
  <sheetFormatPr defaultColWidth="8.88888888888889" defaultRowHeight="14.4"/>
  <cols>
    <col min="2" max="6" width="8.88888888888889" customWidth="1"/>
  </cols>
  <sheetData>
    <row r="1" spans="2:6" ht="14.4">
      <c r="B1" s="1784" t="s">
        <v>1637</v>
      </c>
      <c r="C1" s="1784"/>
      <c r="D1" s="1761"/>
      <c r="E1" s="1761"/>
      <c r="F1" s="1761"/>
    </row>
    <row r="2" ht="14.4">
      <c r="B2" s="481" t="s">
        <v>1117</v>
      </c>
    </row>
    <row r="3" ht="14.4">
      <c r="B3" t="s">
        <v>1114</v>
      </c>
    </row>
    <row r="4" ht="14.4"/>
    <row r="5" spans="2:4" ht="14.4">
      <c r="B5" s="482"/>
      <c r="C5" s="482"/>
      <c r="D5" s="482"/>
    </row>
    <row r="6" spans="2:5" ht="14.4">
      <c r="B6" s="497" t="s">
        <v>784</v>
      </c>
      <c r="C6" s="281" t="s">
        <v>1115</v>
      </c>
      <c r="D6" s="281" t="s">
        <v>1119</v>
      </c>
      <c r="E6" s="281" t="s">
        <v>1118</v>
      </c>
    </row>
    <row r="7" spans="2:5" ht="14.4">
      <c r="B7">
        <v>2014</v>
      </c>
      <c r="C7">
        <v>81.510000000000005</v>
      </c>
      <c r="D7" s="483" t="s">
        <v>1452</v>
      </c>
      <c r="E7">
        <f>C7*10^-3</f>
        <v>0.081510000000000013</v>
      </c>
    </row>
    <row r="8" spans="2:5" ht="14.4">
      <c r="B8">
        <v>2015</v>
      </c>
      <c r="C8">
        <v>79.13986337745925</v>
      </c>
      <c r="D8" s="484" t="s">
        <v>1116</v>
      </c>
      <c r="E8">
        <f t="shared" si="0" ref="E8:E51">C8*10^-3</f>
        <v>0.079139863377459249</v>
      </c>
    </row>
    <row r="9" spans="2:5" ht="14.4">
      <c r="B9">
        <v>2016</v>
      </c>
      <c r="C9">
        <v>79.849985998594221</v>
      </c>
      <c r="D9" s="484" t="s">
        <v>1116</v>
      </c>
      <c r="E9">
        <f t="shared" si="0"/>
        <v>0.07984998599859422</v>
      </c>
    </row>
    <row r="10" spans="2:5" ht="14.4">
      <c r="B10">
        <v>2017</v>
      </c>
      <c r="C10">
        <v>77.169980201939353</v>
      </c>
      <c r="D10" s="484" t="s">
        <v>1116</v>
      </c>
      <c r="E10">
        <f t="shared" si="0"/>
        <v>0.077169980201939353</v>
      </c>
    </row>
    <row r="11" spans="2:5" ht="14.4">
      <c r="B11">
        <v>2018</v>
      </c>
      <c r="C11">
        <v>78.010208260320368</v>
      </c>
      <c r="D11" s="484" t="s">
        <v>1116</v>
      </c>
      <c r="E11">
        <f t="shared" si="0"/>
        <v>0.078010208260320374</v>
      </c>
    </row>
    <row r="12" spans="2:5" ht="14.4">
      <c r="B12">
        <v>2019</v>
      </c>
      <c r="C12">
        <v>78.364909391876779</v>
      </c>
      <c r="D12" s="484" t="s">
        <v>1116</v>
      </c>
      <c r="E12">
        <f t="shared" si="0"/>
        <v>0.078364909391876778</v>
      </c>
    </row>
    <row r="13" spans="2:5" ht="14.4">
      <c r="B13">
        <v>2020</v>
      </c>
      <c r="C13">
        <v>79.712110630147947</v>
      </c>
      <c r="D13" s="484" t="s">
        <v>1116</v>
      </c>
      <c r="E13">
        <f t="shared" si="0"/>
        <v>0.07971211063014795</v>
      </c>
    </row>
    <row r="14" spans="2:5" ht="14.4">
      <c r="B14">
        <v>2021</v>
      </c>
      <c r="C14">
        <v>80.927240896824259</v>
      </c>
      <c r="D14" s="484" t="s">
        <v>1116</v>
      </c>
      <c r="E14">
        <f t="shared" si="0"/>
        <v>0.080927240896824265</v>
      </c>
    </row>
    <row r="15" spans="2:5" ht="14.4">
      <c r="B15">
        <v>2022</v>
      </c>
      <c r="C15">
        <v>84.503820911886393</v>
      </c>
      <c r="D15" s="484" t="s">
        <v>1116</v>
      </c>
      <c r="E15">
        <f t="shared" si="0"/>
        <v>0.084503820911886393</v>
      </c>
    </row>
    <row r="16" spans="2:5" ht="14.4">
      <c r="B16">
        <v>2023</v>
      </c>
      <c r="C16">
        <v>84.391902913180303</v>
      </c>
      <c r="D16" s="484" t="s">
        <v>1116</v>
      </c>
      <c r="E16">
        <f t="shared" si="0"/>
        <v>0.0843919029131803</v>
      </c>
    </row>
    <row r="17" spans="2:5" ht="14.4">
      <c r="B17">
        <v>2024</v>
      </c>
      <c r="C17">
        <v>85.563660570568047</v>
      </c>
      <c r="D17" s="484" t="s">
        <v>1116</v>
      </c>
      <c r="E17">
        <f t="shared" si="0"/>
        <v>0.085563660570568051</v>
      </c>
    </row>
    <row r="18" spans="2:5" ht="14.4">
      <c r="B18">
        <v>2025</v>
      </c>
      <c r="C18">
        <v>87.484340049154554</v>
      </c>
      <c r="D18" s="484" t="s">
        <v>1116</v>
      </c>
      <c r="E18">
        <f t="shared" si="0"/>
        <v>0.087484340049154549</v>
      </c>
    </row>
    <row r="19" spans="2:5" ht="14.4">
      <c r="B19">
        <v>2026</v>
      </c>
      <c r="C19">
        <v>87.426269428569711</v>
      </c>
      <c r="D19" s="484" t="s">
        <v>1116</v>
      </c>
      <c r="E19">
        <f t="shared" si="0"/>
        <v>0.087426269428569708</v>
      </c>
    </row>
    <row r="20" spans="2:5" ht="14.4">
      <c r="B20">
        <v>2027</v>
      </c>
      <c r="C20">
        <v>88.997882658517625</v>
      </c>
      <c r="D20" s="484" t="s">
        <v>1116</v>
      </c>
      <c r="E20">
        <f t="shared" si="0"/>
        <v>0.08899788265851763</v>
      </c>
    </row>
    <row r="21" spans="2:5" ht="14.4">
      <c r="B21">
        <v>2028</v>
      </c>
      <c r="C21">
        <v>90.478494997827283</v>
      </c>
      <c r="D21" s="484" t="s">
        <v>1116</v>
      </c>
      <c r="E21">
        <f t="shared" si="0"/>
        <v>0.090478494997827286</v>
      </c>
    </row>
    <row r="22" spans="2:5" ht="14.4">
      <c r="B22">
        <v>2029</v>
      </c>
      <c r="C22">
        <v>91.203548616928757</v>
      </c>
      <c r="D22" s="484" t="s">
        <v>1116</v>
      </c>
      <c r="E22">
        <f t="shared" si="0"/>
        <v>0.091203548616928753</v>
      </c>
    </row>
    <row r="23" spans="2:5" ht="14.4">
      <c r="B23">
        <v>2030</v>
      </c>
      <c r="C23">
        <v>92.653977510583204</v>
      </c>
      <c r="D23" s="484" t="s">
        <v>1116</v>
      </c>
      <c r="E23">
        <f t="shared" si="0"/>
        <v>0.092653977510583199</v>
      </c>
    </row>
    <row r="24" spans="2:5" ht="14.4">
      <c r="B24">
        <v>2031</v>
      </c>
      <c r="C24">
        <v>94.883987619858431</v>
      </c>
      <c r="D24" s="484" t="s">
        <v>1116</v>
      </c>
      <c r="E24">
        <f t="shared" si="0"/>
        <v>0.094883987619858431</v>
      </c>
    </row>
    <row r="25" spans="2:5" ht="14.4">
      <c r="B25">
        <v>2032</v>
      </c>
      <c r="C25">
        <v>96.060918179719181</v>
      </c>
      <c r="D25" s="484" t="s">
        <v>1116</v>
      </c>
      <c r="E25">
        <f t="shared" si="0"/>
        <v>0.096060918179719179</v>
      </c>
    </row>
    <row r="26" spans="2:5" ht="14.4">
      <c r="B26">
        <v>2033</v>
      </c>
      <c r="C26">
        <v>101.16371213711793</v>
      </c>
      <c r="D26" s="484" t="s">
        <v>1116</v>
      </c>
      <c r="E26">
        <f t="shared" si="0"/>
        <v>0.10116371213711793</v>
      </c>
    </row>
    <row r="27" spans="2:5" ht="14.4">
      <c r="B27">
        <v>2034</v>
      </c>
      <c r="C27">
        <v>103.82214859847895</v>
      </c>
      <c r="D27" s="484" t="s">
        <v>1116</v>
      </c>
      <c r="E27">
        <f t="shared" si="0"/>
        <v>0.10382214859847895</v>
      </c>
    </row>
    <row r="28" spans="2:5" ht="14.4">
      <c r="B28">
        <v>2035</v>
      </c>
      <c r="C28">
        <v>103.59762268827117</v>
      </c>
      <c r="D28" s="484" t="s">
        <v>1116</v>
      </c>
      <c r="E28">
        <f t="shared" si="0"/>
        <v>0.10359762268827118</v>
      </c>
    </row>
    <row r="29" spans="2:5" ht="14.4">
      <c r="B29">
        <v>2036</v>
      </c>
      <c r="C29">
        <v>104.87263944833202</v>
      </c>
      <c r="D29" s="484" t="s">
        <v>1116</v>
      </c>
      <c r="E29">
        <f t="shared" si="0"/>
        <v>0.10487263944833203</v>
      </c>
    </row>
    <row r="30" spans="2:5" ht="14.4">
      <c r="B30">
        <v>2037</v>
      </c>
      <c r="C30">
        <v>104.87263944833202</v>
      </c>
      <c r="D30" s="484" t="s">
        <v>1116</v>
      </c>
      <c r="E30">
        <f t="shared" si="0"/>
        <v>0.10487263944833203</v>
      </c>
    </row>
    <row r="31" spans="2:5" ht="14.4">
      <c r="B31">
        <v>2038</v>
      </c>
      <c r="C31">
        <v>104.87263944833202</v>
      </c>
      <c r="D31" s="484" t="s">
        <v>1116</v>
      </c>
      <c r="E31">
        <f t="shared" si="0"/>
        <v>0.10487263944833203</v>
      </c>
    </row>
    <row r="32" spans="2:5" ht="14.4">
      <c r="B32">
        <v>2039</v>
      </c>
      <c r="C32">
        <v>104.87263944833202</v>
      </c>
      <c r="D32" s="484" t="s">
        <v>1116</v>
      </c>
      <c r="E32">
        <f t="shared" si="0"/>
        <v>0.10487263944833203</v>
      </c>
    </row>
    <row r="33" spans="2:5" ht="14.4">
      <c r="B33">
        <v>2040</v>
      </c>
      <c r="C33">
        <v>104.87263944833202</v>
      </c>
      <c r="D33" s="484" t="s">
        <v>1116</v>
      </c>
      <c r="E33">
        <f t="shared" si="0"/>
        <v>0.10487263944833203</v>
      </c>
    </row>
    <row r="34" spans="2:5" ht="14.4">
      <c r="B34">
        <v>2041</v>
      </c>
      <c r="C34">
        <v>104.87263944833202</v>
      </c>
      <c r="D34" s="484" t="s">
        <v>1116</v>
      </c>
      <c r="E34">
        <f t="shared" si="0"/>
        <v>0.10487263944833203</v>
      </c>
    </row>
    <row r="35" spans="2:5" ht="14.4">
      <c r="B35">
        <v>2042</v>
      </c>
      <c r="C35">
        <v>104.87263944833202</v>
      </c>
      <c r="D35" s="484" t="s">
        <v>1116</v>
      </c>
      <c r="E35">
        <f t="shared" si="0"/>
        <v>0.10487263944833203</v>
      </c>
    </row>
    <row r="36" spans="2:5" ht="14.4">
      <c r="B36">
        <v>2043</v>
      </c>
      <c r="C36">
        <v>104.87263944833202</v>
      </c>
      <c r="D36" s="484" t="s">
        <v>1116</v>
      </c>
      <c r="E36">
        <f t="shared" si="0"/>
        <v>0.10487263944833203</v>
      </c>
    </row>
    <row r="37" spans="2:5" ht="14.4">
      <c r="B37">
        <v>2044</v>
      </c>
      <c r="C37">
        <v>104.87263944833202</v>
      </c>
      <c r="D37" s="484" t="s">
        <v>1116</v>
      </c>
      <c r="E37">
        <f t="shared" si="0"/>
        <v>0.10487263944833203</v>
      </c>
    </row>
    <row r="38" spans="2:5" ht="14.4">
      <c r="B38">
        <v>2045</v>
      </c>
      <c r="C38">
        <v>104.87263944833202</v>
      </c>
      <c r="D38" s="484" t="s">
        <v>1116</v>
      </c>
      <c r="E38">
        <f t="shared" si="0"/>
        <v>0.10487263944833203</v>
      </c>
    </row>
    <row r="39" spans="2:5" ht="14.4">
      <c r="B39">
        <v>2046</v>
      </c>
      <c r="C39">
        <v>104.87263944833202</v>
      </c>
      <c r="D39" s="484" t="s">
        <v>1116</v>
      </c>
      <c r="E39">
        <f t="shared" si="0"/>
        <v>0.10487263944833203</v>
      </c>
    </row>
    <row r="40" spans="2:5" ht="14.4">
      <c r="B40">
        <v>2047</v>
      </c>
      <c r="C40">
        <v>104.87263944833202</v>
      </c>
      <c r="D40" s="484" t="s">
        <v>1116</v>
      </c>
      <c r="E40">
        <f t="shared" si="0"/>
        <v>0.10487263944833203</v>
      </c>
    </row>
    <row r="41" spans="2:5" ht="14.4">
      <c r="B41">
        <v>2048</v>
      </c>
      <c r="C41">
        <v>104.87263944833202</v>
      </c>
      <c r="D41" s="484" t="s">
        <v>1116</v>
      </c>
      <c r="E41">
        <f t="shared" si="0"/>
        <v>0.10487263944833203</v>
      </c>
    </row>
    <row r="42" spans="2:5" ht="14.4">
      <c r="B42">
        <v>2049</v>
      </c>
      <c r="C42">
        <v>104.87263944833202</v>
      </c>
      <c r="D42" s="484" t="s">
        <v>1116</v>
      </c>
      <c r="E42">
        <f t="shared" si="0"/>
        <v>0.10487263944833203</v>
      </c>
    </row>
    <row r="43" spans="2:5" ht="14.4">
      <c r="B43">
        <v>2050</v>
      </c>
      <c r="C43">
        <v>104.87263944833202</v>
      </c>
      <c r="D43" s="484" t="s">
        <v>1116</v>
      </c>
      <c r="E43">
        <f t="shared" si="0"/>
        <v>0.10487263944833203</v>
      </c>
    </row>
    <row r="44" spans="2:5" ht="14.4">
      <c r="B44">
        <v>2051</v>
      </c>
      <c r="C44">
        <v>104.87263944833202</v>
      </c>
      <c r="D44" s="484" t="s">
        <v>1116</v>
      </c>
      <c r="E44">
        <f t="shared" si="0"/>
        <v>0.10487263944833203</v>
      </c>
    </row>
    <row r="45" spans="2:5" ht="14.4">
      <c r="B45">
        <v>2052</v>
      </c>
      <c r="C45">
        <v>104.87263944833202</v>
      </c>
      <c r="D45" s="484" t="s">
        <v>1116</v>
      </c>
      <c r="E45">
        <f t="shared" si="0"/>
        <v>0.10487263944833203</v>
      </c>
    </row>
    <row r="46" spans="2:5" ht="14.4">
      <c r="B46">
        <v>2053</v>
      </c>
      <c r="C46">
        <v>104.87263944833202</v>
      </c>
      <c r="D46" s="484" t="s">
        <v>1116</v>
      </c>
      <c r="E46">
        <f t="shared" si="0"/>
        <v>0.10487263944833203</v>
      </c>
    </row>
    <row r="47" spans="2:5" ht="14.4">
      <c r="B47">
        <v>2054</v>
      </c>
      <c r="C47">
        <v>104.87263944833202</v>
      </c>
      <c r="D47" s="484" t="s">
        <v>1116</v>
      </c>
      <c r="E47">
        <f t="shared" si="0"/>
        <v>0.10487263944833203</v>
      </c>
    </row>
    <row r="48" spans="2:5" ht="14.4">
      <c r="B48">
        <v>2055</v>
      </c>
      <c r="C48">
        <v>104.87263944833202</v>
      </c>
      <c r="D48" s="484" t="s">
        <v>1116</v>
      </c>
      <c r="E48">
        <f t="shared" si="0"/>
        <v>0.10487263944833203</v>
      </c>
    </row>
    <row r="49" spans="2:5" ht="14.4">
      <c r="B49">
        <v>2056</v>
      </c>
      <c r="C49">
        <v>104.87263944833202</v>
      </c>
      <c r="D49" s="484" t="s">
        <v>1116</v>
      </c>
      <c r="E49">
        <f t="shared" si="0"/>
        <v>0.10487263944833203</v>
      </c>
    </row>
    <row r="50" spans="2:5" ht="14.4">
      <c r="B50">
        <v>2057</v>
      </c>
      <c r="C50">
        <v>104.87263944833202</v>
      </c>
      <c r="D50" s="484" t="s">
        <v>1116</v>
      </c>
      <c r="E50">
        <f t="shared" si="0"/>
        <v>0.10487263944833203</v>
      </c>
    </row>
    <row r="51" spans="2:5" ht="14.4">
      <c r="B51">
        <v>2058</v>
      </c>
      <c r="C51">
        <v>104.87263944833202</v>
      </c>
      <c r="D51" s="484" t="s">
        <v>1116</v>
      </c>
      <c r="E51">
        <f t="shared" si="0"/>
        <v>0.10487263944833203</v>
      </c>
    </row>
  </sheetData>
  <mergeCells count="1">
    <mergeCell ref="B1:F1"/>
  </mergeCells>
  <pageMargins left="0.7" right="0.7" top="0.75" bottom="0.75" header="0.3" footer="0.3"/>
  <pageSetup orientation="portrait"/>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tabColor theme="8" tint="0.39998"/>
  </sheetPr>
  <dimension ref="B1:F42"/>
  <sheetViews>
    <sheetView zoomScale="70" zoomScaleNormal="70" workbookViewId="0" topLeftCell="A1">
      <selection pane="topLeft" activeCell="A1" sqref="A1"/>
    </sheetView>
  </sheetViews>
  <sheetFormatPr defaultColWidth="8.88888888888889" defaultRowHeight="14.4"/>
  <cols>
    <col min="2" max="6" width="8.88888888888889" customWidth="1"/>
  </cols>
  <sheetData>
    <row r="1" spans="2:6" ht="14.4">
      <c r="B1" s="1784" t="s">
        <v>1637</v>
      </c>
      <c r="C1" s="1784"/>
      <c r="D1" s="1761"/>
      <c r="E1" s="1761"/>
      <c r="F1" s="1761"/>
    </row>
    <row r="2" spans="2:4" ht="14.4">
      <c r="B2" s="350" t="s">
        <v>1535</v>
      </c>
      <c r="C2" s="350"/>
      <c r="D2" s="350"/>
    </row>
    <row r="3" spans="2:4" ht="14.4">
      <c r="B3" s="350"/>
      <c r="C3" s="350"/>
      <c r="D3" s="350"/>
    </row>
    <row r="4" spans="2:4" ht="14.4">
      <c r="B4" s="505" t="s">
        <v>1169</v>
      </c>
      <c r="C4" s="350"/>
      <c r="D4" s="350"/>
    </row>
    <row r="5" spans="2:4" ht="14.4">
      <c r="B5" s="506" t="s">
        <v>1170</v>
      </c>
      <c r="C5" s="350"/>
      <c r="D5" s="350"/>
    </row>
    <row r="6" spans="2:4" ht="14.4">
      <c r="B6" s="506" t="s">
        <v>1171</v>
      </c>
      <c r="C6" s="350"/>
      <c r="D6" s="350"/>
    </row>
    <row r="7" spans="2:4" ht="14.4">
      <c r="B7" s="506" t="s">
        <v>1172</v>
      </c>
      <c r="C7" s="350"/>
      <c r="D7" s="350"/>
    </row>
    <row r="8" spans="2:4" ht="14.4">
      <c r="B8" s="506" t="s">
        <v>1173</v>
      </c>
      <c r="C8" s="350"/>
      <c r="D8" s="350"/>
    </row>
    <row r="9" spans="2:4" ht="14.4">
      <c r="B9" s="506" t="s">
        <v>1174</v>
      </c>
      <c r="C9" s="350"/>
      <c r="D9" s="350"/>
    </row>
    <row r="10" spans="2:4" ht="14.4">
      <c r="B10" s="506" t="s">
        <v>1175</v>
      </c>
      <c r="C10" s="350"/>
      <c r="D10" s="350"/>
    </row>
    <row r="11" spans="2:4" ht="14.4">
      <c r="B11" s="506" t="s">
        <v>1176</v>
      </c>
      <c r="C11" s="350"/>
      <c r="D11" s="350"/>
    </row>
    <row r="12" spans="2:4" ht="14.4">
      <c r="B12" s="506" t="s">
        <v>1177</v>
      </c>
      <c r="C12" s="350"/>
      <c r="D12" s="350"/>
    </row>
    <row r="13" spans="2:4" ht="14.4">
      <c r="B13" s="506" t="s">
        <v>1178</v>
      </c>
      <c r="C13" s="350"/>
      <c r="D13" s="350"/>
    </row>
    <row r="14" spans="2:4" ht="14.4">
      <c r="B14" s="350"/>
      <c r="C14" s="350"/>
      <c r="D14" s="350"/>
    </row>
    <row r="15" spans="2:4" ht="14.4">
      <c r="B15" s="350"/>
      <c r="C15" s="350"/>
      <c r="D15" s="350"/>
    </row>
    <row r="16" spans="2:4" ht="14.4">
      <c r="B16" s="350"/>
      <c r="C16" s="350"/>
      <c r="D16" s="350"/>
    </row>
    <row r="17" spans="2:4" ht="14.4">
      <c r="B17" s="350"/>
      <c r="C17" s="350"/>
      <c r="D17" s="350"/>
    </row>
    <row r="18" spans="2:4" ht="14.4">
      <c r="B18" s="350"/>
      <c r="C18" s="350"/>
      <c r="D18" s="350"/>
    </row>
    <row r="19" spans="2:4" ht="14.4">
      <c r="B19" s="350"/>
      <c r="C19" s="350"/>
      <c r="D19" s="350"/>
    </row>
    <row r="20" spans="2:4" ht="14.4">
      <c r="B20" s="350"/>
      <c r="C20" s="350"/>
      <c r="D20" s="350"/>
    </row>
    <row r="21" spans="2:4" ht="14.4">
      <c r="B21" s="350"/>
      <c r="C21" s="350"/>
      <c r="D21" s="350"/>
    </row>
    <row r="22" spans="2:4" ht="14.4">
      <c r="B22" s="350"/>
      <c r="C22" s="350"/>
      <c r="D22" s="350"/>
    </row>
    <row r="23" spans="2:4" ht="14.4">
      <c r="B23" s="350"/>
      <c r="C23" s="350"/>
      <c r="D23" s="350"/>
    </row>
    <row r="24" spans="2:4" ht="14.4">
      <c r="B24" s="350"/>
      <c r="C24" s="350"/>
      <c r="D24" s="350"/>
    </row>
    <row r="25" spans="2:4" ht="14.4">
      <c r="B25" s="350"/>
      <c r="C25" s="350"/>
      <c r="D25" s="350"/>
    </row>
    <row r="26" spans="2:4" ht="14.4">
      <c r="B26" s="350"/>
      <c r="C26" s="350"/>
      <c r="D26" s="350"/>
    </row>
    <row r="27" spans="2:4" ht="14.4">
      <c r="B27" s="350"/>
      <c r="C27" s="350"/>
      <c r="D27" s="350"/>
    </row>
    <row r="28" spans="2:4" ht="14.4">
      <c r="B28" s="350"/>
      <c r="C28" s="350"/>
      <c r="D28" s="350"/>
    </row>
    <row r="29" spans="2:4" ht="14.4">
      <c r="B29" s="350"/>
      <c r="C29" s="350"/>
      <c r="D29" s="350"/>
    </row>
    <row r="30" spans="2:4" ht="14.4">
      <c r="B30" s="350"/>
      <c r="C30" s="350"/>
      <c r="D30" s="350"/>
    </row>
    <row r="31" spans="2:4" ht="14.4">
      <c r="B31" s="350"/>
      <c r="C31" s="350"/>
      <c r="D31" s="350"/>
    </row>
    <row r="32" spans="2:4" ht="14.4">
      <c r="B32" s="350"/>
      <c r="C32" s="350"/>
      <c r="D32" s="350"/>
    </row>
    <row r="33" spans="2:4" ht="14.4">
      <c r="B33" s="350"/>
      <c r="C33" s="350"/>
      <c r="D33" s="350"/>
    </row>
    <row r="34" spans="2:4" ht="14.4">
      <c r="B34" s="350"/>
      <c r="C34" s="350"/>
      <c r="D34" s="350"/>
    </row>
    <row r="35" spans="2:4" ht="14.4">
      <c r="B35" s="350"/>
      <c r="C35" s="350"/>
      <c r="D35" s="350"/>
    </row>
    <row r="36" spans="2:4" ht="14.4">
      <c r="B36" s="350"/>
      <c r="C36" s="350"/>
      <c r="D36" s="350"/>
    </row>
    <row r="37" spans="2:4" ht="14.4">
      <c r="B37" s="350"/>
      <c r="C37" s="350"/>
      <c r="D37" s="350"/>
    </row>
    <row r="38" spans="2:4" ht="14.4">
      <c r="B38" s="350"/>
      <c r="C38" s="350"/>
      <c r="D38" s="350"/>
    </row>
    <row r="39" spans="2:4" ht="14.4">
      <c r="B39" s="350"/>
      <c r="C39" s="350"/>
      <c r="D39" s="350"/>
    </row>
    <row r="40" spans="2:4" ht="14.4">
      <c r="B40" s="350"/>
      <c r="C40" s="350"/>
      <c r="D40" s="350"/>
    </row>
    <row r="41" spans="2:4" ht="14.4">
      <c r="B41" s="350"/>
      <c r="C41" s="350"/>
      <c r="D41" s="350"/>
    </row>
    <row r="42" spans="2:4" ht="14.4">
      <c r="B42" s="350"/>
      <c r="C42" s="350"/>
      <c r="D42" s="350"/>
    </row>
  </sheetData>
  <mergeCells count="1">
    <mergeCell ref="B1:F1"/>
  </mergeCells>
  <pageMargins left="0.7" right="0.7" top="0.75" bottom="0.75" header="0.3" footer="0.3"/>
  <pageSetup orientation="portrait"/>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sheetPr>
  <dimension ref="A1:A3"/>
  <sheetViews>
    <sheetView zoomScale="70" zoomScaleNormal="70" workbookViewId="0" topLeftCell="A1">
      <selection pane="topLeft" activeCell="A1" sqref="A1"/>
    </sheetView>
  </sheetViews>
  <sheetFormatPr defaultColWidth="8.77734375" defaultRowHeight="14.4"/>
  <cols>
    <col min="1" max="1" width="8.77777777777778" customWidth="1"/>
  </cols>
  <sheetData>
    <row r="1" ht="14.4">
      <c r="A1" s="381" t="s">
        <v>827</v>
      </c>
    </row>
    <row r="2" ht="14.4"/>
    <row r="3" ht="14.4">
      <c r="A3" s="281" t="s">
        <v>1623</v>
      </c>
    </row>
  </sheetData>
  <pageMargins left="0.7" right="0.7" top="0.75" bottom="0.75" header="0.3" footer="0.3"/>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
  <sheetViews>
    <sheetView workbookViewId="0" topLeftCell="A1">
      <selection pane="topLeft" activeCell="A1" sqref="A1"/>
    </sheetView>
  </sheetViews>
  <sheetFormatPr defaultColWidth="8.88888888888889" defaultRowHeight="14.4"/>
  <sheetData/>
  <pageMargins left="0.7" right="0.7" top="0.75" bottom="0.75" header="0.3" footer="0.3"/>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ntentType/>
  <cp:contentStatus/>
</cp:coreProperties>
</file>