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hartsheets/sheet1.xml" ContentType="application/vnd.openxmlformats-officedocument.spreadsheetml.chartsheet+xml"/>
  <Override PartName="/xl/drawings/drawing4.xml" ContentType="application/vnd.openxmlformats-officedocument.drawing+xml"/>
  <Override PartName="/xl/chartsheets/sheet2.xml" ContentType="application/vnd.openxmlformats-officedocument.spreadsheetml.chartsheet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filterPrivacy="1" defaultThemeVersion="124226"/>
  <bookViews>
    <workbookView xWindow="768" yWindow="120" windowWidth="17496" windowHeight="11016" tabRatio="762" activeTab="3"/>
  </bookViews>
  <sheets>
    <sheet name="EO &amp; DO BACKCAST" sheetId="86" r:id="rId1"/>
    <sheet name="WED17" sheetId="74" r:id="rId2"/>
    <sheet name="ChartEnergy(LFS16BC &amp; LFS17BC)" sheetId="88" r:id="rId3"/>
    <sheet name="ChartDemand(LFS16BC &amp; LFS17BC)" sheetId="89" r:id="rId4"/>
  </sheets>
  <definedNames>
    <definedName name="\B" localSheetId="1">#REF!</definedName>
    <definedName name="\B">#REF!</definedName>
    <definedName name="\C" localSheetId="1">#REF!</definedName>
    <definedName name="\C">#REF!</definedName>
    <definedName name="\D" localSheetId="1">#REF!</definedName>
    <definedName name="\D">#REF!</definedName>
    <definedName name="\S" localSheetId="1">#REF!</definedName>
    <definedName name="\S">#REF!</definedName>
    <definedName name="_AMO_ContentDefinition_570499251.0" localSheetId="1" hidden="1">"'&lt;ContentDefinition name=""SASApp:LFS.WEEKLY_WEATHER"" rsid=""570499251"" type=""DataSet"" format=""ReportXml"" imgfmt=""ActiveX"" created=""03/31/2015 12:54:53"" modifed=""01/16/2017 09:25:27"" user=""Matthew Siler"" apply=""False"" css=""C:\Program F'"</definedName>
    <definedName name="_AMO_ContentDefinition_570499251.1" localSheetId="1" hidden="1">"'iles (x86)\SASHome\x86\SASAddinforMicrosoftOffice\6.1\Styles\AMODefault.css"" range=""SASApp_LFS_WEEKLY_WEATHER"" auto=""False"" xTime=""00:00:00"" rTime=""00:00:00.6104041"" bgnew=""False"" nFmt=""False"" grphSet=""True"" imgY=""0"" imgX=""0"" redi'"</definedName>
    <definedName name="_AMO_ContentDefinition_570499251.10" hidden="1">"'lFormattingHash"" v=""-163579690"" /&gt;_x000d_
  &lt;param n=""ExcelFormatting"" v=""Automatic"" /&gt;_x000d_
  &lt;ExcelXMLOptions AdjColWidths=""True"" RowOpt=""InsertCells"" ColOpt=""InsertCells"" /&gt;_x000d_
&lt;/ContentDefinition&gt;'"</definedName>
    <definedName name="_AMO_ContentDefinition_570499251.2" localSheetId="1" hidden="1">"'rect=""False""&gt;_x000d_
  &lt;files /&gt;_x000d_
  &lt;parents /&gt;_x000d_
  &lt;children /&gt;_x000d_
  &lt;param n=""AMO_Version"" v=""6.1"" /&gt;_x000d_
  &lt;param n=""DisplayName"" v=""SASApp:LFS.WEEKLY_WEATHER"" /&gt;_x000d_
  &lt;param n=""DisplayType"" v=""Data Set"" /&gt;_x000d_
  &lt;param n=""DataSourceType"" v=""SAS D'"</definedName>
    <definedName name="_AMO_ContentDefinition_570499251.3" localSheetId="1" hidden="1">"'ATASET"" /&gt;_x000d_
  &lt;param n=""SASFilter"" v="""" /&gt;_x000d_
  &lt;param n=""MoreSheetsForRows"" v=""False"" /&gt;_x000d_
  &lt;param n=""PageSize"" v=""500"" /&gt;_x000d_
  &lt;param n=""ShowRowNumbers"" v=""True"" /&gt;_x000d_
  &lt;param n=""ShowInfoInSheet"" v=""False"" /&gt;_x000d_
  &lt;param n=""CredKey""'"</definedName>
    <definedName name="_AMO_ContentDefinition_570499251.4" localSheetId="1" hidden="1">"' v=""WEEKLY_WEATHER&amp;#x1;SASApp&amp;#x1;LFS"" /&gt;_x000d_
  &lt;param n=""ClassName"" v=""SAS.OfficeAddin.DataViewItem"" /&gt;_x000d_
  &lt;param n=""ServerName"" v=""SASApp"" /&gt;_x000d_
  &lt;param n=""DataSource"" v=""&amp;lt;SasDataSource Version=&amp;quot;4.2&amp;quot; Type=&amp;quot;SAS.Servers.Data'"</definedName>
    <definedName name="_AMO_ContentDefinition_570499251.5" localSheetId="1" hidden="1">"'set&amp;quot; Svr=&amp;quot;SASApp&amp;quot; Lib=&amp;quot;LFS&amp;quot; Libname=&amp;quot;LFS&amp;quot; FilterDS=&amp;quot;&amp;amp;lt;?xml version=&amp;amp;quot;1.0&amp;amp;quot; encoding=&amp;amp;quot;utf-16&amp;amp;quot;?&amp;amp;gt;&amp;amp;lt;FilterTree&amp;amp;gt;&amp;amp;lt;TreeRoot /&amp;amp;gt;&amp;amp;lt;/FilterTre'"</definedName>
    <definedName name="_AMO_ContentDefinition_570499251.6" localSheetId="1" hidden="1">"'e&amp;amp;gt;&amp;quot; ColSelFlg=&amp;quot;0&amp;quot; Name=&amp;quot;WEEKLY_WEATHER&amp;quot; /&amp;gt;"" /&gt;_x000d_
  &lt;param n=""ExcelTableColumnCount"" v=""9"" /&gt;_x000d_
  &lt;param n=""ExcelTableRowCount"" v=""25"" /&gt;_x000d_
  &lt;param n=""DataRowCount"" v=""25"" /&gt;_x000d_
  &lt;param n=""DataColCount"" '"</definedName>
    <definedName name="_AMO_ContentDefinition_570499251.7" localSheetId="1" hidden="1">"'v=""8"" /&gt;_x000d_
  &lt;param n=""ObsColumn"" v=""true"" /&gt;_x000d_
  &lt;param n=""ExcelFormattingHash"" v=""-163579690"" /&gt;_x000d_
  &lt;param n=""ExcelFormatting"" v=""Automatic"" /&gt;_x000d_
  &lt;ExcelXMLOptions AdjColWidths=""True"" RowOpt=""InsertCells"" ColOpt=""InsertCells"" /&gt;_x000d_
'"</definedName>
    <definedName name="_AMO_ContentDefinition_570499251.8" localSheetId="1" hidden="1">"'&lt;/ContentDefinition&gt;'"</definedName>
    <definedName name="_AMO_ContentDefinition_570499251.9" hidden="1">"'t; /&amp;gt;"" /&gt;_x000d_
  &lt;param n=""ExcelTableColumnCount"" v=""9"" /&gt;_x000d_
  &lt;param n=""ExcelTableRowCount"" v=""37"" /&gt;_x000d_
  &lt;param n=""DataRowCount"" v=""37"" /&gt;_x000d_
  &lt;param n=""DataColCount"" v=""8"" /&gt;_x000d_
  &lt;param n=""ObsColumn"" v=""true"" /&gt;_x000d_
  &lt;param n=""Exce'"</definedName>
    <definedName name="_AMO_ContentDefinition_967162844" localSheetId="1" hidden="1">"'Partitions:8'"</definedName>
    <definedName name="_AMO_ContentDefinition_967162844.0" localSheetId="1" hidden="1">"'&lt;ContentDefinition name=""SASApp:LFS.ENERGY_MWH"" rsid=""967162844"" type=""DataSet"" format=""ReportXml"" imgfmt=""ActiveX"" created=""03/31/2015 12:53:03"" modifed=""01/16/2017 09:25:15"" user=""Matthew Siler"" apply=""False"" css=""C:\Program Files'"</definedName>
    <definedName name="_AMO_ContentDefinition_967162844.1" localSheetId="1" hidden="1">"' (x86)\SASHome\x86\SASAddinforMicrosoftOffice\6.1\Styles\AMODefault.css"" range=""SASApp_LFS_ENERGY_MWH"" auto=""False"" xTime=""00:00:00"" rTime=""00:00:01.4528095"" bgnew=""False"" nFmt=""False"" grphSet=""True"" imgY=""0"" imgX=""0"" redirect=""Fa'"</definedName>
    <definedName name="_AMO_ContentDefinition_967162844.10" hidden="1">"'6277857"" /&gt;_x000d_
  &lt;param n=""ExcelFormatting"" v=""Automatic"" /&gt;_x000d_
  &lt;ExcelXMLOptions AdjColWidths=""True"" RowOpt=""InsertCells"" ColOpt=""InsertCells"" /&gt;_x000d_
&lt;/ContentDefinition&gt;'"</definedName>
    <definedName name="_AMO_ContentDefinition_967162844.2" localSheetId="1" hidden="1">"'lse""&gt;_x000d_
  &lt;files /&gt;_x000d_
  &lt;parents /&gt;_x000d_
  &lt;children /&gt;_x000d_
  &lt;param n=""AMO_Version"" v=""6.1"" /&gt;_x000d_
  &lt;param n=""DisplayName"" v=""SASApp:LFS.ENERGY_MWH"" /&gt;_x000d_
  &lt;param n=""DisplayType"" v=""Data Set"" /&gt;_x000d_
  &lt;param n=""DataSourceType"" v=""SAS DATASET"" /&gt;_x000d_
'"</definedName>
    <definedName name="_AMO_ContentDefinition_967162844.3" localSheetId="1" hidden="1">"'  &lt;param n=""SASFilter"" v="""" /&gt;_x000d_
  &lt;param n=""MoreSheetsForRows"" v=""False"" /&gt;_x000d_
  &lt;param n=""PageSize"" v=""500"" /&gt;_x000d_
  &lt;param n=""ShowRowNumbers"" v=""True"" /&gt;_x000d_
  &lt;param n=""ShowInfoInSheet"" v=""False"" /&gt;_x000d_
  &lt;param n=""CredKey"" v=""ENERGY_M'"</definedName>
    <definedName name="_AMO_ContentDefinition_967162844.4" localSheetId="1" hidden="1">"'WH&amp;#x1;SASApp&amp;#x1;LFS"" /&gt;_x000d_
  &lt;param n=""ClassName"" v=""SAS.OfficeAddin.DataViewItem"" /&gt;_x000d_
  &lt;param n=""ServerName"" v=""SASApp"" /&gt;_x000d_
  &lt;param n=""DataSource"" v=""&amp;lt;SasDataSource Version=&amp;quot;4.2&amp;quot; Type=&amp;quot;SAS.Servers.Dataset&amp;quot; Svr=&amp;qu'"</definedName>
    <definedName name="_AMO_ContentDefinition_967162844.5" localSheetId="1" hidden="1">"'ot;SASApp&amp;quot; Lib=&amp;quot;LFS&amp;quot; Libname=&amp;quot;LFS&amp;quot; FilterDS=&amp;quot;&amp;amp;lt;?xml version=&amp;amp;quot;1.0&amp;amp;quot; encoding=&amp;amp;quot;utf-16&amp;amp;quot;?&amp;amp;gt;&amp;amp;lt;FilterTree&amp;amp;gt;&amp;amp;lt;TreeRoot /&amp;amp;gt;&amp;amp;lt;/FilterTree&amp;amp;gt;&amp;quot; C'"</definedName>
    <definedName name="_AMO_ContentDefinition_967162844.6" localSheetId="1" hidden="1">"'olSelFlg=&amp;quot;0&amp;quot; Name=&amp;quot;ENERGY_MWH&amp;quot; /&amp;gt;"" /&gt;_x000d_
  &lt;param n=""ExcelTableColumnCount"" v=""4"" /&gt;_x000d_
  &lt;param n=""ExcelTableRowCount"" v=""12"" /&gt;_x000d_
  &lt;param n=""DataRowCount"" v=""12"" /&gt;_x000d_
  &lt;param n=""DataColCount"" v=""3"" /&gt;_x000d_
  &lt;param'"</definedName>
    <definedName name="_AMO_ContentDefinition_967162844.7" localSheetId="1" hidden="1">"' n=""ObsColumn"" v=""true"" /&gt;_x000d_
  &lt;param n=""ExcelFormattingHash"" v=""-1796277857"" /&gt;_x000d_
  &lt;param n=""ExcelFormatting"" v=""Automatic"" /&gt;_x000d_
  &lt;ExcelXMLOptions AdjColWidths=""True"" RowOpt=""InsertCells"" ColOpt=""InsertCells"" /&gt;_x000d_
&lt;/ContentDefinition&gt;'"</definedName>
    <definedName name="_AMO_ContentDefinition_967162844.9" hidden="1">"'=""ExcelTableColumnCount"" v=""4"" /&gt;_x000d_
  &lt;param n=""ExcelTableRowCount"" v=""13"" /&gt;_x000d_
  &lt;param n=""DataRowCount"" v=""13"" /&gt;_x000d_
  &lt;param n=""DataColCount"" v=""3"" /&gt;_x000d_
  &lt;param n=""ObsColumn"" v=""true"" /&gt;_x000d_
  &lt;param n=""ExcelFormattingHash"" v=""-179'"</definedName>
    <definedName name="_AMO_ContentLocation_570499251__A1.0" localSheetId="1" hidden="1">"'&lt;ContentLocation path=""A1"" rsid=""570499251"" tag="""" fid=""0""&gt;_x000d_
  &lt;param n=""_NumRows"" v=""26"" /&gt;_x000d_
  &lt;param n=""_NumCols"" v=""9"" /&gt;_x000d_
  &lt;param n=""SASDataState"" v=""none"" /&gt;_x000d_
  &lt;param n=""SASDataStart"" v=""1"" /&gt;_x000d_
  &lt;param n=""SASDataEnd'"</definedName>
    <definedName name="_AMO_ContentLocation_570499251__A1.1" localSheetId="1" hidden="1">"'"" v=""25"" /&gt;_x000d_
&lt;/ContentLocation&gt;'"</definedName>
    <definedName name="_AMO_ContentLocation_967162844__A1.0" localSheetId="1" hidden="1">"'&lt;ContentLocation path=""A1"" rsid=""967162844"" tag="""" fid=""0""&gt;_x000d_
  &lt;param n=""_NumRows"" v=""13"" /&gt;_x000d_
  &lt;param n=""_NumCols"" v=""4"" /&gt;_x000d_
  &lt;param n=""SASDataState"" v=""none"" /&gt;_x000d_
  &lt;param n=""SASDataStart"" v=""1"" /&gt;_x000d_
  &lt;param n=""SASDataEnd'"</definedName>
    <definedName name="_AMO_ContentLocation_967162844__A1.1" localSheetId="1" hidden="1">"'"" v=""12"" /&gt;_x000d_
&lt;/ContentLocation&gt;'"</definedName>
    <definedName name="_AMO_RefreshMultipleList" localSheetId="1" hidden="1">"'Partitions:2'"</definedName>
    <definedName name="_AMO_RefreshMultipleList" hidden="1">"'Partitions:3'"</definedName>
    <definedName name="_AMO_RefreshMultipleList.0" hidden="1">"'&lt;Items&gt;_x000d_
  &lt;Item Id=""969274039"" Checked=""True"" /&gt;_x000d_
  &lt;Item Id=""383494563"" Checked=""True"" /&gt;_x000d_
  &lt;Item Id=""547413755"" Checked=""True"" /&gt;_x000d_
  &lt;Item Id=""967162844"" Checked=""True"" /&gt;_x000d_
  &lt;Item Id=""570499251"" Checked=""True"" /&gt;_x000d_
  &lt;Item I'"</definedName>
    <definedName name="_AMO_RefreshMultipleList.1" localSheetId="1" hidden="1">"'d=""707242607"" Checked=""True"" /&gt;_x000d_
  &lt;Item Id=""283476953"" Checked=""True"" /&gt;_x000d_
  &lt;Item Id=""93599757"" Checked=""True"" /&gt;_x000d_
  &lt;Item Id=""236787087"" Checked=""True"" /&gt;_x000d_
  &lt;Item Id=""133398206"" Checked=""True"" /&gt;_x000d_
&lt;/Items&gt;'"</definedName>
    <definedName name="_AMO_RefreshMultipleList.1" hidden="1">"'d=""707242607"" Checked=""True"" /&gt;_x000d_
  &lt;Item Id=""283476953"" Checked=""True"" /&gt;_x000d_
  &lt;Item Id=""93599757"" Checked=""True"" /&gt;_x000d_
  &lt;Item Id=""236787087"" Checked=""True"" /&gt;_x000d_
  &lt;Item Id=""198019932"" Checked=""True"" /&gt;_x000d_
  &lt;Item Id=""411468051"" Chec'"</definedName>
    <definedName name="_AMO_RefreshMultipleList.2" hidden="1">"'ked=""True"" /&gt;_x000d_
  &lt;Item Id=""92089723"" Checked=""True"" /&gt;_x000d_
&lt;/Items&gt;'"</definedName>
    <definedName name="_AMO_UniqueIdentifier" hidden="1">"'f754b804-80a7-4384-ad74-d65e8ca4828e'"</definedName>
    <definedName name="_AMO_XmlVersion" hidden="1">"'1'"</definedName>
    <definedName name="_WEA1" localSheetId="1">#REF!</definedName>
    <definedName name="_WEA1">#REF!</definedName>
    <definedName name="_WEA2" localSheetId="1">#REF!</definedName>
    <definedName name="_WEA2">#REF!</definedName>
    <definedName name="adfs">#REF!</definedName>
    <definedName name="adfsdf">#REF!</definedName>
    <definedName name="csDesignMode">1</definedName>
    <definedName name="INTRANET" localSheetId="1">#REF!</definedName>
    <definedName name="INTRANET">#REF!</definedName>
    <definedName name="_xlnm.Print_Area" localSheetId="0">'EO &amp; DO BACKCAST'!$B$6:$M$35</definedName>
    <definedName name="_xlnm.Print_Area" localSheetId="1">'WED17'!$AD$10:$AR$35</definedName>
    <definedName name="_xlnm.Print_Titles">#N/A</definedName>
    <definedName name="REPORT" localSheetId="1">#REF!</definedName>
    <definedName name="REPORT">#REF!</definedName>
  </definedNames>
  <calcPr fullCalcOnLoad="1"/>
</workbook>
</file>

<file path=xl/sharedStrings.xml><?xml version="1.0" encoding="utf-8"?>
<sst xmlns="http://schemas.openxmlformats.org/spreadsheetml/2006/main" count="151" uniqueCount="69">
  <si>
    <t>May</t>
  </si>
  <si>
    <t>2016 ACTUAL</t>
  </si>
  <si>
    <t>ENERGY</t>
  </si>
  <si>
    <t>DEMAND</t>
  </si>
  <si>
    <t xml:space="preserve">ACTUAL / PROJECTED                    ENERGY (MWh) </t>
  </si>
  <si>
    <t>ANNUAL GROWTH</t>
  </si>
  <si>
    <t>ACTUAL VS. BUDGET</t>
  </si>
  <si>
    <t>ACTUAL DEMAND    (MW- Months)</t>
  </si>
  <si>
    <t>MONTH</t>
  </si>
  <si>
    <t>(MWH)</t>
  </si>
  <si>
    <t>(MW-Months)</t>
  </si>
  <si>
    <t/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</si>
  <si>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</si>
  <si>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</si>
  <si>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</si>
  <si>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</si>
  <si>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</si>
  <si>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</si>
  <si>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</si>
  <si>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</si>
  <si>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</si>
  <si>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</si>
  <si>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</si>
  <si>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SEPA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</si>
  <si>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</si>
  <si>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</si>
  <si>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</si>
  <si>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</si>
  <si>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</si>
  <si>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</si>
  <si>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</si>
  <si>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</si>
  <si>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</si>
  <si>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</si>
  <si>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</si>
  <si>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</si>
  <si>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LFS16 Backcast</t>
  </si>
  <si>
    <t>2017 BUDGET</t>
  </si>
  <si>
    <t>2017 ACTUAL</t>
  </si>
  <si>
    <t>DEC16</t>
  </si>
  <si>
    <t>LFS17 FS BACKCAST</t>
  </si>
  <si>
    <t>DATE</t>
  </si>
  <si>
    <t>LFS17 BUDGET BACKCAST</t>
  </si>
  <si>
    <t>ENERGY (kWh)</t>
  </si>
  <si>
    <t>NON-COIN DEMAND (kW)</t>
  </si>
  <si>
    <t>LFS17 Backcast</t>
  </si>
  <si>
    <t>2017 Actual Billing MWh</t>
  </si>
  <si>
    <t>2016 BUDGET</t>
  </si>
  <si>
    <t>CoinFactor</t>
  </si>
  <si>
    <t>PBS Actual Billing - SUM Member Non-Coin PBS0670</t>
  </si>
  <si>
    <t>Billing Energy Adj</t>
  </si>
  <si>
    <t>2018 BUDGET</t>
  </si>
  <si>
    <t>2018 ACTUAL</t>
  </si>
  <si>
    <t>ACTUAL NET BILLED DEMAND PBS0470</t>
  </si>
  <si>
    <t>Diff</t>
  </si>
  <si>
    <t>Diff%</t>
  </si>
  <si>
    <t>LFS16 BACKCAST (thru NOV17)</t>
  </si>
  <si>
    <t>LFS16 BUDGET BACKCAST</t>
  </si>
  <si>
    <t>LFS17 BUDGET</t>
  </si>
  <si>
    <t>DEC*</t>
  </si>
  <si>
    <t>JAN18*</t>
  </si>
  <si>
    <t>MAPES</t>
  </si>
  <si>
    <t>MAPE</t>
  </si>
  <si>
    <t>LFS16 BUDGET BACKCAST
(NON-COIN)</t>
  </si>
  <si>
    <t>LFS17 BUDGET BACKCAST
(NON-COIN)</t>
  </si>
  <si>
    <t>LFS17 BUDGET BACKCAST 
(SECI-COIN)</t>
  </si>
  <si>
    <t>LFS16 BUDGET BACKCAST 
(SECI-COIN)</t>
  </si>
  <si>
    <t>MAPE wo Sept</t>
  </si>
  <si>
    <t>LARGE LOADS and SAWMILL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</si>
</sst>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[$-409]m/d/yy\ h:mm\ AM/PM;@"/>
    <numFmt numFmtId="167" formatCode="_(* #,##0_);_(* \(#,##0\);_(* &quot;-&quot;??_);_(@_)"/>
  </numFmts>
  <fonts count="24"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i/>
      <sz val="12"/>
      <color theme="1"/>
      <name val="Arial"/>
      <family val="2"/>
    </font>
    <font>
      <b/>
      <i/>
      <sz val="12"/>
      <color theme="1"/>
      <name val="Arial"/>
      <family val="2"/>
    </font>
    <font>
      <u val="single"/>
      <sz val="12"/>
      <color theme="1"/>
      <name val="Arial"/>
      <family val="2"/>
    </font>
    <font>
      <sz val="22"/>
      <color theme="1"/>
      <name val="Arial"/>
      <family val="2"/>
    </font>
    <font>
      <sz val="16"/>
      <color theme="1"/>
      <name val="Arial"/>
      <family val="2"/>
    </font>
    <font>
      <b/>
      <sz val="16"/>
      <color theme="1" tint="0.35"/>
      <name val="Arial"/>
      <family val="2"/>
    </font>
    <font>
      <b/>
      <sz val="14"/>
      <color theme="0" tint="-0.5"/>
      <name val="Arial"/>
      <family val="2"/>
    </font>
    <font>
      <b/>
      <sz val="16"/>
      <color theme="1" tint="0.5"/>
      <name val="Arial"/>
      <family val="2"/>
    </font>
    <font>
      <b/>
      <sz val="20"/>
      <color theme="1" tint="0.5"/>
      <name val="Arial"/>
      <family val="2"/>
    </font>
    <font>
      <b/>
      <sz val="20"/>
      <color theme="0" tint="-0.5"/>
      <name val="Arial"/>
      <family val="2"/>
    </font>
    <font>
      <b/>
      <sz val="20"/>
      <color theme="0" tint="-0.5"/>
      <name val="Calibri"/>
      <family val="2"/>
    </font>
    <font>
      <b/>
      <sz val="18"/>
      <color theme="1" tint="0.35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auto="1"/>
      </right>
      <top/>
      <bottom/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 style="thick">
        <color theme="4" tint="-0.24994"/>
      </left>
      <right/>
      <top style="thick">
        <color theme="4" tint="-0.24994"/>
      </top>
      <bottom/>
    </border>
    <border>
      <left/>
      <right/>
      <top style="thick">
        <color theme="4" tint="-0.24994"/>
      </top>
      <bottom/>
    </border>
    <border>
      <left/>
      <right style="thick">
        <color theme="4" tint="-0.24994"/>
      </right>
      <top style="thick">
        <color theme="4" tint="-0.24994"/>
      </top>
      <bottom/>
    </border>
    <border>
      <left style="thick">
        <color theme="4" tint="-0.24994"/>
      </left>
      <right/>
      <top/>
      <bottom style="thick">
        <color theme="4" tint="-0.24994"/>
      </bottom>
    </border>
    <border>
      <left/>
      <right/>
      <top/>
      <bottom style="thick">
        <color theme="4" tint="-0.24994"/>
      </bottom>
    </border>
    <border>
      <left/>
      <right style="thick">
        <color theme="4" tint="-0.24994"/>
      </right>
      <top/>
      <bottom style="thick">
        <color theme="4" tint="-0.24994"/>
      </bottom>
    </border>
    <border>
      <left style="thin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</borders>
  <cellStyleXfs count="7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  <xf numFmtId="0" fontId="1" fillId="0" borderId="0">
      <alignment/>
      <protection/>
    </xf>
    <xf numFmtId="43" fontId="1" fillId="0" borderId="0" applyFon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1" fillId="0" borderId="0">
      <alignment/>
      <protection/>
    </xf>
    <xf numFmtId="0" fontId="3" fillId="0" borderId="0">
      <alignment vertical="top"/>
      <protection/>
    </xf>
    <xf numFmtId="0" fontId="2" fillId="0" borderId="0">
      <alignment/>
      <protection/>
    </xf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2" fillId="0" borderId="0">
      <alignment/>
      <protection/>
    </xf>
    <xf numFmtId="43" fontId="2" fillId="0" borderId="0" applyFont="0" applyFill="0" applyBorder="0" applyAlignment="0" applyProtection="0"/>
    <xf numFmtId="0" fontId="2" fillId="0" borderId="0">
      <alignment/>
      <protection/>
    </xf>
    <xf numFmtId="0" fontId="2" fillId="0" borderId="0">
      <alignment/>
      <protection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1" fillId="0" borderId="0">
      <alignment/>
      <protection/>
    </xf>
    <xf numFmtId="0" fontId="2" fillId="0" borderId="0">
      <alignment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2" fillId="0" borderId="0">
      <alignment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1" fillId="0" borderId="0">
      <alignment/>
      <protection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/>
      <protection/>
    </xf>
  </cellStyleXfs>
  <cellXfs count="117">
    <xf numFmtId="0" fontId="0" fillId="0" borderId="0" xfId="0"/>
    <xf numFmtId="0" fontId="0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Border="1"/>
    <xf numFmtId="3" fontId="1" fillId="0" borderId="0" xfId="0" applyNumberFormat="1" applyFont="1"/>
    <xf numFmtId="0" fontId="1" fillId="0" borderId="0" xfId="0" applyFont="1" applyFill="1" applyBorder="1" applyAlignment="1">
      <alignment horizontal="center"/>
    </xf>
    <xf numFmtId="167" fontId="1" fillId="0" borderId="0" xfId="36" applyNumberFormat="1" applyFont="1" applyFill="1" applyBorder="1"/>
    <xf numFmtId="0" fontId="1" fillId="0" borderId="0" xfId="0" applyFont="1" applyFill="1" applyBorder="1" applyAlignment="1">
      <alignment horizontal="center" wrapText="1"/>
    </xf>
    <xf numFmtId="16" fontId="1" fillId="0" borderId="0" xfId="0" applyNumberFormat="1" applyFont="1"/>
    <xf numFmtId="3" fontId="1" fillId="0" borderId="0" xfId="0" applyNumberFormat="1" applyFont="1"/>
    <xf numFmtId="0" fontId="1" fillId="0" borderId="0" xfId="0" applyFont="1"/>
    <xf numFmtId="16" fontId="1" fillId="0" borderId="0" xfId="0" applyNumberFormat="1" applyFont="1"/>
    <xf numFmtId="3" fontId="5" fillId="0" borderId="0" xfId="0" applyNumberFormat="1" applyFont="1" applyFill="1" applyBorder="1"/>
    <xf numFmtId="167" fontId="5" fillId="0" borderId="0" xfId="0" applyNumberFormat="1" applyFont="1" applyFill="1" applyBorder="1"/>
    <xf numFmtId="10" fontId="1" fillId="0" borderId="0" xfId="37" applyNumberFormat="1" applyFont="1" applyFill="1" applyBorder="1"/>
    <xf numFmtId="43" fontId="5" fillId="0" borderId="0" xfId="0" applyNumberFormat="1" applyFont="1" applyFill="1" applyBorder="1"/>
    <xf numFmtId="16" fontId="1" fillId="0" borderId="0" xfId="0" applyNumberFormat="1" applyFont="1" applyFill="1" applyBorder="1" quotePrefix="1"/>
    <xf numFmtId="167" fontId="1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/>
    </xf>
    <xf numFmtId="3" fontId="6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 quotePrefix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166" fontId="4" fillId="0" borderId="0" xfId="0" applyNumberFormat="1" applyFont="1" applyFill="1" applyBorder="1" applyAlignment="1" quotePrefix="1">
      <alignment horizontal="center"/>
    </xf>
    <xf numFmtId="166" fontId="6" fillId="0" borderId="0" xfId="0" applyNumberFormat="1" applyFont="1" applyFill="1" applyBorder="1" applyAlignment="1" quotePrefix="1">
      <alignment horizontal="center"/>
    </xf>
    <xf numFmtId="0" fontId="4" fillId="0" borderId="0" xfId="0" applyNumberFormat="1" applyFont="1" applyFill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Alignment="1">
      <alignment horizontal="center"/>
    </xf>
    <xf numFmtId="0" fontId="6" fillId="0" borderId="0" xfId="0" applyNumberFormat="1" applyFont="1" applyFill="1" applyBorder="1" applyAlignment="1">
      <alignment/>
    </xf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Border="1" applyAlignment="1">
      <alignment horizontal="left"/>
    </xf>
    <xf numFmtId="0" fontId="7" fillId="0" borderId="0" xfId="0" applyFont="1" applyFill="1" applyAlignment="1">
      <alignment horizontal="center"/>
    </xf>
    <xf numFmtId="0" fontId="7" fillId="0" borderId="0" xfId="0" applyFont="1" applyFill="1"/>
    <xf numFmtId="0" fontId="8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/>
    </xf>
    <xf numFmtId="0" fontId="4" fillId="0" borderId="5" xfId="0" applyNumberFormat="1" applyFont="1" applyFill="1" applyBorder="1" applyAlignment="1">
      <alignment/>
    </xf>
    <xf numFmtId="16" fontId="6" fillId="0" borderId="2" xfId="0" applyNumberFormat="1" applyFont="1" applyFill="1" applyBorder="1" applyAlignment="1" quotePrefix="1">
      <alignment horizontal="center"/>
    </xf>
    <xf numFmtId="3" fontId="6" fillId="0" borderId="3" xfId="0" applyNumberFormat="1" applyFont="1" applyFill="1" applyBorder="1" applyAlignment="1">
      <alignment horizontal="right"/>
    </xf>
    <xf numFmtId="3" fontId="4" fillId="0" borderId="2" xfId="0" applyNumberFormat="1" applyFont="1" applyFill="1" applyBorder="1" applyAlignment="1">
      <alignment horizontal="center"/>
    </xf>
    <xf numFmtId="3" fontId="6" fillId="0" borderId="3" xfId="0" applyNumberFormat="1" applyFont="1" applyFill="1" applyBorder="1" applyAlignment="1">
      <alignment horizontal="center"/>
    </xf>
    <xf numFmtId="10" fontId="6" fillId="0" borderId="4" xfId="37" applyNumberFormat="1" applyFont="1" applyFill="1" applyBorder="1" applyAlignment="1">
      <alignment horizontal="center"/>
    </xf>
    <xf numFmtId="3" fontId="6" fillId="0" borderId="3" xfId="0" applyNumberFormat="1" applyFont="1" applyFill="1" applyBorder="1"/>
    <xf numFmtId="10" fontId="6" fillId="0" borderId="4" xfId="37" applyNumberFormat="1" applyFont="1" applyFill="1" applyBorder="1"/>
    <xf numFmtId="10" fontId="6" fillId="0" borderId="0" xfId="37" applyNumberFormat="1" applyFont="1" applyFill="1" applyBorder="1"/>
    <xf numFmtId="0" fontId="8" fillId="0" borderId="0" xfId="0" applyFont="1" applyFill="1" applyAlignment="1">
      <alignment horizontal="center"/>
    </xf>
    <xf numFmtId="0" fontId="4" fillId="0" borderId="0" xfId="0" applyNumberFormat="1" applyFont="1" applyFill="1" applyAlignment="1" quotePrefix="1">
      <alignment horizontal="right"/>
    </xf>
    <xf numFmtId="167" fontId="6" fillId="0" borderId="0" xfId="36" applyNumberFormat="1" applyFont="1" applyFill="1" applyBorder="1" applyAlignment="1">
      <alignment horizontal="center"/>
    </xf>
    <xf numFmtId="167" fontId="6" fillId="0" borderId="5" xfId="36" applyNumberFormat="1" applyFont="1" applyFill="1" applyBorder="1" applyAlignment="1">
      <alignment horizontal="center"/>
    </xf>
    <xf numFmtId="3" fontId="6" fillId="0" borderId="0" xfId="0" applyNumberFormat="1" applyFont="1" applyFill="1" applyBorder="1"/>
    <xf numFmtId="3" fontId="4" fillId="0" borderId="5" xfId="0" applyNumberFormat="1" applyFont="1" applyFill="1" applyBorder="1" applyAlignment="1">
      <alignment horizontal="center"/>
    </xf>
    <xf numFmtId="10" fontId="6" fillId="0" borderId="1" xfId="37" applyNumberFormat="1" applyFont="1" applyFill="1" applyBorder="1" applyAlignment="1">
      <alignment horizontal="center"/>
    </xf>
    <xf numFmtId="10" fontId="6" fillId="0" borderId="1" xfId="37" applyNumberFormat="1" applyFont="1" applyFill="1" applyBorder="1"/>
    <xf numFmtId="165" fontId="6" fillId="0" borderId="0" xfId="37" applyNumberFormat="1" applyFont="1" applyFill="1"/>
    <xf numFmtId="167" fontId="6" fillId="0" borderId="0" xfId="36" applyNumberFormat="1" applyFont="1" applyFill="1" applyAlignment="1">
      <alignment horizontal="center"/>
    </xf>
    <xf numFmtId="10" fontId="4" fillId="0" borderId="0" xfId="0" applyNumberFormat="1" applyFont="1" applyFill="1"/>
    <xf numFmtId="165" fontId="6" fillId="0" borderId="0" xfId="0" applyNumberFormat="1" applyFont="1" applyFill="1" applyBorder="1" applyAlignment="1">
      <alignment horizontal="left"/>
    </xf>
    <xf numFmtId="165" fontId="9" fillId="0" borderId="6" xfId="23" applyNumberFormat="1" applyFont="1" applyFill="1" applyBorder="1" applyAlignment="1">
      <alignment horizontal="center"/>
    </xf>
    <xf numFmtId="165" fontId="9" fillId="0" borderId="7" xfId="23" applyNumberFormat="1" applyFont="1" applyFill="1" applyBorder="1" applyAlignment="1">
      <alignment horizontal="center"/>
    </xf>
    <xf numFmtId="10" fontId="9" fillId="0" borderId="8" xfId="0" applyNumberFormat="1" applyFont="1" applyFill="1" applyBorder="1"/>
    <xf numFmtId="0" fontId="4" fillId="0" borderId="0" xfId="0" applyFont="1" applyFill="1"/>
    <xf numFmtId="165" fontId="9" fillId="0" borderId="9" xfId="23" applyNumberFormat="1" applyFont="1" applyFill="1" applyBorder="1" applyAlignment="1">
      <alignment horizontal="center"/>
    </xf>
    <xf numFmtId="165" fontId="9" fillId="0" borderId="10" xfId="23" applyNumberFormat="1" applyFont="1" applyFill="1" applyBorder="1" applyAlignment="1">
      <alignment horizontal="center"/>
    </xf>
    <xf numFmtId="10" fontId="9" fillId="0" borderId="11" xfId="0" applyNumberFormat="1" applyFont="1" applyFill="1" applyBorder="1"/>
    <xf numFmtId="0" fontId="4" fillId="0" borderId="0" xfId="0" applyNumberFormat="1" applyFont="1" applyFill="1" applyAlignment="1" quotePrefix="1">
      <alignment horizontal="right" vertical="center"/>
    </xf>
    <xf numFmtId="165" fontId="6" fillId="0" borderId="0" xfId="37" applyNumberFormat="1" applyFont="1" applyFill="1" applyBorder="1" applyAlignment="1">
      <alignment horizontal="left"/>
    </xf>
    <xf numFmtId="0" fontId="6" fillId="0" borderId="5" xfId="0" applyNumberFormat="1" applyFont="1" applyFill="1" applyBorder="1" applyAlignment="1">
      <alignment horizontal="center"/>
    </xf>
    <xf numFmtId="16" fontId="6" fillId="0" borderId="5" xfId="0" applyNumberFormat="1" applyFont="1" applyFill="1" applyBorder="1" applyAlignment="1" quotePrefix="1">
      <alignment horizontal="center"/>
    </xf>
    <xf numFmtId="0" fontId="4" fillId="0" borderId="5" xfId="0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center"/>
    </xf>
    <xf numFmtId="0" fontId="10" fillId="0" borderId="0" xfId="0" applyFont="1" applyFill="1" applyBorder="1"/>
    <xf numFmtId="0" fontId="10" fillId="0" borderId="1" xfId="0" applyFont="1" applyFill="1" applyBorder="1"/>
    <xf numFmtId="164" fontId="4" fillId="0" borderId="0" xfId="0" applyNumberFormat="1" applyFont="1" applyFill="1" applyAlignment="1">
      <alignment horizontal="right"/>
    </xf>
    <xf numFmtId="0" fontId="6" fillId="0" borderId="12" xfId="0" applyNumberFormat="1" applyFont="1" applyFill="1" applyBorder="1" applyAlignment="1" quotePrefix="1">
      <alignment horizontal="center"/>
    </xf>
    <xf numFmtId="3" fontId="4" fillId="0" borderId="13" xfId="0" applyNumberFormat="1" applyFont="1" applyFill="1" applyBorder="1" applyAlignment="1">
      <alignment horizontal="right"/>
    </xf>
    <xf numFmtId="3" fontId="4" fillId="0" borderId="12" xfId="0" applyNumberFormat="1" applyFont="1" applyFill="1" applyBorder="1" applyAlignment="1">
      <alignment horizontal="right"/>
    </xf>
    <xf numFmtId="3" fontId="11" fillId="0" borderId="13" xfId="0" applyNumberFormat="1" applyFont="1" applyFill="1" applyBorder="1" applyAlignment="1">
      <alignment horizontal="right"/>
    </xf>
    <xf numFmtId="165" fontId="11" fillId="0" borderId="14" xfId="37" applyNumberFormat="1" applyFont="1" applyFill="1" applyBorder="1" applyAlignment="1">
      <alignment horizontal="right"/>
    </xf>
    <xf numFmtId="3" fontId="4" fillId="0" borderId="12" xfId="0" applyNumberFormat="1" applyFont="1" applyFill="1" applyBorder="1" applyAlignment="1">
      <alignment horizontal="center"/>
    </xf>
    <xf numFmtId="165" fontId="11" fillId="0" borderId="0" xfId="37" applyNumberFormat="1" applyFont="1" applyFill="1" applyBorder="1" applyAlignment="1">
      <alignment horizontal="righ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/>
    </xf>
    <xf numFmtId="0" fontId="12" fillId="0" borderId="0" xfId="0" applyFont="1" applyFill="1" applyAlignment="1">
      <alignment horizontal="left"/>
    </xf>
    <xf numFmtId="0" fontId="12" fillId="0" borderId="0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left"/>
    </xf>
    <xf numFmtId="10" fontId="6" fillId="0" borderId="0" xfId="37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left" indent="3"/>
    </xf>
    <xf numFmtId="3" fontId="6" fillId="0" borderId="0" xfId="0" applyNumberFormat="1" applyFont="1" applyFill="1" applyBorder="1" applyAlignment="1">
      <alignment horizontal="right"/>
    </xf>
    <xf numFmtId="0" fontId="13" fillId="0" borderId="0" xfId="0" applyFont="1" applyFill="1" applyAlignment="1">
      <alignment horizontal="left"/>
    </xf>
    <xf numFmtId="0" fontId="14" fillId="0" borderId="0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left"/>
    </xf>
    <xf numFmtId="3" fontId="4" fillId="0" borderId="15" xfId="0" applyNumberFormat="1" applyFont="1" applyFill="1" applyBorder="1" applyAlignment="1">
      <alignment horizontal="center"/>
    </xf>
    <xf numFmtId="3" fontId="4" fillId="0" borderId="16" xfId="0" applyNumberFormat="1" applyFont="1" applyFill="1" applyBorder="1" applyAlignment="1">
      <alignment horizontal="center"/>
    </xf>
    <xf numFmtId="3" fontId="6" fillId="0" borderId="0" xfId="0" applyNumberFormat="1" applyFont="1" applyFill="1" applyAlignment="1">
      <alignment horizontal="right"/>
    </xf>
    <xf numFmtId="9" fontId="6" fillId="0" borderId="0" xfId="37" applyFont="1" applyFill="1" applyBorder="1" applyAlignment="1">
      <alignment horizontal="right"/>
    </xf>
    <xf numFmtId="0" fontId="6" fillId="0" borderId="0" xfId="0" applyFont="1" applyFill="1" applyBorder="1" applyAlignment="1">
      <alignment horizontal="center"/>
    </xf>
    <xf numFmtId="3" fontId="4" fillId="0" borderId="17" xfId="0" applyNumberFormat="1" applyFont="1" applyFill="1" applyBorder="1" applyAlignment="1">
      <alignment horizontal="center"/>
    </xf>
    <xf numFmtId="0" fontId="7" fillId="0" borderId="0" xfId="0" applyNumberFormat="1" applyFont="1" applyFill="1" applyAlignment="1">
      <alignment horizontal="center"/>
    </xf>
    <xf numFmtId="167" fontId="6" fillId="0" borderId="0" xfId="38" applyNumberFormat="1" applyFont="1" applyFill="1" applyBorder="1" applyAlignment="1">
      <alignment horizontal="right"/>
    </xf>
    <xf numFmtId="0" fontId="6" fillId="0" borderId="0" xfId="0" applyNumberFormat="1" applyFont="1" applyFill="1" applyAlignment="1">
      <alignment/>
    </xf>
    <xf numFmtId="0" fontId="7" fillId="0" borderId="0" xfId="0" applyNumberFormat="1" applyFont="1" applyFill="1" applyAlignment="1">
      <alignment/>
    </xf>
    <xf numFmtId="3" fontId="1" fillId="0" borderId="0" xfId="0" applyNumberFormat="1" applyFont="1" applyFill="1" applyBorder="1"/>
    <xf numFmtId="0" fontId="1" fillId="0" borderId="0" xfId="0" applyFont="1" applyFill="1" applyBorder="1" applyAlignment="1">
      <alignment horizontal="center" wrapText="1"/>
    </xf>
    <xf numFmtId="165" fontId="7" fillId="0" borderId="0" xfId="37" applyNumberFormat="1" applyFont="1" applyFill="1" applyAlignment="1">
      <alignment horizontal="center"/>
    </xf>
    <xf numFmtId="0" fontId="8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wrapText="1"/>
    </xf>
  </cellXfs>
  <cellStyles count="5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 2" xfId="20"/>
    <cellStyle name="Normal 3" xfId="21"/>
    <cellStyle name="Comma 2" xfId="22"/>
    <cellStyle name="Percent 2" xfId="23"/>
    <cellStyle name="Currency 2" xfId="24"/>
    <cellStyle name="Currency 3" xfId="25"/>
    <cellStyle name="Normal 10" xfId="26"/>
    <cellStyle name="Normal 11" xfId="27"/>
    <cellStyle name="Normal 2 2" xfId="28"/>
    <cellStyle name="Normal 4" xfId="29"/>
    <cellStyle name="Normal 5" xfId="30"/>
    <cellStyle name="Normal 6" xfId="31"/>
    <cellStyle name="Normal 7" xfId="32"/>
    <cellStyle name="Normal 8" xfId="33"/>
    <cellStyle name="Normal 9" xfId="34"/>
    <cellStyle name="Percent 3" xfId="35"/>
    <cellStyle name="Comma" xfId="36"/>
    <cellStyle name="Percent" xfId="37"/>
    <cellStyle name="Comma 3" xfId="38"/>
    <cellStyle name="Normal 12" xfId="39"/>
    <cellStyle name="Normal 13" xfId="40"/>
    <cellStyle name="Normal 14" xfId="41"/>
    <cellStyle name="Normal 15" xfId="42"/>
    <cellStyle name="Normal 16" xfId="43"/>
    <cellStyle name="Normal 17" xfId="44"/>
    <cellStyle name="Normal 18" xfId="45"/>
    <cellStyle name="Comma 4" xfId="46"/>
    <cellStyle name="Normal 19" xfId="47"/>
    <cellStyle name="Normal 18 2" xfId="48"/>
    <cellStyle name="Comma 4 2" xfId="49"/>
    <cellStyle name="Comma 5" xfId="50"/>
    <cellStyle name="Comma 6" xfId="51"/>
    <cellStyle name="Normal 16 2" xfId="52"/>
    <cellStyle name="Normal 17 2" xfId="53"/>
    <cellStyle name="Normal 2 2 2" xfId="54"/>
    <cellStyle name="Normal 20" xfId="55"/>
    <cellStyle name="Normal 21" xfId="56"/>
    <cellStyle name="Normal 22" xfId="57"/>
    <cellStyle name="Normal 23" xfId="58"/>
    <cellStyle name="Normal 24" xfId="59"/>
    <cellStyle name="Normal 25" xfId="60"/>
    <cellStyle name="Normal 26" xfId="61"/>
    <cellStyle name="Normal 27" xfId="62"/>
    <cellStyle name="Normal 28" xfId="63"/>
    <cellStyle name="Normal 3 2" xfId="64"/>
    <cellStyle name="Normal 3 2 2" xfId="65"/>
    <cellStyle name="Normal 3 3" xfId="66"/>
    <cellStyle name="Normal 4 2" xfId="67"/>
    <cellStyle name="Percent 4" xfId="68"/>
    <cellStyle name="Percent 5" xfId="69"/>
    <cellStyle name="Normal 29" xfId="7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chartsheet" Target="chartsheets/sheet1.xml" /><Relationship Id="rId4" Type="http://schemas.openxmlformats.org/officeDocument/2006/relationships/chartsheet" Target="chartsheets/sheet2.xml" /><Relationship Id="rId5" Type="http://schemas.openxmlformats.org/officeDocument/2006/relationships/styles" Target="styles.xml" /><Relationship Id="rId6" Type="http://schemas.openxmlformats.org/officeDocument/2006/relationships/sharedStrings" Target="sharedStrings.xml" /><Relationship Id="rId7" Type="http://schemas.openxmlformats.org/officeDocument/2006/relationships/theme" Target="theme/theme1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title>
      <c:tx>
        <c:rich>
          <a:bodyPr vert="horz" rot="0"/>
          <a:lstStyle/>
          <a:p>
            <a:pPr algn="ctr">
              <a:defRPr/>
            </a:pPr>
            <a:r>
              <a:rPr lang="en-US" sz="5400" b="0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rPr>
              <a:t>Energy</a:t>
            </a:r>
          </a:p>
        </c:rich>
      </c:tx>
      <c:layout>
        <c:manualLayout>
          <c:xMode val="edge"/>
          <c:yMode val="edge"/>
          <c:x val="0.02125"/>
          <c:y val="0.0147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205"/>
          <c:y val="0.25525"/>
          <c:w val="0.87725"/>
          <c:h val="0.56225"/>
        </c:manualLayout>
      </c:layout>
      <c:lineChart>
        <c:grouping val="standard"/>
        <c:varyColors val="0"/>
        <c:ser>
          <c:idx val="1"/>
          <c:order val="0"/>
          <c:tx>
            <c:v>BUDGET</c:v>
          </c:tx>
          <c:spPr>
            <a:ln w="63500">
              <a:solidFill>
                <a:srgbClr val="000000">
                  <a:lumMod val="65000"/>
                  <a:lumOff val="35000"/>
                </a:srgbClr>
              </a:solidFill>
            </a:ln>
          </c:spPr>
          <c:marker>
            <c:symbol val="none"/>
          </c:marker>
          <c:dPt>
            <c:idx val="0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1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2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3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4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'WED17'!$U$46:$U$59</c:f>
              <c:numCache>
                <c:formatCode>#,##0</c:formatCode>
                <c:ptCount val="14"/>
                <c:pt idx="0">
                  <c:v>1058183</c:v>
                </c:pt>
                <c:pt idx="1">
                  <c:v>1130118.45015249</c:v>
                </c:pt>
                <c:pt idx="2">
                  <c:v>986845.320060843</c:v>
                </c:pt>
                <c:pt idx="3">
                  <c:v>987848.094714004</c:v>
                </c:pt>
                <c:pt idx="4">
                  <c:v>997447.801287653</c:v>
                </c:pt>
                <c:pt idx="5">
                  <c:v>1198159.51019345</c:v>
                </c:pt>
                <c:pt idx="6">
                  <c:v>1291391.13417955</c:v>
                </c:pt>
                <c:pt idx="7">
                  <c:v>1392117.18476978</c:v>
                </c:pt>
                <c:pt idx="8">
                  <c:v>1402661.98220029</c:v>
                </c:pt>
                <c:pt idx="9">
                  <c:v>1269712.58976786</c:v>
                </c:pt>
                <c:pt idx="10">
                  <c:v>1075657.43922547</c:v>
                </c:pt>
                <c:pt idx="11">
                  <c:v>962933.223545515</c:v>
                </c:pt>
                <c:pt idx="12">
                  <c:v>1093499.86425377</c:v>
                </c:pt>
                <c:pt idx="13">
                  <c:v>1126270.37805502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6F-4553-BE76-74BBBFF35610}"/>
            </c:ext>
          </c:extLst>
        </c:ser>
        <c:ser>
          <c:idx val="0"/>
          <c:order val="1"/>
          <c:tx>
            <c:v>ACTUAL/*ESTIMATE</c:v>
          </c:tx>
          <c:spPr>
            <a:ln w="50800">
              <a:solidFill>
                <a:srgbClr val="0000FF">
                  <a:alpha val="70000"/>
                </a:srgbClr>
              </a:solidFill>
            </a:ln>
          </c:spPr>
          <c:marker>
            <c:symbol val="circle"/>
            <c:size val="15"/>
            <c:spPr>
              <a:solidFill>
                <a:srgbClr val="0000CC"/>
              </a:solidFill>
              <a:ln>
                <a:noFill/>
              </a:ln>
              <a:effectLst/>
            </c:spPr>
          </c:marker>
          <c:dPt>
            <c:idx val="12"/>
            <c:spPr>
              <a:ln w="50800">
                <a:solidFill>
                  <a:srgbClr val="0000FF">
                    <a:alpha val="70000"/>
                  </a:srgbClr>
                </a:solidFill>
              </a:ln>
            </c:spPr>
            <c:marker>
              <c:size val="15"/>
              <c:spPr>
                <a:noFill/>
                <a:ln w="31750">
                  <a:solidFill>
                    <a:srgbClr val="0000FF"/>
                  </a:solidFill>
                </a:ln>
                <a:effectLst/>
              </c:spPr>
            </c:marker>
          </c:dPt>
          <c:dPt>
            <c:idx val="13"/>
            <c:spPr>
              <a:ln w="50800" cmpd="sng">
                <a:solidFill>
                  <a:srgbClr val="0000FF">
                    <a:alpha val="70000"/>
                  </a:srgbClr>
                </a:solidFill>
              </a:ln>
            </c:spPr>
            <c:marker>
              <c:size val="15"/>
              <c:spPr>
                <a:noFill/>
                <a:ln w="31750">
                  <a:solidFill>
                    <a:srgbClr val="0000FF"/>
                  </a:solidFill>
                </a:ln>
                <a:effectLst/>
              </c:spPr>
            </c:marker>
          </c:dPt>
          <c:dLbls>
            <c:dLbl>
              <c:idx val="0"/>
              <c:layout>
                <c:manualLayout>
                  <c:x val="-0.044"/>
                  <c:y val="0.041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0485"/>
                  <c:y val="0.0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0065"/>
                  <c:y val="0.02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0.01525"/>
                  <c:y val="0.03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0.0705"/>
                  <c:y val="-0.039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0.0615"/>
                  <c:y val="-0.039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0.01325"/>
                  <c:y val="0.03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0.082"/>
                  <c:y val="-0.0172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0.0075"/>
                  <c:y val="-0.0212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600" b="1" u="none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0.0825"/>
                  <c:y val="0.0052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0.0015"/>
                  <c:y val="-0.0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0.00125"/>
                  <c:y val="0.0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0.0475"/>
                  <c:y val="-0.0532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600" b="1" u="none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>
                <a:noFill/>
              </a:ln>
              <a:effectLst/>
            </c:spPr>
            <c:txPr>
              <a:bodyPr vert="horz" rot="0"/>
              <a:lstStyle/>
              <a:p>
                <a:pPr algn="ctr">
                  <a:defRPr lang="en-US" sz="1400" b="1" u="none" baseline="0">
                    <a:solidFill>
                      <a:schemeClr val="bg1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'WED17'!$U$10:$U$23</c:f>
              <c:numCache>
                <c:formatCode>#,##0</c:formatCode>
                <c:ptCount val="14"/>
                <c:pt idx="0">
                  <c:v>994370.862</c:v>
                </c:pt>
                <c:pt idx="1">
                  <c:v>1024395.064</c:v>
                </c:pt>
                <c:pt idx="2">
                  <c:v>853848.505</c:v>
                </c:pt>
                <c:pt idx="3">
                  <c:v>997635.186</c:v>
                </c:pt>
                <c:pt idx="4">
                  <c:v>1075653.303</c:v>
                </c:pt>
                <c:pt idx="5">
                  <c:v>1267851.498</c:v>
                </c:pt>
                <c:pt idx="6">
                  <c:v>1263924.773</c:v>
                </c:pt>
                <c:pt idx="7">
                  <c:v>1424304.829</c:v>
                </c:pt>
                <c:pt idx="8">
                  <c:v>1454877.95</c:v>
                </c:pt>
                <c:pt idx="9">
                  <c:v>1234256.596</c:v>
                </c:pt>
                <c:pt idx="10">
                  <c:v>1166094.187</c:v>
                </c:pt>
                <c:pt idx="11">
                  <c:v>911508.716</c:v>
                </c:pt>
                <c:pt idx="12">
                  <c:v>1067255.489</c:v>
                </c:pt>
                <c:pt idx="13">
                  <c:v>1344131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6F-4553-BE76-74BBBFF35610}"/>
            </c:ext>
          </c:extLst>
        </c:ser>
        <c:ser>
          <c:idx val="3"/>
          <c:order val="2"/>
          <c:tx>
            <c:v>LFS16 BACKCAST</c:v>
          </c:tx>
          <c:spPr>
            <a:ln w="44450">
              <a:solidFill>
                <a:srgbClr val="C0504D">
                  <a:lumMod val="75000"/>
                </a:srgbClr>
              </a:solidFill>
              <a:prstDash val="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'WED17'!$V$10:$V$21</c:f>
              <c:numCache>
                <c:formatCode>#,##0</c:formatCode>
                <c:ptCount val="12"/>
                <c:pt idx="0">
                  <c:v>1009188.87634</c:v>
                </c:pt>
                <c:pt idx="1">
                  <c:v>1029306.17963</c:v>
                </c:pt>
                <c:pt idx="2">
                  <c:v>897589.87528</c:v>
                </c:pt>
                <c:pt idx="3">
                  <c:v>992105.0766</c:v>
                </c:pt>
                <c:pt idx="4">
                  <c:v>1048923.18753</c:v>
                </c:pt>
                <c:pt idx="5">
                  <c:v>1262183.65299</c:v>
                </c:pt>
                <c:pt idx="6">
                  <c:v>1299976.36647</c:v>
                </c:pt>
                <c:pt idx="7">
                  <c:v>1439111.96446</c:v>
                </c:pt>
                <c:pt idx="8">
                  <c:v>1459016.25985</c:v>
                </c:pt>
                <c:pt idx="9">
                  <c:v>1315348.41844</c:v>
                </c:pt>
                <c:pt idx="10">
                  <c:v>1195260.20168</c:v>
                </c:pt>
                <c:pt idx="11">
                  <c:v>942854.41553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45-45BE-A81A-72849580FDE1}"/>
            </c:ext>
          </c:extLst>
        </c:ser>
        <c:ser>
          <c:idx val="2"/>
          <c:order val="3"/>
          <c:tx>
            <c:v>LFS17 BACKCAST</c:v>
          </c:tx>
          <c:spPr>
            <a:ln w="50800">
              <a:solidFill>
                <a:srgbClr val="FF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'WED17'!$Y$10:$Y$21</c:f>
              <c:numCache>
                <c:formatCode>#,##0</c:formatCode>
                <c:ptCount val="12"/>
                <c:pt idx="0">
                  <c:v>997321.84854</c:v>
                </c:pt>
                <c:pt idx="1">
                  <c:v>1028419.72093</c:v>
                </c:pt>
                <c:pt idx="2">
                  <c:v>885191.6718</c:v>
                </c:pt>
                <c:pt idx="3">
                  <c:v>972902.53518</c:v>
                </c:pt>
                <c:pt idx="4">
                  <c:v>1037682.10943</c:v>
                </c:pt>
                <c:pt idx="5">
                  <c:v>1246147.88529</c:v>
                </c:pt>
                <c:pt idx="6">
                  <c:v>1278684.08457</c:v>
                </c:pt>
                <c:pt idx="7">
                  <c:v>1421229.45766</c:v>
                </c:pt>
                <c:pt idx="8">
                  <c:v>1445082.59455</c:v>
                </c:pt>
                <c:pt idx="9">
                  <c:v>1298162.35404</c:v>
                </c:pt>
                <c:pt idx="10">
                  <c:v>1184515.73718</c:v>
                </c:pt>
                <c:pt idx="11">
                  <c:v>917152.63851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6F-4553-BE76-74BBBFF35610}"/>
            </c:ext>
          </c:extLst>
        </c:ser>
        <c:marker val="1"/>
        <c:axId val="45635683"/>
        <c:axId val="59123689"/>
      </c:lineChart>
      <c:catAx>
        <c:axId val="45635683"/>
        <c:scaling>
          <c:orientation val="minMax"/>
        </c:scaling>
        <c:delete val="0"/>
        <c:axPos val="b"/>
        <c:numFmt formatCode="[$-409]mmmm\-yy;@" sourceLinked="0"/>
        <c:majorTickMark val="none"/>
        <c:minorTickMark val="none"/>
        <c:tickLblPos val="nextTo"/>
        <c:spPr>
          <a:ln w="9525"/>
        </c:spPr>
        <c:txPr>
          <a:bodyPr vert="horz" rot="0"/>
          <a:lstStyle/>
          <a:p>
            <a:pPr>
              <a:defRPr lang="en-US" sz="16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59123689"/>
        <c:crosses val="autoZero"/>
        <c:auto val="1"/>
        <c:lblOffset val="100"/>
        <c:tickLblSkip val="1"/>
        <c:noMultiLvlLbl val="0"/>
      </c:catAx>
      <c:valAx>
        <c:axId val="59123689"/>
        <c:scaling>
          <c:orientation val="minMax"/>
          <c:max val="1550000"/>
          <c:min val="800000"/>
        </c:scaling>
        <c:delete val="0"/>
        <c:axPos val="l"/>
        <c:majorGridlines>
          <c:spPr>
            <a:ln w="19050">
              <a:solidFill>
                <a:srgbClr val="FFFFFF">
                  <a:lumMod val="85000"/>
                </a:srgbClr>
              </a:solidFill>
            </a:ln>
          </c:spPr>
        </c:majorGridlines>
        <c:numFmt formatCode="#,##0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45635683"/>
        <c:crosses val="autoZero"/>
        <c:crossBetween val="between"/>
        <c:dispUnits>
          <c:builtInUnit val="thousands"/>
        </c:dispUnits>
      </c:valAx>
      <c:spPr>
        <a:ln>
          <a:noFill/>
        </a:ln>
      </c:spPr>
    </c:plotArea>
    <c:legend>
      <c:legendPos val="b"/>
      <c:legendEntry>
        <c:idx val="0"/>
        <c:txPr>
          <a:bodyPr vert="horz" rot="0"/>
          <a:lstStyle/>
          <a:p>
            <a:pPr>
              <a:defRPr lang="en-US" sz="20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egendEntry>
        <c:idx val="1"/>
        <c:txPr>
          <a:bodyPr vert="horz" rot="0"/>
          <a:lstStyle/>
          <a:p>
            <a:pPr>
              <a:defRPr lang="en-US" sz="20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ayout>
        <c:manualLayout>
          <c:xMode val="edge"/>
          <c:yMode val="edge"/>
          <c:x val="0.25825"/>
          <c:y val="0.02775"/>
          <c:w val="0.358"/>
          <c:h val="0.21725"/>
        </c:manualLayout>
      </c:layout>
      <c:overlay val="0"/>
      <c:txPr>
        <a:bodyPr vert="horz" rot="0"/>
        <a:lstStyle/>
        <a:p>
          <a:pPr>
            <a:defRPr lang="en-US" sz="2000" b="1" u="none" baseline="0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ln>
      <a:noFill/>
    </a:ln>
  </c:spPr>
  <c:txPr>
    <a:bodyPr vert="horz" rot="0"/>
    <a:lstStyle/>
    <a:p>
      <a:pPr>
        <a:defRPr lang="en-US" u="none" baseline="0">
          <a:latin typeface="Arial"/>
          <a:ea typeface="Arial"/>
          <a:cs typeface="Arial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title>
      <c:tx>
        <c:rich>
          <a:bodyPr vert="horz" rot="0"/>
          <a:lstStyle/>
          <a:p>
            <a:pPr algn="ctr">
              <a:defRPr/>
            </a:pPr>
            <a:r>
              <a:rPr lang="en-US" sz="5400" b="0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rPr>
              <a:t>Demand</a:t>
            </a:r>
          </a:p>
        </c:rich>
      </c:tx>
      <c:layout>
        <c:manualLayout>
          <c:xMode val="edge"/>
          <c:yMode val="edge"/>
          <c:x val="0.008"/>
          <c:y val="0.0107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265"/>
          <c:y val="0.2695"/>
          <c:w val="0.86475"/>
          <c:h val="0.55225"/>
        </c:manualLayout>
      </c:layout>
      <c:lineChart>
        <c:grouping val="standard"/>
        <c:varyColors val="0"/>
        <c:ser>
          <c:idx val="1"/>
          <c:order val="0"/>
          <c:tx>
            <c:v>BUDGET</c:v>
          </c:tx>
          <c:spPr>
            <a:ln w="63500">
              <a:solidFill>
                <a:srgbClr val="000000">
                  <a:lumMod val="65000"/>
                  <a:lumOff val="35000"/>
                </a:srgbClr>
              </a:solidFill>
            </a:ln>
          </c:spPr>
          <c:marker>
            <c:symbol val="none"/>
          </c:marker>
          <c:dPt>
            <c:idx val="0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1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2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3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4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'WED17'!$V$46:$V$59</c:f>
              <c:numCache>
                <c:formatCode>#,##0</c:formatCode>
                <c:ptCount val="14"/>
                <c:pt idx="0">
                  <c:v>2652</c:v>
                </c:pt>
                <c:pt idx="1">
                  <c:v>3394.45630961995</c:v>
                </c:pt>
                <c:pt idx="2">
                  <c:v>3005.3451105729</c:v>
                </c:pt>
                <c:pt idx="3">
                  <c:v>2422.11128333005</c:v>
                </c:pt>
                <c:pt idx="4">
                  <c:v>2375.89721915712</c:v>
                </c:pt>
                <c:pt idx="5">
                  <c:v>2739.93696581656</c:v>
                </c:pt>
                <c:pt idx="6">
                  <c:v>2869.69461975309</c:v>
                </c:pt>
                <c:pt idx="7">
                  <c:v>2954.26307713755</c:v>
                </c:pt>
                <c:pt idx="8">
                  <c:v>2968.96871497327</c:v>
                </c:pt>
                <c:pt idx="9">
                  <c:v>2805.10558514983</c:v>
                </c:pt>
                <c:pt idx="10">
                  <c:v>2511.95564958036</c:v>
                </c:pt>
                <c:pt idx="11">
                  <c:v>2438.43759759682</c:v>
                </c:pt>
                <c:pt idx="12">
                  <c:v>2711.53198643531</c:v>
                </c:pt>
                <c:pt idx="13">
                  <c:v>3330.68302517428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74-4244-97D3-5307CA412E7E}"/>
            </c:ext>
          </c:extLst>
        </c:ser>
        <c:ser>
          <c:idx val="0"/>
          <c:order val="1"/>
          <c:tx>
            <c:v>ACTUAL/*ESTIMATE</c:v>
          </c:tx>
          <c:spPr>
            <a:ln w="50800">
              <a:solidFill>
                <a:srgbClr val="0000FF">
                  <a:alpha val="70000"/>
                </a:srgbClr>
              </a:solidFill>
            </a:ln>
          </c:spPr>
          <c:marker>
            <c:symbol val="circle"/>
            <c:size val="15"/>
            <c:spPr>
              <a:solidFill>
                <a:srgbClr val="0000CC"/>
              </a:solidFill>
              <a:ln>
                <a:noFill/>
              </a:ln>
              <a:effectLst/>
            </c:spPr>
          </c:marker>
          <c:dPt>
            <c:idx val="12"/>
            <c:spPr>
              <a:ln w="50800">
                <a:solidFill>
                  <a:srgbClr val="0000FF">
                    <a:alpha val="70000"/>
                  </a:srgbClr>
                </a:solidFill>
              </a:ln>
            </c:spPr>
            <c:marker>
              <c:size val="15"/>
              <c:spPr>
                <a:noFill/>
                <a:ln w="31750">
                  <a:solidFill>
                    <a:srgbClr val="0000FF"/>
                  </a:solidFill>
                </a:ln>
                <a:effectLst/>
              </c:spPr>
            </c:marker>
          </c:dPt>
          <c:dPt>
            <c:idx val="13"/>
            <c:spPr>
              <a:ln w="50800">
                <a:solidFill>
                  <a:srgbClr val="0000FF">
                    <a:alpha val="70000"/>
                  </a:srgbClr>
                </a:solidFill>
              </a:ln>
            </c:spPr>
            <c:marker>
              <c:size val="15"/>
              <c:spPr>
                <a:noFill/>
                <a:ln w="31750">
                  <a:solidFill>
                    <a:srgbClr val="0000FF"/>
                  </a:solidFill>
                </a:ln>
                <a:effectLst/>
              </c:spPr>
            </c:marker>
          </c:dPt>
          <c:dLbls>
            <c:dLbl>
              <c:idx val="0"/>
              <c:layout>
                <c:manualLayout>
                  <c:x val="-0.04075"/>
                  <c:y val="0.054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03925"/>
                  <c:y val="-0.0462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800" b="1" u="none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04075"/>
                  <c:y val="0.0422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0.08475"/>
                  <c:y val="0.01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0.05825"/>
                  <c:y val="-0.03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0.0525"/>
                  <c:y val="-0.03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0.04375"/>
                  <c:y val="0.060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0.0495"/>
                  <c:y val="-0.0482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800" b="1" u="none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0.032"/>
                  <c:y val="-0.0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0.0685"/>
                  <c:y val="0.0382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0.00125"/>
                  <c:y val="-0.00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0.00125"/>
                  <c:y val="-0.01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0.076"/>
                  <c:y val="-0.03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400" b="1" u="none" baseline="0">
                      <a:solidFill>
                        <a:schemeClr val="bg1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0.10075"/>
                  <c:y val="0.00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vert="horz" rot="0"/>
                <a:lstStyle/>
                <a:p>
                  <a:pPr algn="ctr">
                    <a:defRPr lang="en-US" sz="1800" b="1" u="none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>
                <a:noFill/>
              </a:ln>
              <a:effectLst/>
            </c:spPr>
            <c:txPr>
              <a:bodyPr vert="horz" rot="0"/>
              <a:lstStyle/>
              <a:p>
                <a:pPr algn="ctr">
                  <a:defRPr lang="en-US" sz="1400" b="1" u="none" baseline="0">
                    <a:solidFill>
                      <a:schemeClr val="bg1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'WED17'!$U$28:$U$41</c:f>
              <c:numCache>
                <c:formatCode>#,##0</c:formatCode>
                <c:ptCount val="14"/>
                <c:pt idx="0">
                  <c:v>2286.851</c:v>
                </c:pt>
                <c:pt idx="1">
                  <c:v>2884.635</c:v>
                </c:pt>
                <c:pt idx="2">
                  <c:v>2053.163</c:v>
                </c:pt>
                <c:pt idx="3">
                  <c:v>2551.076</c:v>
                </c:pt>
                <c:pt idx="4">
                  <c:v>2764.201</c:v>
                </c:pt>
                <c:pt idx="5">
                  <c:v>2942.554</c:v>
                </c:pt>
                <c:pt idx="6">
                  <c:v>2832.597</c:v>
                </c:pt>
                <c:pt idx="7">
                  <c:v>2954.241</c:v>
                </c:pt>
                <c:pt idx="8">
                  <c:v>2913.058</c:v>
                </c:pt>
                <c:pt idx="9">
                  <c:v>2767.846</c:v>
                </c:pt>
                <c:pt idx="10">
                  <c:v>2695.098</c:v>
                </c:pt>
                <c:pt idx="11">
                  <c:v>1847.06</c:v>
                </c:pt>
                <c:pt idx="12">
                  <c:v>2839.989</c:v>
                </c:pt>
                <c:pt idx="13">
                  <c:v>3670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74-4244-97D3-5307CA412E7E}"/>
            </c:ext>
          </c:extLst>
        </c:ser>
        <c:ser>
          <c:idx val="3"/>
          <c:order val="2"/>
          <c:tx>
            <c:v>LFS16 BACKCAST</c:v>
          </c:tx>
          <c:spPr>
            <a:ln w="44450">
              <a:solidFill>
                <a:srgbClr val="C0504D">
                  <a:lumMod val="75000"/>
                </a:srgbClr>
              </a:solidFill>
              <a:prstDash val="dash"/>
            </a:ln>
            <a:effectLst>
              <a:outerShdw blurRad="50800" dist="50800" dir="5400000" algn="ctr" rotWithShape="0">
                <a:srgbClr val="FFFFFF"/>
              </a:outerShdw>
            </a:effectLst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'WED17'!$V$28:$V$39</c:f>
              <c:numCache>
                <c:formatCode>#,##0</c:formatCode>
                <c:ptCount val="12"/>
                <c:pt idx="0">
                  <c:v>2288.55619268272</c:v>
                </c:pt>
                <c:pt idx="1">
                  <c:v>2918.09685747013</c:v>
                </c:pt>
                <c:pt idx="2">
                  <c:v>2129.40231733043</c:v>
                </c:pt>
                <c:pt idx="3">
                  <c:v>2477.00410357337</c:v>
                </c:pt>
                <c:pt idx="4">
                  <c:v>2557.52134254871</c:v>
                </c:pt>
                <c:pt idx="5">
                  <c:v>2924.82342785266</c:v>
                </c:pt>
                <c:pt idx="6">
                  <c:v>2703.72296893061</c:v>
                </c:pt>
                <c:pt idx="7">
                  <c:v>2844.07771668224</c:v>
                </c:pt>
                <c:pt idx="8">
                  <c:v>2932.55589812991</c:v>
                </c:pt>
                <c:pt idx="9">
                  <c:v>2755.31449220361</c:v>
                </c:pt>
                <c:pt idx="10">
                  <c:v>2858.39332786285</c:v>
                </c:pt>
                <c:pt idx="11">
                  <c:v>2048.68824848584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876-465F-A426-761ABB0D7AB8}"/>
            </c:ext>
          </c:extLst>
        </c:ser>
        <c:ser>
          <c:idx val="2"/>
          <c:order val="3"/>
          <c:tx>
            <c:v>LFS17 BACKCAST</c:v>
          </c:tx>
          <c:spPr>
            <a:ln w="50800">
              <a:solidFill>
                <a:srgbClr val="FF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'WED17'!$T$46:$T$59</c:f>
              <c:strCache>
                <c:ptCount val="14"/>
                <c:pt idx="0">
                  <c:v>DEC16</c:v>
                </c:pt>
                <c:pt idx="1">
                  <c:v>JAN </c:v>
                </c:pt>
                <c:pt idx="2">
                  <c:v>FEB </c:v>
                </c:pt>
                <c:pt idx="3">
                  <c:v>MAR </c:v>
                </c:pt>
                <c:pt idx="4">
                  <c:v>APR </c:v>
                </c:pt>
                <c:pt idx="5">
                  <c:v>MAY </c:v>
                </c:pt>
                <c:pt idx="6">
                  <c:v>JUN </c:v>
                </c:pt>
                <c:pt idx="7">
                  <c:v>JUL </c:v>
                </c:pt>
                <c:pt idx="8">
                  <c:v>AUG </c:v>
                </c:pt>
                <c:pt idx="9">
                  <c:v>SEP </c:v>
                </c:pt>
                <c:pt idx="10">
                  <c:v>OCT </c:v>
                </c:pt>
                <c:pt idx="11">
                  <c:v>NOV</c:v>
                </c:pt>
                <c:pt idx="12">
                  <c:v>DEC*</c:v>
                </c:pt>
                <c:pt idx="13">
                  <c:v>JAN18*</c:v>
                </c:pt>
              </c:strCache>
            </c:strRef>
          </c:cat>
          <c:val>
            <c:numRef>
              <c:f>'WED17'!$Y$28:$Y$39</c:f>
              <c:numCache>
                <c:formatCode>#,##0</c:formatCode>
                <c:ptCount val="12"/>
                <c:pt idx="0">
                  <c:v>2290.22982308169</c:v>
                </c:pt>
                <c:pt idx="1">
                  <c:v>2848.55447236915</c:v>
                </c:pt>
                <c:pt idx="2">
                  <c:v>2111.63219400414</c:v>
                </c:pt>
                <c:pt idx="3">
                  <c:v>2516.05682186201</c:v>
                </c:pt>
                <c:pt idx="4">
                  <c:v>2541.35599691809</c:v>
                </c:pt>
                <c:pt idx="5">
                  <c:v>2919.69548398631</c:v>
                </c:pt>
                <c:pt idx="6">
                  <c:v>2754.12643737491</c:v>
                </c:pt>
                <c:pt idx="7">
                  <c:v>2938.07540700321</c:v>
                </c:pt>
                <c:pt idx="8">
                  <c:v>2913.98117656293</c:v>
                </c:pt>
                <c:pt idx="9">
                  <c:v>2861.06000149028</c:v>
                </c:pt>
                <c:pt idx="10">
                  <c:v>2830.08884283295</c:v>
                </c:pt>
                <c:pt idx="11">
                  <c:v>1873.9515483291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74-4244-97D3-5307CA412E7E}"/>
            </c:ext>
          </c:extLst>
        </c:ser>
        <c:marker val="1"/>
        <c:axId val="8152149"/>
        <c:axId val="65802673"/>
      </c:lineChart>
      <c:catAx>
        <c:axId val="8152149"/>
        <c:scaling>
          <c:orientation val="minMax"/>
        </c:scaling>
        <c:delete val="0"/>
        <c:axPos val="b"/>
        <c:numFmt formatCode="[$-409]mmmm\-yy;@" sourceLinked="0"/>
        <c:majorTickMark val="none"/>
        <c:minorTickMark val="none"/>
        <c:tickLblPos val="nextTo"/>
        <c:txPr>
          <a:bodyPr vert="horz" rot="0"/>
          <a:lstStyle/>
          <a:p>
            <a:pPr>
              <a:defRPr lang="en-US" sz="16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65802673"/>
        <c:crosses val="autoZero"/>
        <c:auto val="1"/>
        <c:lblOffset val="100"/>
        <c:tickLblSkip val="1"/>
        <c:noMultiLvlLbl val="0"/>
      </c:catAx>
      <c:valAx>
        <c:axId val="65802673"/>
        <c:scaling>
          <c:orientation val="minMax"/>
          <c:max val="3700"/>
          <c:min val="1800"/>
        </c:scaling>
        <c:delete val="0"/>
        <c:axPos val="l"/>
        <c:majorGridlines>
          <c:spPr>
            <a:ln w="19050">
              <a:solidFill>
                <a:srgbClr val="FFFFFF">
                  <a:lumMod val="85000"/>
                </a:srgbClr>
              </a:solidFill>
            </a:ln>
          </c:spPr>
        </c:majorGridlines>
        <c:numFmt formatCode="#,##0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8152149"/>
        <c:crosses val="autoZero"/>
        <c:crossBetween val="between"/>
      </c:valAx>
      <c:spPr>
        <a:ln>
          <a:noFill/>
        </a:ln>
      </c:spPr>
    </c:plotArea>
    <c:legend>
      <c:legendPos val="b"/>
      <c:legendEntry>
        <c:idx val="0"/>
        <c:txPr>
          <a:bodyPr vert="horz" rot="0"/>
          <a:lstStyle/>
          <a:p>
            <a:pPr>
              <a:defRPr lang="en-US" sz="20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egendEntry>
        <c:idx val="1"/>
        <c:txPr>
          <a:bodyPr vert="horz" rot="0"/>
          <a:lstStyle/>
          <a:p>
            <a:pPr>
              <a:defRPr lang="en-US" sz="20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ayout>
        <c:manualLayout>
          <c:xMode val="edge"/>
          <c:yMode val="edge"/>
          <c:x val="0.26675"/>
          <c:y val="0.03"/>
          <c:w val="0.44725"/>
          <c:h val="0.2195"/>
        </c:manualLayout>
      </c:layout>
      <c:overlay val="0"/>
      <c:spPr>
        <a:ln w="44450">
          <a:prstDash val="dash"/>
        </a:ln>
      </c:spPr>
      <c:txPr>
        <a:bodyPr vert="horz" rot="0"/>
        <a:lstStyle/>
        <a:p>
          <a:pPr>
            <a:defRPr lang="en-US" sz="2000" b="1" u="none" baseline="0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ln>
      <a:noFill/>
    </a:ln>
  </c:spPr>
  <c:txPr>
    <a:bodyPr vert="horz" rot="0"/>
    <a:lstStyle/>
    <a:p>
      <a:pPr>
        <a:defRPr lang="en-US" u="none" baseline="0">
          <a:latin typeface="Arial"/>
          <a:ea typeface="Arial"/>
          <a:cs typeface="Arial"/>
        </a:defRPr>
      </a:pPr>
    </a:p>
  </c:txPr>
  <c:userShapes r:id="rId1"/>
</c:chartSpace>
</file>

<file path=xl/chart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3.bin" /></Relationships>
</file>

<file path=xl/chart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4.bin" /></Relationships>
</file>

<file path=xl/chartsheets/sheet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" right="0.7" top="0.75" bottom="0.75" header="0.3" footer="0.3"/>
  <pageSetup orientation="landscape" r:id="rId2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Views>
    <sheetView tabSelected="1" workbookViewId="0" zoomScale="85"/>
  </sheetViews>
  <pageMargins left="0.7" right="0.7" top="0.75" bottom="0.75" header="0.3" footer="0.3"/>
  <pageSetup orientation="landscape" r:id="rId2"/>
  <headerFooter alignWithMargins="0"/>
  <drawing r:id="rId1"/>
</chartsheet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9</xdr:col>
      <xdr:colOff>388620</xdr:colOff>
      <xdr:row>4</xdr:row>
      <xdr:rowOff>137160</xdr:rowOff>
    </xdr:from>
    <xdr:ext cx="182880" cy="266700"/>
    <xdr:sp macro="">
      <xdr:nvSpPr>
        <xdr:cNvPr id="2" name="TextBox 1"/>
        <xdr:cNvSpPr txBox="1"/>
      </xdr:nvSpPr>
      <xdr:spPr>
        <a:xfrm>
          <a:off x="9311640" y="899160"/>
          <a:ext cx="182880" cy="266700"/>
        </a:xfrm>
        <a:prstGeom prst="rect"/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205740</xdr:colOff>
      <xdr:row>0</xdr:row>
      <xdr:rowOff>83820</xdr:rowOff>
    </xdr:from>
    <xdr:ext cx="3078480" cy="784860"/>
    <xdr:sp macro="">
      <xdr:nvSpPr>
        <xdr:cNvPr id="3" name="TextBox 2"/>
        <xdr:cNvSpPr txBox="1"/>
      </xdr:nvSpPr>
      <xdr:spPr>
        <a:xfrm>
          <a:off x="205740" y="83820"/>
          <a:ext cx="3078480" cy="784860"/>
        </a:xfrm>
        <a:prstGeom prst="rect"/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Docket Nos. 20170266 &amp; 20170267</a:t>
          </a:r>
        </a:p>
        <a:p>
          <a:r>
            <a:rPr lang="en-US" sz="1100"/>
            <a:t>Work Papers for 2015, 2016, 2017 Ex Post Analysis</a:t>
          </a:r>
        </a:p>
        <a:p>
          <a:r>
            <a:rPr lang="en-US" sz="1100"/>
            <a:t>Wood Depo. Exh. 4</a:t>
          </a:r>
        </a:p>
        <a:p>
          <a:r>
            <a:rPr lang="en-US" sz="1100"/>
            <a:t>SECI00012619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13</xdr:col>
      <xdr:colOff>205740</xdr:colOff>
      <xdr:row>0</xdr:row>
      <xdr:rowOff>152400</xdr:rowOff>
    </xdr:from>
    <xdr:ext cx="182880" cy="266700"/>
    <xdr:sp macro="">
      <xdr:nvSpPr>
        <xdr:cNvPr id="2" name="TextBox 1"/>
        <xdr:cNvSpPr txBox="1"/>
      </xdr:nvSpPr>
      <xdr:spPr>
        <a:xfrm>
          <a:off x="12946380" y="152400"/>
          <a:ext cx="182880" cy="266700"/>
        </a:xfrm>
        <a:prstGeom prst="rect"/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304800</xdr:colOff>
      <xdr:row>1</xdr:row>
      <xdr:rowOff>83820</xdr:rowOff>
    </xdr:from>
    <xdr:ext cx="3078480" cy="784860"/>
    <xdr:sp macro="">
      <xdr:nvSpPr>
        <xdr:cNvPr id="3" name="TextBox 2"/>
        <xdr:cNvSpPr txBox="1"/>
      </xdr:nvSpPr>
      <xdr:spPr>
        <a:xfrm>
          <a:off x="304800" y="304800"/>
          <a:ext cx="3078480" cy="784860"/>
        </a:xfrm>
        <a:prstGeom prst="rect"/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Docket Nos. 20170266 &amp; 20170267</a:t>
          </a:r>
        </a:p>
        <a:p>
          <a:r>
            <a:rPr lang="en-US" sz="1100"/>
            <a:t>Work Papers for 2015, 2016, 2017 Ex Post Analysis</a:t>
          </a:r>
        </a:p>
        <a:p>
          <a:r>
            <a:rPr lang="en-US" sz="1100"/>
            <a:t>Wood Depo. Exh. 4</a:t>
          </a:r>
        </a:p>
        <a:p>
          <a:r>
            <a:rPr lang="en-US" sz="1100"/>
            <a:t>SECI00012620</a:t>
          </a:r>
        </a:p>
      </xdr:txBody>
    </xdr:sp>
    <xdr:clientData/>
  </xdr:oneCellAnchor>
</xdr:wsDr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0.9065</cdr:x>
      <cdr:y>0.21425</cdr:y>
    </cdr:from>
    <cdr:to>
      <cdr:x>0.99975</cdr:x>
      <cdr:y>0.26575</cdr:y>
    </cdr:to>
    <cdr:sp macro="">
      <cdr:nvSpPr>
        <cdr:cNvPr id="2" name="TextBox 2"/>
        <cdr:cNvSpPr txBox="1"/>
      </cdr:nvSpPr>
      <cdr:spPr>
        <a:xfrm>
          <a:off x="7840980" y="1341120"/>
          <a:ext cx="807720" cy="320040"/>
        </a:xfrm>
        <a:prstGeom prst="rect"/>
        <a:noFill/>
        <a:ln w="9525" cmpd="sng">
          <a:noFill/>
        </a:ln>
      </cdr:spPr>
      <c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0" u="none">
              <a:solidFill>
                <a:schemeClr val="bg1">
                  <a:lumMod val="50000"/>
                </a:schemeClr>
              </a:solidFill>
            </a:rPr>
            <a:t>(GWh)</a:t>
          </a:r>
        </a:p>
      </cdr:txBody>
    </cdr:sp>
  </cdr:relSizeAnchor>
  <cdr:relSizeAnchor xmlns:cdr="http://schemas.openxmlformats.org/drawingml/2006/chartDrawing">
    <cdr:from>
      <cdr:x>0.00925</cdr:x>
      <cdr:y>0.90125</cdr:y>
    </cdr:from>
    <cdr:to>
      <cdr:x>0.99975</cdr:x>
      <cdr:y>0.9945</cdr:y>
    </cdr:to>
    <cdr:sp macro="">
      <cdr:nvSpPr>
        <cdr:cNvPr id="3" name="TextBox 1"/>
        <cdr:cNvSpPr txBox="1"/>
      </cdr:nvSpPr>
      <cdr:spPr>
        <a:xfrm>
          <a:off x="76200" y="5654040"/>
          <a:ext cx="8572500" cy="586740"/>
        </a:xfrm>
        <a:prstGeom prst="rect"/>
        <a:ln>
          <a:noFill/>
        </a:ln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/>
        </a:p>
      </cdr:txBody>
    </cdr:sp>
  </cdr:relSizeAnchor>
  <cdr:relSizeAnchor xmlns:cdr="http://schemas.openxmlformats.org/drawingml/2006/chartDrawing">
    <cdr:from>
      <cdr:x>0.28</cdr:x>
      <cdr:y>0.138</cdr:y>
    </cdr:from>
    <cdr:to>
      <cdr:x>0.89625</cdr:x>
      <cdr:y>0.23875</cdr:y>
    </cdr:to>
    <cdr:sp macro="">
      <cdr:nvSpPr>
        <cdr:cNvPr id="5" name="Rectangle 4"/>
        <cdr:cNvSpPr/>
      </cdr:nvSpPr>
      <cdr:spPr>
        <a:xfrm>
          <a:off x="2423160" y="861060"/>
          <a:ext cx="5334000" cy="632460"/>
        </a:xfrm>
        <a:prstGeom prst="rect"/>
        <a:noFill/>
        <a:ln/>
      </cdr:spPr>
      <c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endParaRPr lang="en-US"/>
        </a:p>
      </cdr:txBody>
    </cdr:sp>
  </cdr:relSizeAnchor>
  <cdr:relSizeAnchor xmlns:cdr="http://schemas.openxmlformats.org/drawingml/2006/chartDrawing">
    <cdr:from>
      <cdr:x>0.56725</cdr:x>
      <cdr:y>0.085</cdr:y>
    </cdr:from>
    <cdr:to>
      <cdr:x>0.75625</cdr:x>
      <cdr:y>0.2565</cdr:y>
    </cdr:to>
    <cdr:sp macro="">
      <cdr:nvSpPr>
        <cdr:cNvPr id="8" name="TextBox 7"/>
        <cdr:cNvSpPr txBox="1"/>
      </cdr:nvSpPr>
      <cdr:spPr>
        <a:xfrm>
          <a:off x="4907280" y="533400"/>
          <a:ext cx="1638300" cy="1074420"/>
        </a:xfrm>
        <a:prstGeom prst="rect"/>
        <a:noFill/>
        <a:ln>
          <a:noFill/>
        </a:ln>
      </cdr:spPr>
      <cdr:txBody>
        <a:bodyPr xmlns:a="http://schemas.openxmlformats.org/drawingml/2006/main" wrap="square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2000" b="1" i="1" u="sng" dirty="0" smtClean="0">
              <a:solidFill>
                <a:schemeClr val="tx1">
                  <a:lumMod val="65000"/>
                  <a:lumOff val="35000"/>
                </a:schemeClr>
              </a:solidFill>
            </a:rPr>
            <a:t>MAPE</a:t>
          </a:r>
        </a:p>
        <a:p xmlns:a="http://schemas.openxmlformats.org/drawingml/2006/main">
          <a:pPr algn="ctr"/>
          <a:r>
            <a:rPr lang="en-US" sz="2000" b="1" i="1" dirty="0" smtClean="0">
              <a:solidFill>
                <a:schemeClr val="tx1">
                  <a:lumMod val="65000"/>
                  <a:lumOff val="35000"/>
                </a:schemeClr>
              </a:solidFill>
            </a:rPr>
            <a:t>2.3%</a:t>
          </a:r>
        </a:p>
        <a:p xmlns:a="http://schemas.openxmlformats.org/drawingml/2006/main">
          <a:pPr algn="ctr"/>
          <a:r>
            <a:rPr lang="en-US" sz="2000" b="1" i="1" dirty="0" smtClean="0">
              <a:solidFill>
                <a:schemeClr val="tx1">
                  <a:lumMod val="65000"/>
                  <a:lumOff val="35000"/>
                </a:schemeClr>
              </a:solidFill>
            </a:rPr>
            <a:t>1.8%</a:t>
          </a:r>
          <a:endParaRPr lang="en-US" sz="2000" b="1" i="1" dirty="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0.69025</cdr:x>
      <cdr:y>0.04875</cdr:y>
    </cdr:from>
    <cdr:to>
      <cdr:x>0.9095</cdr:x>
      <cdr:y>0.22025</cdr:y>
    </cdr:to>
    <cdr:sp macro="">
      <cdr:nvSpPr>
        <cdr:cNvPr id="9" name="TextBox 1"/>
        <cdr:cNvSpPr txBox="1"/>
      </cdr:nvSpPr>
      <cdr:spPr>
        <a:xfrm>
          <a:off x="5974080" y="304800"/>
          <a:ext cx="1897380" cy="1074420"/>
        </a:xfrm>
        <a:prstGeom prst="rect"/>
        <a:noFill/>
        <a:ln>
          <a:noFill/>
        </a:ln>
      </cdr:spPr>
      <cdr:txBody>
        <a:bodyPr xmlns:a="http://schemas.openxmlformats.org/drawingml/2006/main" wrap="square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800" b="1" i="1" u="sng" dirty="0" smtClean="0">
              <a:solidFill>
                <a:schemeClr val="tx1">
                  <a:lumMod val="65000"/>
                  <a:lumOff val="35000"/>
                </a:schemeClr>
              </a:solidFill>
            </a:rPr>
            <a:t>MAPE</a:t>
          </a:r>
          <a:r>
            <a:rPr lang="en-US" sz="2000" b="1" i="1" u="sng" dirty="0" smtClean="0">
              <a:solidFill>
                <a:schemeClr val="tx1">
                  <a:lumMod val="65000"/>
                  <a:lumOff val="35000"/>
                </a:schemeClr>
              </a:solidFill>
            </a:rPr>
            <a:t> </a:t>
          </a:r>
        </a:p>
        <a:p xmlns:a="http://schemas.openxmlformats.org/drawingml/2006/main">
          <a:pPr algn="ctr"/>
          <a:r>
            <a:rPr lang="en-US" sz="1400" b="1" i="1" u="sng" dirty="0" smtClean="0">
              <a:solidFill>
                <a:schemeClr val="tx1">
                  <a:lumMod val="65000"/>
                  <a:lumOff val="35000"/>
                </a:schemeClr>
              </a:solidFill>
            </a:rPr>
            <a:t>(w/o Sept.)</a:t>
          </a:r>
        </a:p>
        <a:p xmlns:a="http://schemas.openxmlformats.org/drawingml/2006/main">
          <a:pPr lvl="0" algn="ctr"/>
          <a:r>
            <a:rPr lang="en-US" sz="2000" b="1" i="1" dirty="0" smtClean="0">
              <a:solidFill>
                <a:schemeClr val="tx1">
                  <a:lumMod val="65000"/>
                  <a:lumOff val="35000"/>
                </a:schemeClr>
              </a:solidFill>
            </a:rPr>
            <a:t>1.9%</a:t>
          </a:r>
        </a:p>
        <a:p xmlns:a="http://schemas.openxmlformats.org/drawingml/2006/main">
          <a:pPr lvl="0" algn="ctr"/>
          <a:r>
            <a:rPr lang="en-US" sz="2000" b="1" i="1" dirty="0" smtClean="0">
              <a:solidFill>
                <a:schemeClr val="tx1">
                  <a:lumMod val="65000"/>
                  <a:lumOff val="35000"/>
                </a:schemeClr>
              </a:solidFill>
            </a:rPr>
            <a:t>1.5%</a:t>
          </a:r>
          <a:endParaRPr lang="en-US" sz="2000" b="1" i="1" dirty="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0.01175</cdr:x>
      <cdr:y>0.87575</cdr:y>
    </cdr:from>
    <cdr:to>
      <cdr:x>0.93775</cdr:x>
      <cdr:y>0.983</cdr:y>
    </cdr:to>
    <cdr:pic>
      <cdr:nvPicPr>
        <cdr:cNvPr id="10" name="chart"/>
        <cdr:cNvPicPr>
          <a:picLocks noChangeAspect="1"/>
        </cdr:cNvPicPr>
      </cdr:nvPicPr>
      <cdr:blipFill>
        <a:blip r:embed="rId1"/>
        <a:stretch>
          <a:fillRect/>
        </a:stretch>
      </cdr:blipFill>
      <cdr:spPr>
        <a:xfrm>
          <a:off x="99060" y="5494020"/>
          <a:ext cx="8016240" cy="670560"/>
        </a:xfrm>
        <a:prstGeom prst="rect"/>
        <a:ln>
          <a:noFill/>
        </a:ln>
      </cdr:spPr>
    </cdr:pic>
  </cdr:relSizeAnchor>
  <cdr:relSizeAnchor xmlns:cdr="http://schemas.openxmlformats.org/drawingml/2006/chartDrawing">
    <cdr:from>
      <cdr:x>0.632</cdr:x>
      <cdr:y>0.01075</cdr:y>
    </cdr:from>
    <cdr:to>
      <cdr:x>0.7375</cdr:x>
      <cdr:y>0.15625</cdr:y>
    </cdr:to>
    <cdr:sp macro="">
      <cdr:nvSpPr>
        <cdr:cNvPr id="4" name="TextBox 3"/>
        <cdr:cNvSpPr txBox="1"/>
      </cdr:nvSpPr>
      <cdr:spPr>
        <a:xfrm>
          <a:off x="5463540" y="60960"/>
          <a:ext cx="914400" cy="914400"/>
        </a:xfrm>
        <a:prstGeom prst="rect"/>
        <a:ln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700" baseline="0"/>
            <a:t>Docket Nos. 20170266 &amp; 20170267</a:t>
          </a:r>
        </a:p>
        <a:p xmlns:a="http://schemas.openxmlformats.org/drawingml/2006/main">
          <a:r>
            <a:rPr lang="en-US" sz="700" baseline="0"/>
            <a:t>Work Papers for 2015, 2016, 2017 Ex Post Analysis</a:t>
          </a:r>
        </a:p>
        <a:p xmlns:a="http://schemas.openxmlformats.org/drawingml/2006/main">
          <a:r>
            <a:rPr lang="en-US" sz="700" baseline="0"/>
            <a:t>Wood Depo. Exh. 4</a:t>
          </a:r>
        </a:p>
        <a:p xmlns:a="http://schemas.openxmlformats.org/drawingml/2006/main">
          <a:r>
            <a:rPr lang="en-US" sz="700" baseline="0"/>
            <a:t>SECI00012621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8656320" cy="6278880"/>
    <xdr:graphicFrame macro="">
      <xdr:nvGraphicFramePr>
        <xdr:cNvPr id="2" name="Chart 1"/>
        <xdr:cNvGraphicFramePr/>
      </xdr:nvGraphicFramePr>
      <xdr:xfrm>
        <a:off x="0" y="0"/>
        <a:ext cx="8656320" cy="627888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0.90925</cdr:x>
      <cdr:y>0.21175</cdr:y>
    </cdr:from>
    <cdr:to>
      <cdr:x>0.99975</cdr:x>
      <cdr:y>0.263</cdr:y>
    </cdr:to>
    <cdr:sp macro="">
      <cdr:nvSpPr>
        <cdr:cNvPr id="2" name="TextBox 2"/>
        <cdr:cNvSpPr txBox="1"/>
      </cdr:nvSpPr>
      <cdr:spPr>
        <a:xfrm>
          <a:off x="7863840" y="1325880"/>
          <a:ext cx="784860" cy="320040"/>
        </a:xfrm>
        <a:prstGeom prst="rect"/>
        <a:noFill/>
        <a:ln w="9525" cmpd="sng">
          <a:noFill/>
        </a:ln>
      </cdr:spPr>
      <c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0" u="none">
              <a:solidFill>
                <a:schemeClr val="bg1">
                  <a:lumMod val="50000"/>
                </a:schemeClr>
              </a:solidFill>
            </a:rPr>
            <a:t>(MW)</a:t>
          </a:r>
        </a:p>
      </cdr:txBody>
    </cdr:sp>
  </cdr:relSizeAnchor>
  <cdr:relSizeAnchor xmlns:cdr="http://schemas.openxmlformats.org/drawingml/2006/chartDrawing">
    <cdr:from>
      <cdr:x>0.00925</cdr:x>
      <cdr:y>0.90125</cdr:y>
    </cdr:from>
    <cdr:to>
      <cdr:x>0.99975</cdr:x>
      <cdr:y>0.9945</cdr:y>
    </cdr:to>
    <cdr:sp macro="">
      <cdr:nvSpPr>
        <cdr:cNvPr id="3" name="TextBox 1"/>
        <cdr:cNvSpPr txBox="1"/>
      </cdr:nvSpPr>
      <cdr:spPr>
        <a:xfrm>
          <a:off x="76200" y="5661660"/>
          <a:ext cx="8572500" cy="586740"/>
        </a:xfrm>
        <a:prstGeom prst="rect"/>
        <a:ln>
          <a:noFill/>
        </a:ln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/>
        </a:p>
      </cdr:txBody>
    </cdr:sp>
  </cdr:relSizeAnchor>
  <cdr:relSizeAnchor xmlns:cdr="http://schemas.openxmlformats.org/drawingml/2006/chartDrawing">
    <cdr:from>
      <cdr:x>0.6245</cdr:x>
      <cdr:y>0.08575</cdr:y>
    </cdr:from>
    <cdr:to>
      <cdr:x>0.8135</cdr:x>
      <cdr:y>0.25725</cdr:y>
    </cdr:to>
    <cdr:sp macro="">
      <cdr:nvSpPr>
        <cdr:cNvPr id="7" name="TextBox 7"/>
        <cdr:cNvSpPr txBox="1"/>
      </cdr:nvSpPr>
      <cdr:spPr>
        <a:xfrm>
          <a:off x="5402580" y="533400"/>
          <a:ext cx="1638300" cy="1074420"/>
        </a:xfrm>
        <a:prstGeom prst="rect"/>
        <a:noFill/>
        <a:ln>
          <a:noFill/>
        </a:ln>
      </cdr:spPr>
      <cdr:txBody>
        <a:bodyPr xmlns:a="http://schemas.openxmlformats.org/drawingml/2006/main" wrap="square" rtlCol="0">
          <a:no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2000" b="1" i="1" u="sng" dirty="0" smtClean="0">
              <a:solidFill>
                <a:schemeClr val="tx1">
                  <a:lumMod val="65000"/>
                  <a:lumOff val="35000"/>
                </a:schemeClr>
              </a:solidFill>
            </a:rPr>
            <a:t>MAPE</a:t>
          </a:r>
        </a:p>
        <a:p xmlns:a="http://schemas.openxmlformats.org/drawingml/2006/main">
          <a:pPr algn="ctr"/>
          <a:r>
            <a:rPr lang="en-US" sz="2000" b="1" i="1" dirty="0" smtClean="0">
              <a:solidFill>
                <a:schemeClr val="tx1">
                  <a:lumMod val="65000"/>
                  <a:lumOff val="35000"/>
                </a:schemeClr>
              </a:solidFill>
            </a:rPr>
            <a:t>3.5%</a:t>
          </a:r>
        </a:p>
        <a:p xmlns:a="http://schemas.openxmlformats.org/drawingml/2006/main">
          <a:pPr algn="ctr"/>
          <a:r>
            <a:rPr lang="en-US" sz="2000" b="1" i="1" dirty="0" smtClean="0">
              <a:solidFill>
                <a:schemeClr val="tx1">
                  <a:lumMod val="65000"/>
                  <a:lumOff val="35000"/>
                </a:schemeClr>
              </a:solidFill>
            </a:rPr>
            <a:t>2.3%</a:t>
          </a:r>
          <a:endParaRPr lang="en-US" sz="2000" b="1" i="1" dirty="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0.31575</cdr:x>
      <cdr:y>0.13775</cdr:y>
    </cdr:from>
    <cdr:to>
      <cdr:x>0.77575</cdr:x>
      <cdr:y>0.24375</cdr:y>
    </cdr:to>
    <cdr:sp macro="">
      <cdr:nvSpPr>
        <cdr:cNvPr id="9" name="Rectangle 8"/>
        <cdr:cNvSpPr/>
      </cdr:nvSpPr>
      <cdr:spPr>
        <a:xfrm>
          <a:off x="2727960" y="861060"/>
          <a:ext cx="3985260" cy="662940"/>
        </a:xfrm>
        <a:prstGeom prst="rect"/>
        <a:noFill/>
        <a:ln/>
      </cdr:spPr>
      <c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cdr:style>
      <cdr:txBody>
        <a:bodyPr xmlns:a="http://schemas.openxmlformats.org/drawingml/2006/main" rtlCol="0" anchor="ctr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endParaRPr lang="en-US"/>
        </a:p>
      </cdr:txBody>
    </cdr:sp>
  </cdr:relSizeAnchor>
  <cdr:relSizeAnchor xmlns:cdr="http://schemas.openxmlformats.org/drawingml/2006/chartDrawing">
    <cdr:from>
      <cdr:x>0.01625</cdr:x>
      <cdr:y>0.885</cdr:y>
    </cdr:from>
    <cdr:to>
      <cdr:x>0.947</cdr:x>
      <cdr:y>0.98475</cdr:y>
    </cdr:to>
    <cdr:pic>
      <cdr:nvPicPr>
        <cdr:cNvPr id="5" name="chart"/>
        <cdr:cNvPicPr>
          <a:picLocks noChangeAspect="1"/>
        </cdr:cNvPicPr>
      </cdr:nvPicPr>
      <cdr:blipFill>
        <a:blip r:embed="rId1"/>
        <a:stretch>
          <a:fillRect/>
        </a:stretch>
      </cdr:blipFill>
      <cdr:spPr>
        <a:xfrm>
          <a:off x="137160" y="5562600"/>
          <a:ext cx="8054340" cy="624840"/>
        </a:xfrm>
        <a:prstGeom prst="rect"/>
        <a:ln>
          <a:noFill/>
        </a:ln>
      </cdr:spPr>
    </cdr:pic>
  </cdr:relSizeAnchor>
  <cdr:relSizeAnchor xmlns:cdr="http://schemas.openxmlformats.org/drawingml/2006/chartDrawing">
    <cdr:from>
      <cdr:x>0.741</cdr:x>
      <cdr:y>0.0185</cdr:y>
    </cdr:from>
    <cdr:to>
      <cdr:x>0.8465</cdr:x>
      <cdr:y>0.164</cdr:y>
    </cdr:to>
    <cdr:sp macro="">
      <cdr:nvSpPr>
        <cdr:cNvPr id="4" name="TextBox 3"/>
        <cdr:cNvSpPr txBox="1"/>
      </cdr:nvSpPr>
      <cdr:spPr>
        <a:xfrm>
          <a:off x="6408420" y="114300"/>
          <a:ext cx="914400" cy="914400"/>
        </a:xfrm>
        <a:prstGeom prst="rect"/>
        <a:ln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790" baseline="0"/>
            <a:t>Docket Nos. 20170266 &amp; 20170267</a:t>
          </a:r>
        </a:p>
        <a:p xmlns:a="http://schemas.openxmlformats.org/drawingml/2006/main">
          <a:r>
            <a:rPr lang="en-US" sz="790" baseline="0"/>
            <a:t>Work Papers for 2015, 2016, 2017 Ex Post Analysis</a:t>
          </a:r>
        </a:p>
        <a:p xmlns:a="http://schemas.openxmlformats.org/drawingml/2006/main">
          <a:r>
            <a:rPr lang="en-US" sz="790" baseline="0"/>
            <a:t>Wood Depo. Exh. 4</a:t>
          </a:r>
        </a:p>
        <a:p xmlns:a="http://schemas.openxmlformats.org/drawingml/2006/main">
          <a:r>
            <a:rPr lang="en-US" sz="790" baseline="0"/>
            <a:t>SECI00012622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8656320" cy="6286500"/>
    <xdr:graphicFrame macro="">
      <xdr:nvGraphicFramePr>
        <xdr:cNvPr id="2" name="Chart 1"/>
        <xdr:cNvGraphicFramePr/>
      </xdr:nvGraphicFramePr>
      <xdr:xfrm>
        <a:off x="0" y="0"/>
        <a:ext cx="8656320" cy="6286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6:O48"/>
  <sheetViews>
    <sheetView zoomScale="85" zoomScaleNormal="85" workbookViewId="0" topLeftCell="A1">
      <selection pane="topLeft" activeCell="A1" sqref="A1"/>
    </sheetView>
  </sheetViews>
  <sheetFormatPr defaultColWidth="8.72727272727273" defaultRowHeight="15"/>
  <cols>
    <col min="1" max="1" width="8.63636363636364" style="3" customWidth="1"/>
    <col min="2" max="2" width="8" style="3" customWidth="1"/>
    <col min="3" max="3" width="15.0909090909091" style="3" customWidth="1"/>
    <col min="4" max="4" width="10.6363636363636" style="3" customWidth="1"/>
    <col min="5" max="5" width="13.0909090909091" style="3" customWidth="1"/>
    <col min="6" max="6" width="10.8181818181818" style="3" customWidth="1"/>
    <col min="7" max="7" width="11.8181818181818" style="3" bestFit="1" customWidth="1"/>
    <col min="8" max="8" width="14.3636363636364" style="3" customWidth="1"/>
    <col min="9" max="9" width="14" style="3" customWidth="1"/>
    <col min="10" max="10" width="7.81818181818182" style="3" bestFit="1" customWidth="1"/>
    <col min="11" max="11" width="11.5454545454545" style="3" customWidth="1"/>
    <col min="12" max="14" width="11.3636363636364" style="3" bestFit="1" customWidth="1"/>
    <col min="15" max="15" width="13.6363636363636" style="3" customWidth="1"/>
  </cols>
  <sheetData>
    <row r="6" spans="2:13" ht="15">
      <c r="B6" s="5" t="s">
        <v>43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5" s="2" customFormat="1" ht="26.4">
      <c r="A7" s="4"/>
      <c r="B7" s="7" t="s">
        <v>41</v>
      </c>
      <c r="C7" s="9" t="s">
        <v>56</v>
      </c>
      <c r="D7" s="9" t="s">
        <v>40</v>
      </c>
      <c r="E7" s="113" t="s">
        <v>68</v>
      </c>
      <c r="F7" s="7" t="s">
        <v>23</v>
      </c>
      <c r="G7" s="9" t="s">
        <v>50</v>
      </c>
      <c r="H7" s="9" t="s">
        <v>57</v>
      </c>
      <c r="I7" s="9" t="s">
        <v>42</v>
      </c>
      <c r="J7" s="5"/>
      <c r="K7" s="5"/>
      <c r="L7" s="5"/>
      <c r="M7" s="7"/>
      <c r="N7" s="4"/>
      <c r="O7" s="4"/>
    </row>
    <row r="8" spans="2:13" ht="15">
      <c r="B8" s="5" t="s">
        <v>35</v>
      </c>
      <c r="C8" s="14">
        <v>1011479416.8</v>
      </c>
      <c r="D8" s="14">
        <v>999612389</v>
      </c>
      <c r="E8" s="112">
        <f>7875670+2038487.54</f>
        <v>9914157.5399999991</v>
      </c>
      <c r="F8" s="8">
        <v>12221327</v>
      </c>
      <c r="G8" s="8">
        <f>12652+3977</f>
        <v>16629</v>
      </c>
      <c r="H8" s="17">
        <f t="shared" si="0" ref="H8:H19">C8+E8-F8+G8</f>
        <v>1009188876.3399999</v>
      </c>
      <c r="I8" s="17">
        <f t="shared" si="1" ref="I8:I19">D8+E8-F8+G8</f>
        <v>997321848.53999996</v>
      </c>
      <c r="J8" s="5"/>
      <c r="K8" s="5"/>
      <c r="L8" s="5"/>
      <c r="M8" s="5"/>
    </row>
    <row r="9" spans="2:13" ht="15">
      <c r="B9" s="18" t="s">
        <v>24</v>
      </c>
      <c r="C9" s="14">
        <v>1028615061.7000001</v>
      </c>
      <c r="D9" s="14">
        <v>1027728603</v>
      </c>
      <c r="E9" s="112">
        <f>8110241+2311159.93</f>
        <v>10421400.93</v>
      </c>
      <c r="F9" s="8">
        <v>9745199</v>
      </c>
      <c r="G9" s="8">
        <f>11197+3719</f>
        <v>14916</v>
      </c>
      <c r="H9" s="17">
        <f t="shared" si="0"/>
        <v>1029306179.63</v>
      </c>
      <c r="I9" s="17">
        <f t="shared" si="1"/>
        <v>1028419720.93</v>
      </c>
      <c r="J9" s="5"/>
      <c r="K9" s="5"/>
      <c r="L9" s="5"/>
      <c r="M9" s="5"/>
    </row>
    <row r="10" spans="2:13" ht="15">
      <c r="B10" s="18" t="s">
        <v>25</v>
      </c>
      <c r="C10" s="14">
        <v>901753042.48000002</v>
      </c>
      <c r="D10" s="14">
        <v>889354839</v>
      </c>
      <c r="E10" s="112">
        <f>5705128+379169.8</f>
        <v>6084297.7999999998</v>
      </c>
      <c r="F10" s="8">
        <v>10259848</v>
      </c>
      <c r="G10" s="8">
        <f>9199+3184</f>
        <v>12383</v>
      </c>
      <c r="H10" s="17">
        <f t="shared" si="0"/>
        <v>897589875.27999997</v>
      </c>
      <c r="I10" s="17">
        <f t="shared" si="1"/>
        <v>885191671.79999995</v>
      </c>
      <c r="J10" s="5"/>
      <c r="K10" s="5"/>
      <c r="L10" s="5"/>
      <c r="M10" s="5"/>
    </row>
    <row r="11" spans="2:13" ht="15">
      <c r="B11" s="18" t="s">
        <v>26</v>
      </c>
      <c r="C11" s="14">
        <v>993643672.41999996</v>
      </c>
      <c r="D11" s="14">
        <v>974441131</v>
      </c>
      <c r="E11" s="112">
        <f>8250191+1203679.18</f>
        <v>9453870.1799999997</v>
      </c>
      <c r="F11" s="8">
        <v>11006808</v>
      </c>
      <c r="G11" s="8">
        <f>11262+3080</f>
        <v>14342</v>
      </c>
      <c r="H11" s="17">
        <f t="shared" si="0"/>
        <v>992105076.5999999</v>
      </c>
      <c r="I11" s="17">
        <f t="shared" si="1"/>
        <v>972902535.17999995</v>
      </c>
      <c r="J11" s="5"/>
      <c r="K11" s="5"/>
      <c r="L11" s="5"/>
      <c r="M11" s="5"/>
    </row>
    <row r="12" spans="2:13" ht="15">
      <c r="B12" s="18" t="s">
        <v>27</v>
      </c>
      <c r="C12" s="14">
        <v>1051814725.1</v>
      </c>
      <c r="D12" s="14">
        <v>1040573647</v>
      </c>
      <c r="E12" s="112">
        <f>7952819+832169.429999999</f>
        <v>8784988.4299999997</v>
      </c>
      <c r="F12" s="8">
        <v>11690872</v>
      </c>
      <c r="G12" s="8">
        <f>11025+3321</f>
        <v>14346</v>
      </c>
      <c r="H12" s="17">
        <f t="shared" si="0"/>
        <v>1048923187.53</v>
      </c>
      <c r="I12" s="17">
        <f t="shared" si="1"/>
        <v>1037682109.43</v>
      </c>
      <c r="J12" s="5"/>
      <c r="K12" s="5"/>
      <c r="L12" s="5"/>
      <c r="M12" s="5"/>
    </row>
    <row r="13" spans="2:13" ht="15">
      <c r="B13" s="18" t="s">
        <v>28</v>
      </c>
      <c r="C13" s="14">
        <v>1265215895.7000001</v>
      </c>
      <c r="D13" s="14">
        <v>1249180128</v>
      </c>
      <c r="E13" s="112">
        <f>6966852+2586512.29</f>
        <v>9553364.2899999991</v>
      </c>
      <c r="F13" s="8">
        <v>12603880</v>
      </c>
      <c r="G13" s="8">
        <f>14457+3816</f>
        <v>18273</v>
      </c>
      <c r="H13" s="17">
        <f t="shared" si="0"/>
        <v>1262183652.99</v>
      </c>
      <c r="I13" s="17">
        <f t="shared" si="1"/>
        <v>1246147885.29</v>
      </c>
      <c r="J13" s="5"/>
      <c r="K13" s="5"/>
      <c r="L13" s="5"/>
      <c r="M13" s="5"/>
    </row>
    <row r="14" spans="2:13" ht="15">
      <c r="B14" s="18" t="s">
        <v>29</v>
      </c>
      <c r="C14" s="14">
        <v>1302963499.9000001</v>
      </c>
      <c r="D14" s="14">
        <v>1281671218</v>
      </c>
      <c r="E14" s="112">
        <f>6521203+2509193.57</f>
        <v>9030396.5700000003</v>
      </c>
      <c r="F14" s="8">
        <v>12038665</v>
      </c>
      <c r="G14" s="8">
        <f>16024+5111</f>
        <v>21135</v>
      </c>
      <c r="H14" s="17">
        <f t="shared" si="0"/>
        <v>1299976366.47</v>
      </c>
      <c r="I14" s="17">
        <f t="shared" si="1"/>
        <v>1278684084.5699999</v>
      </c>
      <c r="J14" s="5"/>
      <c r="K14" s="5"/>
      <c r="L14" s="5"/>
      <c r="M14" s="5"/>
    </row>
    <row r="15" spans="2:13" ht="15">
      <c r="B15" s="18" t="s">
        <v>30</v>
      </c>
      <c r="C15" s="14">
        <v>1443368329.8</v>
      </c>
      <c r="D15" s="14">
        <v>1425485823</v>
      </c>
      <c r="E15" s="112">
        <f>6720703+2577602.66</f>
        <v>9298305.6600000001</v>
      </c>
      <c r="F15" s="8">
        <v>13574174</v>
      </c>
      <c r="G15" s="8">
        <f>14920+4583</f>
        <v>19503</v>
      </c>
      <c r="H15" s="17">
        <f t="shared" si="0"/>
        <v>1439111964.46</v>
      </c>
      <c r="I15" s="17">
        <f t="shared" si="1"/>
        <v>1421229457.6600001</v>
      </c>
      <c r="J15" s="5"/>
      <c r="K15" s="5"/>
      <c r="L15" s="5"/>
      <c r="M15" s="5"/>
    </row>
    <row r="16" spans="2:13" ht="15">
      <c r="B16" s="18" t="s">
        <v>31</v>
      </c>
      <c r="C16" s="14">
        <v>1462360788.3</v>
      </c>
      <c r="D16" s="14">
        <v>1448427123</v>
      </c>
      <c r="E16" s="112">
        <f>6769293+3062393.55</f>
        <v>9831686.5500000007</v>
      </c>
      <c r="F16" s="8">
        <v>13195561</v>
      </c>
      <c r="G16" s="8">
        <f>15814+3532</f>
        <v>19346</v>
      </c>
      <c r="H16" s="17">
        <f t="shared" si="0"/>
        <v>1459016259.8499999</v>
      </c>
      <c r="I16" s="17">
        <f t="shared" si="1"/>
        <v>1445082594.55</v>
      </c>
      <c r="J16" s="5"/>
      <c r="K16" s="5"/>
      <c r="L16" s="5"/>
      <c r="M16" s="5"/>
    </row>
    <row r="17" spans="2:13" ht="15">
      <c r="B17" s="18" t="s">
        <v>32</v>
      </c>
      <c r="C17" s="14">
        <v>1319504882.4000001</v>
      </c>
      <c r="D17" s="14">
        <v>1302318818</v>
      </c>
      <c r="E17" s="112">
        <f>6085788+1775182.04</f>
        <v>7860970.04</v>
      </c>
      <c r="F17" s="8">
        <v>12034317</v>
      </c>
      <c r="G17" s="8">
        <f>13586+3297</f>
        <v>16883</v>
      </c>
      <c r="H17" s="17">
        <f t="shared" si="0"/>
        <v>1315348418.4400001</v>
      </c>
      <c r="I17" s="17">
        <f t="shared" si="1"/>
        <v>1298162354.04</v>
      </c>
      <c r="J17" s="5"/>
      <c r="K17" s="5"/>
      <c r="L17" s="5"/>
      <c r="M17" s="5"/>
    </row>
    <row r="18" spans="2:13" ht="15">
      <c r="B18" s="18" t="s">
        <v>33</v>
      </c>
      <c r="C18" s="14">
        <v>1199675350.5</v>
      </c>
      <c r="D18" s="14">
        <v>1188930886</v>
      </c>
      <c r="E18" s="112">
        <f>6489932+2341386.18</f>
        <v>8831318.1799999997</v>
      </c>
      <c r="F18" s="8">
        <v>13260501</v>
      </c>
      <c r="G18" s="8">
        <f>10782+3252</f>
        <v>14034</v>
      </c>
      <c r="H18" s="17">
        <f t="shared" si="0"/>
        <v>1195260201.6800001</v>
      </c>
      <c r="I18" s="17">
        <f t="shared" si="1"/>
        <v>1184515737.1800001</v>
      </c>
      <c r="J18" s="5"/>
      <c r="K18" s="5"/>
      <c r="L18" s="5"/>
      <c r="M18" s="5"/>
    </row>
    <row r="19" spans="2:13" ht="15">
      <c r="B19" s="5" t="s">
        <v>34</v>
      </c>
      <c r="C19" s="14">
        <v>953579002.01999998</v>
      </c>
      <c r="D19" s="14">
        <v>927877225</v>
      </c>
      <c r="E19" s="112">
        <f>2153319.51</f>
        <v>2153319.5099999998</v>
      </c>
      <c r="F19" s="5">
        <v>12877906</v>
      </c>
      <c r="G19" s="5"/>
      <c r="H19" s="17">
        <f t="shared" si="0"/>
        <v>942854415.52999997</v>
      </c>
      <c r="I19" s="17">
        <f t="shared" si="1"/>
        <v>917152638.50999999</v>
      </c>
      <c r="J19" s="5"/>
      <c r="K19" s="5"/>
      <c r="L19" s="5"/>
      <c r="M19" s="5"/>
    </row>
    <row r="20" spans="2:13" ht="1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2:13" ht="14.25" customHeight="1">
      <c r="B21" s="5" t="s">
        <v>44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2:12" ht="63" customHeight="1">
      <c r="B22" s="7" t="s">
        <v>41</v>
      </c>
      <c r="C22" s="9" t="s">
        <v>56</v>
      </c>
      <c r="D22" s="9" t="s">
        <v>40</v>
      </c>
      <c r="E22" s="113" t="s">
        <v>68</v>
      </c>
      <c r="F22" s="9" t="s">
        <v>63</v>
      </c>
      <c r="G22" s="9" t="s">
        <v>64</v>
      </c>
      <c r="H22" s="9" t="s">
        <v>49</v>
      </c>
      <c r="I22" s="9" t="s">
        <v>53</v>
      </c>
      <c r="J22" s="7" t="s">
        <v>48</v>
      </c>
      <c r="K22" s="9" t="s">
        <v>66</v>
      </c>
      <c r="L22" s="9" t="s">
        <v>65</v>
      </c>
    </row>
    <row r="23" spans="2:12" ht="15">
      <c r="B23" s="5" t="s">
        <v>35</v>
      </c>
      <c r="C23" s="14">
        <v>2441973</v>
      </c>
      <c r="D23" s="14">
        <v>2443769</v>
      </c>
      <c r="E23" s="112">
        <f>10661+3252.87</f>
        <v>13913.869999999999</v>
      </c>
      <c r="F23" s="15">
        <f t="shared" si="2" ref="F23:F34">C23+E23</f>
        <v>2455886.87</v>
      </c>
      <c r="G23" s="15">
        <f>D23+E23</f>
        <v>2457682.87</v>
      </c>
      <c r="H23" s="8">
        <f>2454057/1000</f>
        <v>2454.0569999999998</v>
      </c>
      <c r="I23" s="8">
        <v>2286.8510000000001</v>
      </c>
      <c r="J23" s="16">
        <f>I23/H23</f>
        <v>0.93186547826721233</v>
      </c>
      <c r="K23" s="17">
        <f t="shared" si="3" ref="K23:K34">F23*J23</f>
        <v>2288556.192682717</v>
      </c>
      <c r="L23" s="17">
        <f t="shared" si="4" ref="L23:L34">G23*J23</f>
        <v>2290229.8230816852</v>
      </c>
    </row>
    <row r="24" spans="2:12" ht="15">
      <c r="B24" s="18" t="s">
        <v>24</v>
      </c>
      <c r="C24" s="14">
        <v>3011522</v>
      </c>
      <c r="D24" s="14">
        <v>2939448</v>
      </c>
      <c r="E24" s="112">
        <f>8807+3998</f>
        <v>12805</v>
      </c>
      <c r="F24" s="15">
        <f t="shared" si="2"/>
        <v>3024327</v>
      </c>
      <c r="G24" s="15">
        <f t="shared" si="5" ref="G24:G34">D24+E24</f>
        <v>2952253</v>
      </c>
      <c r="H24" s="8">
        <f>2989647/1000</f>
        <v>2989.6469999999999</v>
      </c>
      <c r="I24" s="8">
        <v>2884.6350000000002</v>
      </c>
      <c r="J24" s="16">
        <f t="shared" si="6" ref="J24:J34">I24/H24</f>
        <v>0.96487478287570416</v>
      </c>
      <c r="K24" s="17">
        <f t="shared" si="3"/>
        <v>2918096.8574701296</v>
      </c>
      <c r="L24" s="17">
        <f t="shared" si="4"/>
        <v>2848554.4723691461</v>
      </c>
    </row>
    <row r="25" spans="2:12" ht="15">
      <c r="B25" s="18" t="s">
        <v>25</v>
      </c>
      <c r="C25" s="14">
        <v>2253670</v>
      </c>
      <c r="D25" s="14">
        <v>2234761</v>
      </c>
      <c r="E25" s="112">
        <f>11536+668.45</f>
        <v>12204.45</v>
      </c>
      <c r="F25" s="15">
        <f t="shared" si="2"/>
        <v>2265874.4500000002</v>
      </c>
      <c r="G25" s="15">
        <f t="shared" si="5"/>
        <v>2246965.4500000002</v>
      </c>
      <c r="H25" s="8">
        <f>2184749/1000</f>
        <v>2184.7489999999998</v>
      </c>
      <c r="I25" s="8">
        <v>2053.163</v>
      </c>
      <c r="J25" s="16">
        <f t="shared" si="6"/>
        <v>0.93977065557645301</v>
      </c>
      <c r="K25" s="17">
        <f t="shared" si="3"/>
        <v>2129402.3173304349</v>
      </c>
      <c r="L25" s="17">
        <f t="shared" si="4"/>
        <v>2111632.1940041399</v>
      </c>
    </row>
    <row r="26" spans="2:12" ht="15">
      <c r="B26" s="18" t="s">
        <v>26</v>
      </c>
      <c r="C26" s="14">
        <v>2605657</v>
      </c>
      <c r="D26" s="14">
        <v>2647015</v>
      </c>
      <c r="E26" s="112">
        <f>14031+3533.64</f>
        <v>17564.64</v>
      </c>
      <c r="F26" s="15">
        <f t="shared" si="2"/>
        <v>2623221.64</v>
      </c>
      <c r="G26" s="15">
        <f t="shared" si="5"/>
        <v>2664579.64</v>
      </c>
      <c r="H26" s="8">
        <f>2701666/1000</f>
        <v>2701.6660000000002</v>
      </c>
      <c r="I26" s="8">
        <v>2551.076</v>
      </c>
      <c r="J26" s="16">
        <f t="shared" si="6"/>
        <v>0.94426031937330512</v>
      </c>
      <c r="K26" s="17">
        <f t="shared" si="3"/>
        <v>2477004.1035733651</v>
      </c>
      <c r="L26" s="17">
        <f t="shared" si="4"/>
        <v>2516056.8218620066</v>
      </c>
    </row>
    <row r="27" spans="2:12" ht="15">
      <c r="B27" s="18" t="s">
        <v>27</v>
      </c>
      <c r="C27" s="14">
        <v>2643077</v>
      </c>
      <c r="D27" s="14">
        <v>2626271</v>
      </c>
      <c r="E27" s="112">
        <f>14414+1388.35</f>
        <v>15802.35</v>
      </c>
      <c r="F27" s="15">
        <f t="shared" si="2"/>
        <v>2658879.35</v>
      </c>
      <c r="G27" s="15">
        <f t="shared" si="5"/>
        <v>2642073.35</v>
      </c>
      <c r="H27" s="8">
        <f>2873750/1000</f>
        <v>2873.75</v>
      </c>
      <c r="I27" s="8">
        <v>2764.201</v>
      </c>
      <c r="J27" s="16">
        <f t="shared" si="6"/>
        <v>0.96187942583732056</v>
      </c>
      <c r="K27" s="17">
        <f t="shared" si="3"/>
        <v>2557521.342548708</v>
      </c>
      <c r="L27" s="17">
        <f t="shared" si="4"/>
        <v>2541355.996918086</v>
      </c>
    </row>
    <row r="28" spans="2:12" ht="15">
      <c r="B28" s="18" t="s">
        <v>28</v>
      </c>
      <c r="C28" s="14">
        <v>3040773</v>
      </c>
      <c r="D28" s="14">
        <v>3035418</v>
      </c>
      <c r="E28" s="112">
        <f>9113+4443.35</f>
        <v>13556.35</v>
      </c>
      <c r="F28" s="15">
        <f t="shared" si="2"/>
        <v>3054329.35</v>
      </c>
      <c r="G28" s="15">
        <f t="shared" si="5"/>
        <v>3048974.35</v>
      </c>
      <c r="H28" s="8">
        <f>3072845/1000</f>
        <v>3072.8449999999998</v>
      </c>
      <c r="I28" s="8">
        <v>2942.5540000000001</v>
      </c>
      <c r="J28" s="16">
        <f t="shared" si="6"/>
        <v>0.95759922807691256</v>
      </c>
      <c r="K28" s="17">
        <f t="shared" si="3"/>
        <v>2924823.4278526581</v>
      </c>
      <c r="L28" s="17">
        <f t="shared" si="4"/>
        <v>2919695.4839863065</v>
      </c>
    </row>
    <row r="29" spans="2:12" ht="15">
      <c r="B29" s="18" t="s">
        <v>29</v>
      </c>
      <c r="C29" s="14">
        <v>2866372</v>
      </c>
      <c r="D29" s="14">
        <v>2920057</v>
      </c>
      <c r="E29" s="112">
        <f>9004+4373.59</f>
        <v>13377.59</v>
      </c>
      <c r="F29" s="15">
        <f t="shared" si="2"/>
        <v>2879749.59</v>
      </c>
      <c r="G29" s="15">
        <f t="shared" si="5"/>
        <v>2933434.59</v>
      </c>
      <c r="H29" s="8">
        <f>3017014/1000</f>
        <v>3017.0140000000001</v>
      </c>
      <c r="I29" s="8">
        <v>2832.5970000000002</v>
      </c>
      <c r="J29" s="16">
        <f t="shared" si="6"/>
        <v>0.93887433071241966</v>
      </c>
      <c r="K29" s="17">
        <f t="shared" si="3"/>
        <v>2703722.9689306146</v>
      </c>
      <c r="L29" s="17">
        <f t="shared" si="4"/>
        <v>2754126.4373749108</v>
      </c>
    </row>
    <row r="30" spans="2:12" ht="15">
      <c r="B30" s="18" t="s">
        <v>30</v>
      </c>
      <c r="C30" s="14">
        <v>3005750</v>
      </c>
      <c r="D30" s="14">
        <v>3105466</v>
      </c>
      <c r="E30" s="112">
        <f>8363+2982.98</f>
        <v>11345.98</v>
      </c>
      <c r="F30" s="15">
        <f t="shared" si="2"/>
        <v>3017095.98</v>
      </c>
      <c r="G30" s="15">
        <f t="shared" si="5"/>
        <v>3116811.98</v>
      </c>
      <c r="H30" s="8">
        <f>3133961/1000</f>
        <v>3133.9609999999998</v>
      </c>
      <c r="I30" s="8">
        <v>2954.241</v>
      </c>
      <c r="J30" s="16">
        <f t="shared" si="6"/>
        <v>0.94265404068525427</v>
      </c>
      <c r="K30" s="17">
        <f t="shared" si="3"/>
        <v>2844077.7166822371</v>
      </c>
      <c r="L30" s="17">
        <f t="shared" si="4"/>
        <v>2938075.4070032081</v>
      </c>
    </row>
    <row r="31" spans="2:12" ht="15">
      <c r="B31" s="18" t="s">
        <v>31</v>
      </c>
      <c r="C31" s="14">
        <v>3146580</v>
      </c>
      <c r="D31" s="14">
        <v>3126567</v>
      </c>
      <c r="E31" s="112">
        <f>8225+4824.66</f>
        <v>13049.66</v>
      </c>
      <c r="F31" s="15">
        <f t="shared" si="2"/>
        <v>3159629.66</v>
      </c>
      <c r="G31" s="15">
        <f t="shared" si="5"/>
        <v>3139616.66</v>
      </c>
      <c r="H31" s="8">
        <f>3138622/1000</f>
        <v>3138.6219999999998</v>
      </c>
      <c r="I31" s="8">
        <v>2913.058</v>
      </c>
      <c r="J31" s="16">
        <f t="shared" si="6"/>
        <v>0.92813279203421128</v>
      </c>
      <c r="K31" s="17">
        <f t="shared" si="3"/>
        <v>2932555.898129906</v>
      </c>
      <c r="L31" s="17">
        <f t="shared" si="4"/>
        <v>2913981.1765629253</v>
      </c>
    </row>
    <row r="32" spans="2:12" ht="15">
      <c r="B32" s="18" t="s">
        <v>32</v>
      </c>
      <c r="C32" s="14">
        <v>2872060</v>
      </c>
      <c r="D32" s="14">
        <v>2982744</v>
      </c>
      <c r="E32" s="112">
        <f>8186+3746.25</f>
        <v>11932.25</v>
      </c>
      <c r="F32" s="15">
        <f t="shared" si="2"/>
        <v>2883992.25</v>
      </c>
      <c r="G32" s="15">
        <f t="shared" si="5"/>
        <v>2994676.25</v>
      </c>
      <c r="H32" s="8">
        <f>2897109/1000</f>
        <v>2897.1089999999999</v>
      </c>
      <c r="I32" s="8">
        <v>2767.846</v>
      </c>
      <c r="J32" s="16">
        <f t="shared" si="6"/>
        <v>0.95538207226583471</v>
      </c>
      <c r="K32" s="17">
        <f t="shared" si="3"/>
        <v>2755314.4922036072</v>
      </c>
      <c r="L32" s="17">
        <f t="shared" si="4"/>
        <v>2861060.0014902791</v>
      </c>
    </row>
    <row r="33" spans="2:12" ht="15">
      <c r="B33" s="18" t="s">
        <v>33</v>
      </c>
      <c r="C33" s="14">
        <v>2958446</v>
      </c>
      <c r="D33" s="14">
        <v>2929013</v>
      </c>
      <c r="E33" s="112">
        <f>9809+4104</f>
        <v>13913</v>
      </c>
      <c r="F33" s="15">
        <f t="shared" si="2"/>
        <v>2972359</v>
      </c>
      <c r="G33" s="15">
        <f t="shared" si="5"/>
        <v>2942926</v>
      </c>
      <c r="H33" s="8">
        <f>2802553/1000</f>
        <v>2802.5529999999999</v>
      </c>
      <c r="I33" s="8">
        <v>2695.098</v>
      </c>
      <c r="J33" s="16">
        <f t="shared" si="6"/>
        <v>0.96165817381508933</v>
      </c>
      <c r="K33" s="17">
        <f t="shared" si="3"/>
        <v>2858393.3278628453</v>
      </c>
      <c r="L33" s="17">
        <f t="shared" si="4"/>
        <v>2830088.8428329458</v>
      </c>
    </row>
    <row r="34" spans="2:12" ht="15">
      <c r="B34" s="5" t="s">
        <v>34</v>
      </c>
      <c r="C34" s="14">
        <v>2249106</v>
      </c>
      <c r="D34" s="14">
        <v>2056197</v>
      </c>
      <c r="E34" s="112">
        <f>9313+3329.11</f>
        <v>12642.11</v>
      </c>
      <c r="F34" s="15">
        <f t="shared" si="2"/>
        <v>2261748.11</v>
      </c>
      <c r="G34" s="15">
        <f t="shared" si="5"/>
        <v>2068839.11</v>
      </c>
      <c r="H34" s="8">
        <f>2035150/1000</f>
        <v>2035.15</v>
      </c>
      <c r="I34" s="8">
        <v>1843.4359999999999</v>
      </c>
      <c r="J34" s="16">
        <f t="shared" si="6"/>
        <v>0.90579858978453665</v>
      </c>
      <c r="K34" s="17">
        <f t="shared" si="3"/>
        <v>2048688.2484858409</v>
      </c>
      <c r="L34" s="17">
        <f t="shared" si="4"/>
        <v>1873951.5483290961</v>
      </c>
    </row>
    <row r="35" spans="2:13" ht="15">
      <c r="B35" s="5"/>
      <c r="C35" s="5"/>
      <c r="D35" s="5"/>
      <c r="E35" s="5"/>
      <c r="F35" s="5"/>
      <c r="G35" s="5"/>
      <c r="H35" s="19"/>
      <c r="I35" s="8"/>
      <c r="J35" s="8"/>
      <c r="K35" s="5"/>
      <c r="L35" s="5"/>
      <c r="M35" s="5"/>
    </row>
    <row r="36" ht="15"/>
    <row r="37" spans="1:15" s="1" customFormat="1" ht="15">
      <c r="A37" s="12"/>
      <c r="B37" s="12"/>
      <c r="C37" s="12"/>
      <c r="D37" s="13"/>
      <c r="E37" s="13"/>
      <c r="F37" s="11"/>
      <c r="G37" s="11"/>
      <c r="H37" s="11"/>
      <c r="I37" s="12"/>
      <c r="J37" s="12"/>
      <c r="K37" s="12"/>
      <c r="L37" s="12"/>
      <c r="M37" s="12"/>
      <c r="N37" s="12"/>
      <c r="O37" s="3"/>
    </row>
    <row r="38" spans="1:15" s="1" customFormat="1" ht="15">
      <c r="A38" s="12"/>
      <c r="B38" s="12"/>
      <c r="C38" s="12"/>
      <c r="D38" s="13"/>
      <c r="E38" s="13"/>
      <c r="F38" s="11"/>
      <c r="G38" s="11"/>
      <c r="H38" s="11"/>
      <c r="I38" s="12"/>
      <c r="J38" s="12"/>
      <c r="K38" s="12"/>
      <c r="L38" s="12"/>
      <c r="M38" s="12"/>
      <c r="N38" s="12"/>
      <c r="O38" s="3"/>
    </row>
    <row r="39" spans="1:15" s="1" customFormat="1" ht="15">
      <c r="A39" s="12"/>
      <c r="B39" s="12"/>
      <c r="C39" s="12"/>
      <c r="D39" s="13"/>
      <c r="E39" s="13"/>
      <c r="F39" s="11"/>
      <c r="G39" s="11"/>
      <c r="H39" s="11"/>
      <c r="I39" s="12"/>
      <c r="J39" s="12"/>
      <c r="K39" s="12"/>
      <c r="L39" s="12"/>
      <c r="M39" s="12"/>
      <c r="N39" s="12"/>
      <c r="O39" s="3"/>
    </row>
    <row r="40" spans="1:15" s="1" customFormat="1" ht="15">
      <c r="A40" s="12"/>
      <c r="B40" s="12"/>
      <c r="C40" s="12"/>
      <c r="D40" s="13"/>
      <c r="E40" s="13"/>
      <c r="F40" s="11"/>
      <c r="G40" s="11"/>
      <c r="H40" s="11"/>
      <c r="I40" s="12"/>
      <c r="J40" s="12"/>
      <c r="K40" s="12"/>
      <c r="L40" s="12"/>
      <c r="M40" s="12"/>
      <c r="N40" s="12"/>
      <c r="O40" s="3"/>
    </row>
    <row r="41" spans="1:15" s="1" customFormat="1" ht="15">
      <c r="A41" s="12"/>
      <c r="B41" s="12"/>
      <c r="C41" s="12"/>
      <c r="D41" s="13"/>
      <c r="E41" s="13"/>
      <c r="F41" s="11"/>
      <c r="G41" s="11"/>
      <c r="H41" s="11"/>
      <c r="I41" s="12"/>
      <c r="J41" s="12"/>
      <c r="K41" s="12"/>
      <c r="L41" s="12"/>
      <c r="M41" s="12"/>
      <c r="N41" s="12"/>
      <c r="O41" s="3"/>
    </row>
    <row r="42" spans="1:15" s="1" customFormat="1" ht="15">
      <c r="A42" s="12"/>
      <c r="B42" s="12"/>
      <c r="C42" s="12"/>
      <c r="D42" s="13"/>
      <c r="E42" s="13"/>
      <c r="F42" s="11"/>
      <c r="G42" s="11"/>
      <c r="H42" s="11"/>
      <c r="I42" s="12"/>
      <c r="J42" s="12"/>
      <c r="K42" s="12"/>
      <c r="L42" s="12"/>
      <c r="M42" s="12"/>
      <c r="N42" s="12"/>
      <c r="O42" s="12"/>
    </row>
    <row r="43" spans="1:15" s="1" customFormat="1" ht="15">
      <c r="A43" s="12"/>
      <c r="B43" s="12"/>
      <c r="C43" s="12"/>
      <c r="D43" s="13"/>
      <c r="E43" s="13"/>
      <c r="F43" s="11"/>
      <c r="G43" s="11"/>
      <c r="H43" s="11"/>
      <c r="I43" s="12"/>
      <c r="J43" s="12"/>
      <c r="K43" s="12"/>
      <c r="L43" s="12"/>
      <c r="M43" s="12"/>
      <c r="N43" s="12"/>
      <c r="O43" s="12"/>
    </row>
    <row r="44" spans="1:15" s="1" customFormat="1" ht="15">
      <c r="A44" s="12"/>
      <c r="B44" s="12"/>
      <c r="C44" s="12"/>
      <c r="D44" s="13"/>
      <c r="E44" s="13"/>
      <c r="F44" s="11"/>
      <c r="G44" s="11"/>
      <c r="H44" s="11"/>
      <c r="I44" s="12"/>
      <c r="J44" s="12"/>
      <c r="K44" s="12"/>
      <c r="L44" s="12"/>
      <c r="M44" s="12"/>
      <c r="N44" s="12"/>
      <c r="O44" s="12"/>
    </row>
    <row r="45" spans="4:6" ht="15">
      <c r="D45" s="10"/>
      <c r="E45" s="10"/>
      <c r="F45" s="6"/>
    </row>
    <row r="46" spans="4:6" ht="15">
      <c r="D46" s="10"/>
      <c r="E46" s="10"/>
      <c r="F46" s="6"/>
    </row>
    <row r="47" spans="4:6" ht="15">
      <c r="D47" s="10"/>
      <c r="E47" s="10"/>
      <c r="F47" s="6"/>
    </row>
    <row r="48" spans="4:6" ht="15">
      <c r="D48" s="10"/>
      <c r="E48" s="10"/>
      <c r="F48" s="6"/>
    </row>
  </sheetData>
  <pageMargins left="0.7" right="0.7" top="0.75" bottom="0.75" header="0.3" footer="0.3"/>
  <pageSetup orientation="landscape" scale="1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5:AR121"/>
  <sheetViews>
    <sheetView showGridLines="0" zoomScale="55" zoomScaleNormal="55" workbookViewId="0" topLeftCell="A16">
      <selection pane="topLeft" activeCell="A1" sqref="A1"/>
    </sheetView>
  </sheetViews>
  <sheetFormatPr defaultColWidth="8.90625" defaultRowHeight="17.4"/>
  <cols>
    <col min="1" max="1" width="5.18181818181818" style="30" customWidth="1"/>
    <col min="2" max="2" width="11.3636363636364" style="22" customWidth="1"/>
    <col min="3" max="3" width="10.3636363636364" style="33" customWidth="1"/>
    <col min="4" max="4" width="16.0909090909091" style="33" bestFit="1" customWidth="1"/>
    <col min="5" max="6" width="12.8181818181818" style="33" customWidth="1"/>
    <col min="7" max="7" width="16" style="33" customWidth="1"/>
    <col min="8" max="8" width="13.8181818181818" style="33" customWidth="1"/>
    <col min="9" max="9" width="14.6363636363636" style="33" customWidth="1"/>
    <col min="10" max="11" width="8.09090909090909" style="33" customWidth="1"/>
    <col min="12" max="12" width="14.6363636363636" style="33" customWidth="1"/>
    <col min="13" max="14" width="8.09090909090909" style="33" customWidth="1"/>
    <col min="15" max="16" width="16.8181818181818" style="33" customWidth="1"/>
    <col min="17" max="18" width="15.8181818181818" style="33" customWidth="1"/>
    <col min="19" max="19" width="16.4545454545455" style="32" bestFit="1" customWidth="1"/>
    <col min="20" max="20" width="6.81818181818182" style="32" bestFit="1" customWidth="1"/>
    <col min="21" max="21" width="28.1818181818182" style="32" customWidth="1"/>
    <col min="22" max="22" width="19.1818181818182" style="32" customWidth="1"/>
    <col min="23" max="23" width="13.8181818181818" style="32" customWidth="1"/>
    <col min="24" max="24" width="12.6363636363636" style="32" customWidth="1"/>
    <col min="25" max="25" width="20.5454545454545" style="34" customWidth="1"/>
    <col min="26" max="26" width="11.5454545454545" style="35" customWidth="1"/>
    <col min="27" max="27" width="12" style="35" bestFit="1" customWidth="1"/>
    <col min="28" max="28" width="12" style="35" customWidth="1"/>
    <col min="29" max="29" width="8.90909090909091" style="35"/>
    <col min="30" max="30" width="18.4545454545455" style="35" bestFit="1" customWidth="1"/>
    <col min="31" max="31" width="14.4545454545455" style="36" bestFit="1" customWidth="1"/>
    <col min="32" max="34" width="10.6363636363636" style="37" bestFit="1" customWidth="1"/>
    <col min="35" max="37" width="9.45454545454546" style="37" bestFit="1" customWidth="1"/>
    <col min="38" max="38" width="10.6363636363636" style="37" bestFit="1" customWidth="1"/>
    <col min="39" max="39" width="10.1818181818182" style="37" bestFit="1" customWidth="1"/>
    <col min="40" max="42" width="10.6363636363636" style="37" bestFit="1" customWidth="1"/>
    <col min="43" max="43" width="11.6363636363636" style="37" bestFit="1" customWidth="1"/>
    <col min="44" max="44" width="22.0909090909091" style="38" customWidth="1"/>
    <col min="45" max="16384" width="8.90909090909091" style="35"/>
  </cols>
  <sheetData>
    <row r="4" ht="22.5" customHeight="1"/>
    <row r="5" spans="3:24" ht="23.25" customHeight="1">
      <c r="C5" s="115" t="s">
        <v>51</v>
      </c>
      <c r="D5" s="115"/>
      <c r="E5" s="115" t="s">
        <v>52</v>
      </c>
      <c r="F5" s="115"/>
      <c r="G5" s="115" t="s">
        <v>37</v>
      </c>
      <c r="H5" s="115"/>
      <c r="I5" s="115" t="s">
        <v>38</v>
      </c>
      <c r="J5" s="115"/>
      <c r="K5" s="115"/>
      <c r="L5" s="115"/>
      <c r="M5" s="115"/>
      <c r="N5" s="115"/>
      <c r="O5" s="39"/>
      <c r="P5" s="39"/>
      <c r="Q5" s="115" t="s">
        <v>1</v>
      </c>
      <c r="R5" s="115"/>
      <c r="S5" s="27"/>
      <c r="T5" s="27"/>
      <c r="U5" s="27"/>
      <c r="V5" s="27"/>
      <c r="W5" s="27"/>
      <c r="X5" s="27"/>
    </row>
    <row r="6" spans="3:24" ht="15.75" customHeight="1"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39" t="s">
        <v>47</v>
      </c>
      <c r="P6" s="39" t="s">
        <v>47</v>
      </c>
      <c r="Q6" s="115"/>
      <c r="R6" s="115"/>
      <c r="S6" s="20"/>
      <c r="T6" s="20"/>
      <c r="U6" s="20"/>
      <c r="V6" s="20"/>
      <c r="W6" s="20"/>
      <c r="X6" s="20"/>
    </row>
    <row r="7" spans="3:24" ht="15.75" customHeight="1"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39"/>
      <c r="P7" s="39"/>
      <c r="Q7" s="115"/>
      <c r="R7" s="115"/>
      <c r="S7" s="20"/>
      <c r="T7" s="20"/>
      <c r="U7" s="20"/>
      <c r="V7" s="20"/>
      <c r="W7" s="20"/>
      <c r="X7" s="20"/>
    </row>
    <row r="8" spans="3:28" ht="48.75" customHeight="1">
      <c r="C8" s="20" t="s">
        <v>2</v>
      </c>
      <c r="D8" s="40" t="s">
        <v>3</v>
      </c>
      <c r="E8" s="20" t="s">
        <v>2</v>
      </c>
      <c r="F8" s="40" t="s">
        <v>3</v>
      </c>
      <c r="G8" s="20" t="s">
        <v>2</v>
      </c>
      <c r="H8" s="40" t="s">
        <v>3</v>
      </c>
      <c r="I8" s="116" t="s">
        <v>4</v>
      </c>
      <c r="J8" s="116" t="s">
        <v>5</v>
      </c>
      <c r="K8" s="116" t="s">
        <v>6</v>
      </c>
      <c r="L8" s="116" t="s">
        <v>7</v>
      </c>
      <c r="M8" s="116" t="s">
        <v>5</v>
      </c>
      <c r="N8" s="116" t="s">
        <v>6</v>
      </c>
      <c r="O8" s="40" t="s">
        <v>3</v>
      </c>
      <c r="P8" s="40" t="s">
        <v>2</v>
      </c>
      <c r="Q8" s="20" t="s">
        <v>2</v>
      </c>
      <c r="R8" s="40" t="s">
        <v>3</v>
      </c>
      <c r="S8" s="20"/>
      <c r="T8" s="20"/>
      <c r="U8" s="20" t="s">
        <v>2</v>
      </c>
      <c r="V8" s="41"/>
      <c r="W8" s="42" t="s">
        <v>2</v>
      </c>
      <c r="X8" s="43"/>
      <c r="Z8" s="44" t="s">
        <v>2</v>
      </c>
      <c r="AA8" s="45"/>
      <c r="AB8" s="45"/>
    </row>
    <row r="9" spans="2:28" ht="17.4">
      <c r="B9" s="22" t="s">
        <v>8</v>
      </c>
      <c r="C9" s="20" t="s">
        <v>9</v>
      </c>
      <c r="D9" s="20" t="s">
        <v>10</v>
      </c>
      <c r="E9" s="20" t="s">
        <v>9</v>
      </c>
      <c r="F9" s="20" t="s">
        <v>10</v>
      </c>
      <c r="G9" s="20" t="s">
        <v>9</v>
      </c>
      <c r="H9" s="20" t="s">
        <v>10</v>
      </c>
      <c r="I9" s="116"/>
      <c r="J9" s="116"/>
      <c r="K9" s="116"/>
      <c r="L9" s="116"/>
      <c r="M9" s="116"/>
      <c r="N9" s="116"/>
      <c r="O9" s="40" t="s">
        <v>10</v>
      </c>
      <c r="P9" s="40" t="s">
        <v>10</v>
      </c>
      <c r="Q9" s="20" t="s">
        <v>9</v>
      </c>
      <c r="R9" s="20" t="s">
        <v>10</v>
      </c>
      <c r="S9" s="20"/>
      <c r="T9" s="20"/>
      <c r="U9" s="20" t="s">
        <v>46</v>
      </c>
      <c r="V9" s="46" t="s">
        <v>36</v>
      </c>
      <c r="W9" s="20" t="s">
        <v>54</v>
      </c>
      <c r="X9" s="21" t="s">
        <v>55</v>
      </c>
      <c r="Y9" s="20" t="s">
        <v>45</v>
      </c>
      <c r="Z9" s="20" t="s">
        <v>54</v>
      </c>
      <c r="AA9" s="20" t="s">
        <v>55</v>
      </c>
      <c r="AB9" s="20"/>
    </row>
    <row r="10" spans="2:32" ht="17.4">
      <c r="B10" s="22" t="s">
        <v>11</v>
      </c>
      <c r="C10" s="31" t="s">
        <v>11</v>
      </c>
      <c r="D10" s="31" t="s">
        <v>11</v>
      </c>
      <c r="E10" s="31" t="s">
        <v>11</v>
      </c>
      <c r="F10" s="31" t="s">
        <v>11</v>
      </c>
      <c r="G10" s="31" t="s">
        <v>11</v>
      </c>
      <c r="H10" s="31" t="s">
        <v>11</v>
      </c>
      <c r="I10" s="31" t="s">
        <v>11</v>
      </c>
      <c r="J10" s="31"/>
      <c r="K10" s="31" t="s">
        <v>11</v>
      </c>
      <c r="L10" s="31" t="s">
        <v>11</v>
      </c>
      <c r="M10" s="31"/>
      <c r="N10" s="31" t="s">
        <v>11</v>
      </c>
      <c r="O10" s="31" t="s">
        <v>11</v>
      </c>
      <c r="P10" s="31" t="s">
        <v>11</v>
      </c>
      <c r="Q10" s="31" t="s">
        <v>11</v>
      </c>
      <c r="R10" s="31" t="s">
        <v>11</v>
      </c>
      <c r="S10" s="27"/>
      <c r="T10" s="47" t="s">
        <v>39</v>
      </c>
      <c r="U10" s="48">
        <f>Q22</f>
        <v>994370.86199999996</v>
      </c>
      <c r="V10" s="49">
        <f>'EO &amp; DO BACKCAST'!H8/1000</f>
        <v>1009188.87634</v>
      </c>
      <c r="W10" s="50">
        <f>U10-V10</f>
        <v>-14818.014339999994</v>
      </c>
      <c r="X10" s="51">
        <f>W10/U10</f>
        <v>-0.014901899186985625</v>
      </c>
      <c r="Y10" s="49">
        <f>'EO &amp; DO BACKCAST'!I8/1000</f>
        <v>997321.84853999992</v>
      </c>
      <c r="Z10" s="52">
        <f>U10-Y10</f>
        <v>-2950.9865399999544</v>
      </c>
      <c r="AA10" s="53">
        <f>Z10/U10</f>
        <v>-0.0029676920883065401</v>
      </c>
      <c r="AB10" s="54"/>
      <c r="AD10" s="35" t="s">
        <v>2</v>
      </c>
      <c r="AF10" s="55" t="s">
        <v>61</v>
      </c>
    </row>
    <row r="11" spans="1:43" ht="15.75" customHeight="1">
      <c r="A11" s="56"/>
      <c r="B11" s="22" t="s">
        <v>12</v>
      </c>
      <c r="C11" s="23">
        <v>1126270.3780550226</v>
      </c>
      <c r="D11" s="23">
        <v>3330.6830251742817</v>
      </c>
      <c r="E11" s="24">
        <v>1344131</v>
      </c>
      <c r="F11" s="25">
        <v>3670</v>
      </c>
      <c r="G11" s="23">
        <v>1130118.4501524929</v>
      </c>
      <c r="H11" s="23">
        <v>3394.4563096199454</v>
      </c>
      <c r="I11" s="24">
        <v>1024395.064</v>
      </c>
      <c r="J11" s="26">
        <v>-0.10332502172720737</v>
      </c>
      <c r="K11" s="26">
        <v>-0.093550712439237738</v>
      </c>
      <c r="L11" s="24">
        <v>2884.6350000000002</v>
      </c>
      <c r="M11" s="26">
        <v>-0.088280472194566806</v>
      </c>
      <c r="N11" s="26">
        <v>-0.15019233217852979</v>
      </c>
      <c r="O11" s="26"/>
      <c r="P11" s="26"/>
      <c r="Q11" s="23">
        <v>1142437.4370000002</v>
      </c>
      <c r="R11" s="23">
        <v>3163.95</v>
      </c>
      <c r="S11" s="57"/>
      <c r="T11" s="58" t="s">
        <v>24</v>
      </c>
      <c r="U11" s="59">
        <f>I11</f>
        <v>1024395.064</v>
      </c>
      <c r="V11" s="60">
        <f>'EO &amp; DO BACKCAST'!H9/1000</f>
        <v>1029306.17963</v>
      </c>
      <c r="W11" s="50">
        <f t="shared" si="0" ref="W11:W21">U11-V11</f>
        <v>-4911.1156300000148</v>
      </c>
      <c r="X11" s="61">
        <f t="shared" si="1" ref="X11:X21">W11/U11</f>
        <v>-0.0047941617473471294</v>
      </c>
      <c r="Y11" s="60">
        <f>'EO &amp; DO BACKCAST'!I9/1000</f>
        <v>1028419.72093</v>
      </c>
      <c r="Z11" s="52">
        <f t="shared" si="2" ref="Z11:Z21">U11-Y11</f>
        <v>-4024.6569299999392</v>
      </c>
      <c r="AA11" s="62">
        <f t="shared" si="3" ref="AA11:AA21">Z11/U11</f>
        <v>-0.0039288132786238598</v>
      </c>
      <c r="AB11" s="54"/>
      <c r="AC11" s="63"/>
      <c r="AE11" s="36" t="s">
        <v>62</v>
      </c>
      <c r="AF11" s="37" t="str">
        <f t="array" ref="AF11:AQ11">TRANSPOSE(T10:T21)</f>
        <v>DEC16</v>
      </c>
      <c r="AG11" s="37" t="str">
        <v>JAN</v>
      </c>
      <c r="AH11" s="37" t="str">
        <v>FEB</v>
      </c>
      <c r="AI11" s="37" t="str">
        <v>MAR</v>
      </c>
      <c r="AJ11" s="37" t="str">
        <v>APR</v>
      </c>
      <c r="AK11" s="37" t="str">
        <v>MAY</v>
      </c>
      <c r="AL11" s="37" t="str">
        <v>JUN</v>
      </c>
      <c r="AM11" s="37" t="str">
        <v>JUL</v>
      </c>
      <c r="AN11" s="37" t="str">
        <v>AUG</v>
      </c>
      <c r="AO11" s="37" t="str">
        <v>SEP</v>
      </c>
      <c r="AP11" s="37" t="str">
        <v>OCT</v>
      </c>
      <c r="AQ11" s="37" t="str">
        <v>NOV</v>
      </c>
    </row>
    <row r="12" spans="1:29" ht="15.75" customHeight="1" thickBot="1">
      <c r="A12" s="56"/>
      <c r="B12" s="22" t="s">
        <v>13</v>
      </c>
      <c r="C12" s="23"/>
      <c r="D12" s="23"/>
      <c r="E12" s="23"/>
      <c r="F12" s="23"/>
      <c r="G12" s="23">
        <v>986845.32006084314</v>
      </c>
      <c r="H12" s="23">
        <v>3005.3451105728986</v>
      </c>
      <c r="I12" s="24">
        <v>853848.505</v>
      </c>
      <c r="J12" s="26">
        <v>-0.15058785909191175</v>
      </c>
      <c r="K12" s="26">
        <v>-0.134769666894345</v>
      </c>
      <c r="L12" s="24">
        <v>2053.163</v>
      </c>
      <c r="M12" s="26">
        <v>-0.30887013108544892</v>
      </c>
      <c r="N12" s="26">
        <v>-0.31682954054863521</v>
      </c>
      <c r="O12" s="26"/>
      <c r="P12" s="26"/>
      <c r="Q12" s="23">
        <v>1005222.8639999999</v>
      </c>
      <c r="R12" s="23">
        <v>2970.7339999999999</v>
      </c>
      <c r="S12" s="57"/>
      <c r="T12" s="58" t="s">
        <v>25</v>
      </c>
      <c r="U12" s="59">
        <f t="shared" si="4" ref="U12:U22">I12</f>
        <v>853848.505</v>
      </c>
      <c r="V12" s="60">
        <f>'EO &amp; DO BACKCAST'!H10/1000</f>
        <v>897589.87527999992</v>
      </c>
      <c r="W12" s="50">
        <f t="shared" si="0"/>
        <v>-43741.370279999916</v>
      </c>
      <c r="X12" s="61">
        <f t="shared" si="1"/>
        <v>-0.051228490796502497</v>
      </c>
      <c r="Y12" s="60">
        <f>'EO &amp; DO BACKCAST'!I10/1000</f>
        <v>885191.67179999989</v>
      </c>
      <c r="Z12" s="52">
        <f t="shared" si="2"/>
        <v>-31343.16679999989</v>
      </c>
      <c r="AA12" s="62">
        <f t="shared" si="3"/>
        <v>-0.036708112289778959</v>
      </c>
      <c r="AB12" s="54"/>
      <c r="AC12" s="63"/>
    </row>
    <row r="13" spans="1:44" ht="27.75" customHeight="1" thickTop="1">
      <c r="A13" s="56"/>
      <c r="B13" s="22" t="s">
        <v>14</v>
      </c>
      <c r="C13" s="23"/>
      <c r="D13" s="23"/>
      <c r="E13" s="23"/>
      <c r="F13" s="23"/>
      <c r="G13" s="23">
        <v>987848.0947140042</v>
      </c>
      <c r="H13" s="23">
        <v>2422.1112833300522</v>
      </c>
      <c r="I13" s="24">
        <v>997635.18599999999</v>
      </c>
      <c r="J13" s="26">
        <v>0.025286386785673853</v>
      </c>
      <c r="K13" s="26">
        <v>0.009907486118935438</v>
      </c>
      <c r="L13" s="24">
        <v>2551.076</v>
      </c>
      <c r="M13" s="26">
        <v>0.24467321592802493</v>
      </c>
      <c r="N13" s="26">
        <v>0.053244752855715172</v>
      </c>
      <c r="O13" s="26"/>
      <c r="P13" s="26"/>
      <c r="Q13" s="23">
        <v>973030.75400000007</v>
      </c>
      <c r="R13" s="23">
        <v>2049.5949999999998</v>
      </c>
      <c r="S13" s="64"/>
      <c r="T13" s="58" t="s">
        <v>26</v>
      </c>
      <c r="U13" s="59">
        <f t="shared" si="4"/>
        <v>997635.18599999999</v>
      </c>
      <c r="V13" s="60">
        <f>'EO &amp; DO BACKCAST'!H11/1000</f>
        <v>992105.07659999991</v>
      </c>
      <c r="W13" s="50">
        <f t="shared" si="0"/>
        <v>5530.1094000000739</v>
      </c>
      <c r="X13" s="61">
        <f t="shared" si="1"/>
        <v>0.0055432180797200491</v>
      </c>
      <c r="Y13" s="60">
        <f>'EO &amp; DO BACKCAST'!I11/1000</f>
        <v>972902.53517999989</v>
      </c>
      <c r="Z13" s="52">
        <f t="shared" si="2"/>
        <v>24732.650820000097</v>
      </c>
      <c r="AA13" s="62">
        <f t="shared" si="3"/>
        <v>0.024791277580299878</v>
      </c>
      <c r="AB13" s="54"/>
      <c r="AC13" s="63"/>
      <c r="AD13" s="65" t="str">
        <f>V9</f>
        <v>LFS16 Backcast</v>
      </c>
      <c r="AE13" s="66">
        <f>AVERAGE(AF16:AQ16)</f>
        <v>0.022721150065171086</v>
      </c>
      <c r="AF13" s="67">
        <f t="array" ref="AF13:AQ13">TRANSPOSE(X10:X21)</f>
        <v>-0.014901899186985625</v>
      </c>
      <c r="AG13" s="68">
        <v>-0.0047941617473471294</v>
      </c>
      <c r="AH13" s="68">
        <v>-0.051228490796502497</v>
      </c>
      <c r="AI13" s="68">
        <v>0.0055432180797200491</v>
      </c>
      <c r="AJ13" s="68">
        <v>0.024850121684607589</v>
      </c>
      <c r="AK13" s="68">
        <v>0.0044704328692600683</v>
      </c>
      <c r="AL13" s="68">
        <v>-0.02852352785556167</v>
      </c>
      <c r="AM13" s="68">
        <v>-0.010396043851368575</v>
      </c>
      <c r="AN13" s="68">
        <v>-0.0028444378100581187</v>
      </c>
      <c r="AO13" s="68">
        <v>-0.065700943144889015</v>
      </c>
      <c r="AP13" s="68">
        <v>-0.025011714323896424</v>
      </c>
      <c r="AQ13" s="68">
        <v>-0.034388809431856251</v>
      </c>
      <c r="AR13" s="69" t="str">
        <f>AD13</f>
        <v>LFS16 Backcast</v>
      </c>
    </row>
    <row r="14" spans="1:44" ht="27.75" customHeight="1" thickBot="1">
      <c r="A14" s="56"/>
      <c r="B14" s="22" t="s">
        <v>15</v>
      </c>
      <c r="C14" s="23"/>
      <c r="D14" s="23"/>
      <c r="E14" s="23"/>
      <c r="F14" s="23"/>
      <c r="G14" s="23">
        <v>997447.80128765258</v>
      </c>
      <c r="H14" s="23">
        <v>2375.8972191571238</v>
      </c>
      <c r="I14" s="24">
        <v>1075653.3030000001</v>
      </c>
      <c r="J14" s="26">
        <v>0.09038306318160938</v>
      </c>
      <c r="K14" s="26">
        <v>0.078405608405159866</v>
      </c>
      <c r="L14" s="24">
        <v>2764.201</v>
      </c>
      <c r="M14" s="26">
        <v>0.09518719247149221</v>
      </c>
      <c r="N14" s="26">
        <v>0.16343458703177038</v>
      </c>
      <c r="O14" s="26"/>
      <c r="P14" s="26"/>
      <c r="Q14" s="23">
        <v>986491.20600000001</v>
      </c>
      <c r="R14" s="23">
        <v>2523.953</v>
      </c>
      <c r="S14" s="57"/>
      <c r="T14" s="58" t="s">
        <v>27</v>
      </c>
      <c r="U14" s="59">
        <f t="shared" si="4"/>
        <v>1075653.3030000001</v>
      </c>
      <c r="V14" s="60">
        <f>'EO &amp; DO BACKCAST'!H12/1000</f>
        <v>1048923.18753</v>
      </c>
      <c r="W14" s="50">
        <f t="shared" si="0"/>
        <v>26730.115470000077</v>
      </c>
      <c r="X14" s="61">
        <f t="shared" si="1"/>
        <v>0.024850121684607589</v>
      </c>
      <c r="Y14" s="60">
        <f>'EO &amp; DO BACKCAST'!I12/1000</f>
        <v>1037682.10943</v>
      </c>
      <c r="Z14" s="52">
        <f t="shared" si="2"/>
        <v>37971.19357000012</v>
      </c>
      <c r="AA14" s="62">
        <f t="shared" si="3"/>
        <v>0.035300587525830443</v>
      </c>
      <c r="AB14" s="54"/>
      <c r="AC14" s="63"/>
      <c r="AD14" s="70" t="str">
        <f>Y9</f>
        <v>LFS17 Backcast</v>
      </c>
      <c r="AE14" s="66">
        <f>AVERAGE(AF17:AQ17)</f>
        <v>0.017929205193438841</v>
      </c>
      <c r="AF14" s="71">
        <f t="array" ref="AF14:AQ14">TRANSPOSE(AA10:AA21)</f>
        <v>-0.0029676920883065401</v>
      </c>
      <c r="AG14" s="72">
        <v>-0.0039288132786238598</v>
      </c>
      <c r="AH14" s="72">
        <v>-0.036708112289778959</v>
      </c>
      <c r="AI14" s="72">
        <v>0.024791277580299878</v>
      </c>
      <c r="AJ14" s="72">
        <v>0.035300587525830443</v>
      </c>
      <c r="AK14" s="72">
        <v>0.017118418635176796</v>
      </c>
      <c r="AL14" s="72">
        <v>-0.011677365524664737</v>
      </c>
      <c r="AM14" s="72">
        <v>0.0021592086731595556</v>
      </c>
      <c r="AN14" s="72">
        <v>0.0067327678242700122</v>
      </c>
      <c r="AO14" s="72">
        <v>-0.051776719887183</v>
      </c>
      <c r="AP14" s="72">
        <v>-0.015797652012478691</v>
      </c>
      <c r="AQ14" s="72">
        <v>-0.0061918470014936701</v>
      </c>
      <c r="AR14" s="73" t="str">
        <f>AD14</f>
        <v>LFS17 Backcast</v>
      </c>
    </row>
    <row r="15" spans="1:29" ht="15.75" customHeight="1" thickTop="1">
      <c r="A15" s="56"/>
      <c r="B15" s="22" t="s">
        <v>0</v>
      </c>
      <c r="C15" s="23"/>
      <c r="D15" s="23"/>
      <c r="E15" s="23"/>
      <c r="F15" s="23"/>
      <c r="G15" s="23">
        <v>1198159.5101934471</v>
      </c>
      <c r="H15" s="23">
        <v>2739.936965816561</v>
      </c>
      <c r="I15" s="24">
        <v>1267851.4979999999</v>
      </c>
      <c r="J15" s="26">
        <v>0.054714476047184268</v>
      </c>
      <c r="K15" s="26">
        <v>0.058165867911277314</v>
      </c>
      <c r="L15" s="24">
        <v>2942.5540000000001</v>
      </c>
      <c r="M15" s="26">
        <v>0.11397084989589246</v>
      </c>
      <c r="N15" s="26">
        <v>0.073949523916530868</v>
      </c>
      <c r="O15" s="26"/>
      <c r="P15" s="26"/>
      <c r="Q15" s="23">
        <v>1202080.304</v>
      </c>
      <c r="R15" s="23">
        <v>2641.50</v>
      </c>
      <c r="S15" s="57"/>
      <c r="T15" s="58" t="s">
        <v>28</v>
      </c>
      <c r="U15" s="59">
        <f t="shared" si="4"/>
        <v>1267851.4979999999</v>
      </c>
      <c r="V15" s="60">
        <f>'EO &amp; DO BACKCAST'!H13/1000</f>
        <v>1262183.6529900001</v>
      </c>
      <c r="W15" s="50">
        <f t="shared" si="0"/>
        <v>5667.8450099998154</v>
      </c>
      <c r="X15" s="61">
        <f t="shared" si="1"/>
        <v>0.0044704328692600683</v>
      </c>
      <c r="Y15" s="60">
        <f>'EO &amp; DO BACKCAST'!I13/1000</f>
        <v>1246147.8852899999</v>
      </c>
      <c r="Z15" s="52">
        <f t="shared" si="2"/>
        <v>21703.612710000016</v>
      </c>
      <c r="AA15" s="62">
        <f t="shared" si="3"/>
        <v>0.017118418635176796</v>
      </c>
      <c r="AB15" s="54"/>
      <c r="AC15" s="63"/>
    </row>
    <row r="16" spans="1:43" ht="15.75" customHeight="1">
      <c r="A16" s="56"/>
      <c r="B16" s="22" t="s">
        <v>16</v>
      </c>
      <c r="C16" s="23"/>
      <c r="D16" s="23"/>
      <c r="E16" s="23"/>
      <c r="F16" s="23"/>
      <c r="G16" s="23">
        <v>1291391.134179553</v>
      </c>
      <c r="H16" s="23">
        <v>2869.6946197530929</v>
      </c>
      <c r="I16" s="24">
        <v>1263924.773</v>
      </c>
      <c r="J16" s="26">
        <v>-0.087055368951720502</v>
      </c>
      <c r="K16" s="26">
        <v>-0.021268816590569894</v>
      </c>
      <c r="L16" s="24">
        <v>2832.5970000000002</v>
      </c>
      <c r="M16" s="26">
        <v>-0.045073997909854002</v>
      </c>
      <c r="N16" s="26">
        <v>-0.012927375441880495</v>
      </c>
      <c r="O16" s="26"/>
      <c r="P16" s="26"/>
      <c r="Q16" s="23">
        <v>1384448.443</v>
      </c>
      <c r="R16" s="23">
        <v>2966.30</v>
      </c>
      <c r="S16" s="57"/>
      <c r="T16" s="58" t="s">
        <v>29</v>
      </c>
      <c r="U16" s="59">
        <f t="shared" si="4"/>
        <v>1263924.773</v>
      </c>
      <c r="V16" s="60">
        <f>'EO &amp; DO BACKCAST'!H14/1000</f>
        <v>1299976.36647</v>
      </c>
      <c r="W16" s="50">
        <f t="shared" si="0"/>
        <v>-36051.593469999963</v>
      </c>
      <c r="X16" s="61">
        <f t="shared" si="1"/>
        <v>-0.02852352785556167</v>
      </c>
      <c r="Y16" s="60">
        <f>'EO &amp; DO BACKCAST'!I14/1000</f>
        <v>1278684.08457</v>
      </c>
      <c r="Z16" s="52">
        <f t="shared" si="2"/>
        <v>-14759.311569999903</v>
      </c>
      <c r="AA16" s="62">
        <f t="shared" si="3"/>
        <v>-0.011677365524664737</v>
      </c>
      <c r="AB16" s="54"/>
      <c r="AC16" s="63"/>
      <c r="AF16" s="114">
        <f>ABS(AF13:AQ13)</f>
        <v>0.014901899186985625</v>
      </c>
      <c r="AG16" s="114">
        <f t="shared" si="5" ref="AG16:AQ16">ABS(AG13:AR13)</f>
        <v>0.0047941617473471294</v>
      </c>
      <c r="AH16" s="114">
        <f t="shared" si="5"/>
        <v>0.051228490796502497</v>
      </c>
      <c r="AI16" s="114">
        <f t="shared" si="5"/>
        <v>0.0055432180797200491</v>
      </c>
      <c r="AJ16" s="114">
        <f t="shared" si="5"/>
        <v>0.024850121684607589</v>
      </c>
      <c r="AK16" s="114">
        <f t="shared" si="5"/>
        <v>0.0044704328692600683</v>
      </c>
      <c r="AL16" s="114">
        <f t="shared" si="5"/>
        <v>0.02852352785556167</v>
      </c>
      <c r="AM16" s="114">
        <f t="shared" si="5"/>
        <v>0.010396043851368575</v>
      </c>
      <c r="AN16" s="114">
        <f t="shared" si="5"/>
        <v>0.0028444378100581187</v>
      </c>
      <c r="AO16" s="114">
        <f t="shared" si="5"/>
        <v>0.065700943144889015</v>
      </c>
      <c r="AP16" s="114">
        <f t="shared" si="5"/>
        <v>0.025011714323896424</v>
      </c>
      <c r="AQ16" s="114">
        <f t="shared" si="5"/>
        <v>0.034388809431856251</v>
      </c>
    </row>
    <row r="17" spans="1:43" ht="15.75" customHeight="1">
      <c r="A17" s="74"/>
      <c r="B17" s="22" t="s">
        <v>17</v>
      </c>
      <c r="C17" s="23"/>
      <c r="D17" s="23"/>
      <c r="E17" s="23"/>
      <c r="F17" s="23"/>
      <c r="G17" s="23">
        <v>1392117.1847697783</v>
      </c>
      <c r="H17" s="23">
        <v>2954.263077137547</v>
      </c>
      <c r="I17" s="24">
        <v>1424304.8289999999</v>
      </c>
      <c r="J17" s="26">
        <v>-0.06180807596255844</v>
      </c>
      <c r="K17" s="26">
        <v>0.023121361177323996</v>
      </c>
      <c r="L17" s="24">
        <v>2954.241</v>
      </c>
      <c r="M17" s="26">
        <v>-0.032276228858156175</v>
      </c>
      <c r="N17" s="26">
        <v>-7.4729761604386269E-06</v>
      </c>
      <c r="O17" s="26"/>
      <c r="P17" s="26"/>
      <c r="Q17" s="23">
        <v>1518138.0189999999</v>
      </c>
      <c r="R17" s="23">
        <v>3052.7730000000001</v>
      </c>
      <c r="S17" s="57"/>
      <c r="T17" s="58" t="s">
        <v>30</v>
      </c>
      <c r="U17" s="59">
        <f t="shared" si="4"/>
        <v>1424304.8289999999</v>
      </c>
      <c r="V17" s="60">
        <f>'EO &amp; DO BACKCAST'!H15/1000</f>
        <v>1439111.9644599999</v>
      </c>
      <c r="W17" s="50">
        <f t="shared" si="0"/>
        <v>-14807.13546000002</v>
      </c>
      <c r="X17" s="61">
        <f t="shared" si="1"/>
        <v>-0.010396043851368575</v>
      </c>
      <c r="Y17" s="60">
        <f>'EO &amp; DO BACKCAST'!I15/1000</f>
        <v>1421229.4576600001</v>
      </c>
      <c r="Z17" s="52">
        <f t="shared" si="2"/>
        <v>3075.3713399998378</v>
      </c>
      <c r="AA17" s="62">
        <f t="shared" si="3"/>
        <v>0.0021592086731595556</v>
      </c>
      <c r="AB17" s="54"/>
      <c r="AC17" s="63"/>
      <c r="AF17" s="114">
        <f>ABS(AF14:AQ14)</f>
        <v>0.0029676920883065401</v>
      </c>
      <c r="AG17" s="114">
        <f t="shared" si="6" ref="AG17">ABS(AG14:AR14)</f>
        <v>0.0039288132786238598</v>
      </c>
      <c r="AH17" s="114">
        <f t="shared" si="7" ref="AH17">ABS(AH14:AS14)</f>
        <v>0.036708112289778959</v>
      </c>
      <c r="AI17" s="114">
        <f t="shared" si="8" ref="AI17">ABS(AI14:AT14)</f>
        <v>0.024791277580299878</v>
      </c>
      <c r="AJ17" s="114">
        <f t="shared" si="9" ref="AJ17">ABS(AJ14:AU14)</f>
        <v>0.035300587525830443</v>
      </c>
      <c r="AK17" s="114">
        <f t="shared" si="10" ref="AK17">ABS(AK14:AV14)</f>
        <v>0.017118418635176796</v>
      </c>
      <c r="AL17" s="114">
        <f t="shared" si="11" ref="AL17">ABS(AL14:AW14)</f>
        <v>0.011677365524664737</v>
      </c>
      <c r="AM17" s="114">
        <f t="shared" si="12" ref="AM17">ABS(AM14:AX14)</f>
        <v>0.0021592086731595556</v>
      </c>
      <c r="AN17" s="114">
        <f t="shared" si="13" ref="AN17">ABS(AN14:AY14)</f>
        <v>0.0067327678242700122</v>
      </c>
      <c r="AO17" s="114">
        <f t="shared" si="14" ref="AO17">ABS(AO14:AZ14)</f>
        <v>0.051776719887183</v>
      </c>
      <c r="AP17" s="114">
        <f t="shared" si="15" ref="AP17">ABS(AP14:BA14)</f>
        <v>0.015797652012478691</v>
      </c>
      <c r="AQ17" s="114">
        <f t="shared" si="16" ref="AQ17">ABS(AQ14:BB14)</f>
        <v>0.0061918470014936701</v>
      </c>
    </row>
    <row r="18" spans="1:31" ht="15.75" customHeight="1">
      <c r="A18" s="74"/>
      <c r="B18" s="22" t="s">
        <v>18</v>
      </c>
      <c r="C18" s="23"/>
      <c r="D18" s="23"/>
      <c r="E18" s="23"/>
      <c r="F18" s="23"/>
      <c r="G18" s="23">
        <v>1402661.9822002915</v>
      </c>
      <c r="H18" s="23">
        <v>2968.9687149732745</v>
      </c>
      <c r="I18" s="24">
        <v>1454877.95</v>
      </c>
      <c r="J18" s="26">
        <v>0.016197188184676525</v>
      </c>
      <c r="K18" s="26">
        <v>0.037226337109244056</v>
      </c>
      <c r="L18" s="24">
        <v>2913.058</v>
      </c>
      <c r="M18" s="26">
        <v>-0.02763166766694336</v>
      </c>
      <c r="N18" s="26">
        <v>-0.018831695561931094</v>
      </c>
      <c r="O18" s="26"/>
      <c r="P18" s="26"/>
      <c r="Q18" s="23">
        <v>1431688.62</v>
      </c>
      <c r="R18" s="23">
        <v>2995.8380000000002</v>
      </c>
      <c r="S18" s="57"/>
      <c r="T18" s="58" t="s">
        <v>31</v>
      </c>
      <c r="U18" s="59">
        <f t="shared" si="4"/>
        <v>1454877.95</v>
      </c>
      <c r="V18" s="60">
        <f>'EO &amp; DO BACKCAST'!H16/1000</f>
        <v>1459016.2598499998</v>
      </c>
      <c r="W18" s="50">
        <f t="shared" si="0"/>
        <v>-4138.309849999845</v>
      </c>
      <c r="X18" s="61">
        <f t="shared" si="1"/>
        <v>-0.0028444378100581187</v>
      </c>
      <c r="Y18" s="60">
        <f>'EO &amp; DO BACKCAST'!I16/1000</f>
        <v>1445082.59455</v>
      </c>
      <c r="Z18" s="52">
        <f t="shared" si="2"/>
        <v>9795.3554499999154</v>
      </c>
      <c r="AA18" s="62">
        <f t="shared" si="3"/>
        <v>0.0067327678242700122</v>
      </c>
      <c r="AB18" s="54"/>
      <c r="AC18" s="63"/>
      <c r="AE18" s="36" t="s">
        <v>67</v>
      </c>
    </row>
    <row r="19" spans="1:31" ht="17.4">
      <c r="A19" s="56"/>
      <c r="B19" s="22" t="s">
        <v>19</v>
      </c>
      <c r="C19" s="23"/>
      <c r="D19" s="23"/>
      <c r="E19" s="23"/>
      <c r="F19" s="23"/>
      <c r="G19" s="23">
        <v>1269712.5897678556</v>
      </c>
      <c r="H19" s="23">
        <v>2805.1055851498295</v>
      </c>
      <c r="I19" s="24">
        <v>1234256.5959999999</v>
      </c>
      <c r="J19" s="26">
        <v>-0.048554304975062412</v>
      </c>
      <c r="K19" s="26">
        <v>-0.027924424829353089</v>
      </c>
      <c r="L19" s="24">
        <v>2767.846</v>
      </c>
      <c r="M19" s="26">
        <v>-0.025854993545226357</v>
      </c>
      <c r="N19" s="26">
        <v>-0.013282774576144685</v>
      </c>
      <c r="O19" s="26"/>
      <c r="P19" s="26"/>
      <c r="Q19" s="23">
        <v>1297243.345</v>
      </c>
      <c r="R19" s="23">
        <v>2841.308</v>
      </c>
      <c r="S19" s="57"/>
      <c r="T19" s="58" t="s">
        <v>32</v>
      </c>
      <c r="U19" s="59">
        <f t="shared" si="4"/>
        <v>1234256.5959999999</v>
      </c>
      <c r="V19" s="60">
        <f>'EO &amp; DO BACKCAST'!H17/1000</f>
        <v>1315348.4184400002</v>
      </c>
      <c r="W19" s="50">
        <f t="shared" si="0"/>
        <v>-81091.822440000251</v>
      </c>
      <c r="X19" s="61">
        <f t="shared" si="1"/>
        <v>-0.065700943144889015</v>
      </c>
      <c r="Y19" s="60">
        <f>'EO &amp; DO BACKCAST'!I17/1000</f>
        <v>1298162.3540399999</v>
      </c>
      <c r="Z19" s="52">
        <f t="shared" si="2"/>
        <v>-63905.758039999986</v>
      </c>
      <c r="AA19" s="62">
        <f t="shared" si="3"/>
        <v>-0.051776719887183</v>
      </c>
      <c r="AB19" s="54"/>
      <c r="AC19" s="63"/>
      <c r="AE19" s="75">
        <f>AVERAGE(AF16:AN16,AP16:AQ16)</f>
        <v>0.018813896148833095</v>
      </c>
    </row>
    <row r="20" spans="1:31" ht="15.75" customHeight="1">
      <c r="A20" s="56"/>
      <c r="B20" s="22" t="s">
        <v>20</v>
      </c>
      <c r="C20" s="23"/>
      <c r="D20" s="23"/>
      <c r="E20" s="23"/>
      <c r="F20" s="23"/>
      <c r="G20" s="23">
        <v>1075657.4392254725</v>
      </c>
      <c r="H20" s="23">
        <v>2511.9556495803586</v>
      </c>
      <c r="I20" s="24">
        <v>1166094.1869999999</v>
      </c>
      <c r="J20" s="26">
        <v>0.073145594730972263</v>
      </c>
      <c r="K20" s="26">
        <v>0.084075788886512459</v>
      </c>
      <c r="L20" s="24">
        <v>2695.098</v>
      </c>
      <c r="M20" s="26">
        <v>0.065166450413463028</v>
      </c>
      <c r="N20" s="26">
        <v>0.072908273858352857</v>
      </c>
      <c r="O20" s="26"/>
      <c r="P20" s="26"/>
      <c r="Q20" s="23">
        <v>1086613.217</v>
      </c>
      <c r="R20" s="23">
        <v>2530.2130000000002</v>
      </c>
      <c r="S20" s="57"/>
      <c r="T20" s="58" t="s">
        <v>33</v>
      </c>
      <c r="U20" s="59">
        <f t="shared" si="4"/>
        <v>1166094.1869999999</v>
      </c>
      <c r="V20" s="60">
        <f>'EO &amp; DO BACKCAST'!H18/1000</f>
        <v>1195260.2016800002</v>
      </c>
      <c r="W20" s="50">
        <f t="shared" si="0"/>
        <v>-29166.014680000255</v>
      </c>
      <c r="X20" s="61">
        <f t="shared" si="1"/>
        <v>-0.025011714323896424</v>
      </c>
      <c r="Y20" s="60">
        <f>'EO &amp; DO BACKCAST'!I18/1000</f>
        <v>1184515.7371800002</v>
      </c>
      <c r="Z20" s="52">
        <f t="shared" si="2"/>
        <v>-18421.550180000253</v>
      </c>
      <c r="AA20" s="62">
        <f t="shared" si="3"/>
        <v>-0.015797652012478691</v>
      </c>
      <c r="AB20" s="54"/>
      <c r="AC20" s="63"/>
      <c r="AE20" s="75">
        <f>AVERAGE(AF17:AN17,AP17:AQ17)</f>
        <v>0.014852158403098465</v>
      </c>
    </row>
    <row r="21" spans="1:29" ht="15.75" customHeight="1">
      <c r="A21" s="56"/>
      <c r="B21" s="22" t="s">
        <v>21</v>
      </c>
      <c r="C21" s="23"/>
      <c r="D21" s="23"/>
      <c r="E21" s="23"/>
      <c r="F21" s="23"/>
      <c r="G21" s="23">
        <v>962933.22354551544</v>
      </c>
      <c r="H21" s="23">
        <v>2438.4375975968205</v>
      </c>
      <c r="I21" s="24">
        <v>911508.71600000001</v>
      </c>
      <c r="J21" s="26">
        <v>-0.0078605720511522037</v>
      </c>
      <c r="K21" s="26">
        <v>-0.053404022509650928</v>
      </c>
      <c r="L21" s="24">
        <v>1847.06</v>
      </c>
      <c r="M21" s="26">
        <v>-0.12252055976333998</v>
      </c>
      <c r="N21" s="26">
        <v>-0.24252316244616934</v>
      </c>
      <c r="O21" s="26"/>
      <c r="P21" s="26"/>
      <c r="Q21" s="23">
        <v>918730.46299999999</v>
      </c>
      <c r="R21" s="23">
        <v>2104.9609999999998</v>
      </c>
      <c r="S21" s="27"/>
      <c r="T21" s="76" t="s">
        <v>34</v>
      </c>
      <c r="U21" s="59">
        <f t="shared" si="4"/>
        <v>911508.71600000001</v>
      </c>
      <c r="V21" s="60">
        <f>'EO &amp; DO BACKCAST'!H19/1000</f>
        <v>942854.41553</v>
      </c>
      <c r="W21" s="50">
        <f t="shared" si="0"/>
        <v>-31345.699529999983</v>
      </c>
      <c r="X21" s="61">
        <f t="shared" si="1"/>
        <v>-0.034388809431856251</v>
      </c>
      <c r="Y21" s="60">
        <f>'EO &amp; DO BACKCAST'!I19/1000</f>
        <v>917152.63850999996</v>
      </c>
      <c r="Z21" s="52">
        <f t="shared" si="2"/>
        <v>-5643.9225099999458</v>
      </c>
      <c r="AA21" s="62">
        <f t="shared" si="3"/>
        <v>-0.0061918470014936701</v>
      </c>
      <c r="AB21" s="54"/>
      <c r="AC21" s="63"/>
    </row>
    <row r="22" spans="1:29" ht="18.75" customHeight="1">
      <c r="A22" s="56"/>
      <c r="B22" s="22" t="s">
        <v>22</v>
      </c>
      <c r="C22" s="23"/>
      <c r="D22" s="23"/>
      <c r="E22" s="23"/>
      <c r="F22" s="23"/>
      <c r="G22" s="23">
        <v>1093499.8642537689</v>
      </c>
      <c r="H22" s="23">
        <v>2711.5319864353123</v>
      </c>
      <c r="I22" s="24">
        <v>1067255.4890000001</v>
      </c>
      <c r="J22" s="26">
        <v>0.07329722720696541</v>
      </c>
      <c r="K22" s="26">
        <v>-0.024000346146982543</v>
      </c>
      <c r="L22" s="24">
        <v>2839.989</v>
      </c>
      <c r="M22" s="26">
        <v>0.24187758625288658</v>
      </c>
      <c r="N22" s="26">
        <v>0.047374330897553829</v>
      </c>
      <c r="O22" s="23">
        <v>2652</v>
      </c>
      <c r="P22" s="23">
        <v>1058183</v>
      </c>
      <c r="Q22" s="23">
        <v>994370.86199999996</v>
      </c>
      <c r="R22" s="23">
        <v>2286.8510000000001</v>
      </c>
      <c r="S22" s="27"/>
      <c r="T22" s="77" t="s">
        <v>59</v>
      </c>
      <c r="U22" s="59">
        <f t="shared" si="4"/>
        <v>1067255.4890000001</v>
      </c>
      <c r="V22" s="78"/>
      <c r="W22" s="79"/>
      <c r="X22" s="80"/>
      <c r="Y22" s="78"/>
      <c r="Z22" s="81"/>
      <c r="AA22" s="82"/>
      <c r="AB22" s="81"/>
      <c r="AC22" s="63"/>
    </row>
    <row r="23" spans="1:29" ht="16.5" customHeight="1">
      <c r="A23" s="83"/>
      <c r="C23" s="23"/>
      <c r="D23" s="23"/>
      <c r="E23" s="23"/>
      <c r="F23" s="23"/>
      <c r="G23" s="23"/>
      <c r="H23" s="23"/>
      <c r="I23" s="25"/>
      <c r="J23" s="26"/>
      <c r="K23" s="27"/>
      <c r="L23" s="28"/>
      <c r="M23" s="26"/>
      <c r="N23" s="27"/>
      <c r="O23" s="27"/>
      <c r="P23" s="26"/>
      <c r="Q23" s="27"/>
      <c r="R23" s="29"/>
      <c r="S23" s="27"/>
      <c r="T23" s="84" t="s">
        <v>60</v>
      </c>
      <c r="U23" s="85">
        <f>E11</f>
        <v>1344131</v>
      </c>
      <c r="V23" s="86"/>
      <c r="W23" s="87"/>
      <c r="X23" s="88"/>
      <c r="Y23" s="89"/>
      <c r="Z23" s="87"/>
      <c r="AA23" s="88"/>
      <c r="AB23" s="90"/>
      <c r="AC23" s="63"/>
    </row>
    <row r="24" spans="1:29" ht="22.5" customHeight="1">
      <c r="A24" s="56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27"/>
      <c r="T24" s="27"/>
      <c r="U24" s="27"/>
      <c r="V24" s="27"/>
      <c r="W24" s="27"/>
      <c r="X24" s="27"/>
      <c r="AC24" s="63"/>
    </row>
    <row r="25" spans="2:29" ht="17.4"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27"/>
      <c r="T25" s="27"/>
      <c r="U25" s="27"/>
      <c r="V25" s="27"/>
      <c r="W25" s="27"/>
      <c r="X25" s="27"/>
      <c r="AC25" s="63"/>
    </row>
    <row r="26" spans="2:29" ht="17.4"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27"/>
      <c r="T26" s="20"/>
      <c r="U26" s="20" t="s">
        <v>3</v>
      </c>
      <c r="V26" s="41"/>
      <c r="W26" s="42" t="s">
        <v>3</v>
      </c>
      <c r="X26" s="43"/>
      <c r="Z26" s="44" t="s">
        <v>3</v>
      </c>
      <c r="AA26" s="45"/>
      <c r="AB26" s="45"/>
      <c r="AC26" s="63"/>
    </row>
    <row r="27" spans="2:29" ht="17.4"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27"/>
      <c r="T27" s="20"/>
      <c r="U27" s="20" t="s">
        <v>46</v>
      </c>
      <c r="V27" s="46" t="s">
        <v>36</v>
      </c>
      <c r="W27" s="20" t="s">
        <v>54</v>
      </c>
      <c r="X27" s="21" t="s">
        <v>55</v>
      </c>
      <c r="Y27" s="20" t="s">
        <v>45</v>
      </c>
      <c r="Z27" s="20" t="s">
        <v>54</v>
      </c>
      <c r="AA27" s="20" t="s">
        <v>55</v>
      </c>
      <c r="AB27" s="20"/>
      <c r="AC27" s="63"/>
    </row>
    <row r="28" spans="2:32" ht="17.4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27"/>
      <c r="T28" s="47" t="str">
        <f>T10</f>
        <v>DEC16</v>
      </c>
      <c r="U28" s="48">
        <f>R22</f>
        <v>2286.8510000000001</v>
      </c>
      <c r="V28" s="49">
        <f>'EO &amp; DO BACKCAST'!K23/1000</f>
        <v>2288.5561926827172</v>
      </c>
      <c r="W28" s="50">
        <f>U28-V28</f>
        <v>-1.7051926827170973</v>
      </c>
      <c r="X28" s="51">
        <f>W28/U28</f>
        <v>-0.00074565097713716257</v>
      </c>
      <c r="Y28" s="49">
        <f>'EO &amp; DO BACKCAST'!L23/1000</f>
        <v>2290.229823081685</v>
      </c>
      <c r="Z28" s="52">
        <f>U28-Y28</f>
        <v>-3.3788230816849136</v>
      </c>
      <c r="AA28" s="53">
        <f>Z28/U28</f>
        <v>-0.0014775003188598266</v>
      </c>
      <c r="AB28" s="20"/>
      <c r="AC28" s="63"/>
      <c r="AD28" s="35" t="s">
        <v>3</v>
      </c>
      <c r="AF28" s="55" t="s">
        <v>61</v>
      </c>
    </row>
    <row r="29" spans="2:43" ht="17.4"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T29" s="58" t="str">
        <f t="shared" si="17" ref="T29:T41">T11</f>
        <v>JAN</v>
      </c>
      <c r="U29" s="59">
        <f>L11</f>
        <v>2884.6350000000002</v>
      </c>
      <c r="V29" s="60">
        <f>'EO &amp; DO BACKCAST'!K24/1000</f>
        <v>2918.0968574701296</v>
      </c>
      <c r="W29" s="50">
        <f t="shared" si="18" ref="W29:W39">U29-V29</f>
        <v>-33.461857470129416</v>
      </c>
      <c r="X29" s="61">
        <f t="shared" si="19" ref="X29:X39">W29/U29</f>
        <v>-0.01160003170942924</v>
      </c>
      <c r="Y29" s="60">
        <f>'EO &amp; DO BACKCAST'!L24/1000</f>
        <v>2848.554472369146</v>
      </c>
      <c r="Z29" s="52">
        <f t="shared" si="20" ref="Z29:Z39">U29-Y29</f>
        <v>36.080527630854249</v>
      </c>
      <c r="AA29" s="62">
        <f t="shared" si="21" ref="AA29:AA39">Z29/U29</f>
        <v>0.012507831192110699</v>
      </c>
      <c r="AB29" s="20"/>
      <c r="AC29" s="63"/>
      <c r="AE29" s="36" t="s">
        <v>62</v>
      </c>
      <c r="AF29" s="37" t="str">
        <f t="array" ref="AF29:AQ29">TRANSPOSE(T28:T39)</f>
        <v>DEC16</v>
      </c>
      <c r="AG29" s="37" t="str">
        <v>JAN</v>
      </c>
      <c r="AH29" s="37" t="str">
        <v>FEB</v>
      </c>
      <c r="AI29" s="37" t="str">
        <v>MAR</v>
      </c>
      <c r="AJ29" s="37" t="str">
        <v>APR</v>
      </c>
      <c r="AK29" s="37" t="str">
        <v>MAY</v>
      </c>
      <c r="AL29" s="37" t="str">
        <v>JUN</v>
      </c>
      <c r="AM29" s="37" t="str">
        <v>JUL</v>
      </c>
      <c r="AN29" s="37" t="str">
        <v>AUG</v>
      </c>
      <c r="AO29" s="37" t="str">
        <v>SEP</v>
      </c>
      <c r="AP29" s="37" t="str">
        <v>OCT</v>
      </c>
      <c r="AQ29" s="37" t="str">
        <v>NOV</v>
      </c>
    </row>
    <row r="30" spans="2:29" ht="18" customHeight="1" thickBot="1"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T30" s="58" t="str">
        <f t="shared" si="17"/>
        <v>FEB</v>
      </c>
      <c r="U30" s="59">
        <f t="shared" si="22" ref="U30:U40">L12</f>
        <v>2053.163</v>
      </c>
      <c r="V30" s="60">
        <f>'EO &amp; DO BACKCAST'!K25/1000</f>
        <v>2129.4023173304349</v>
      </c>
      <c r="W30" s="50">
        <f t="shared" si="18"/>
        <v>-76.239317330434915</v>
      </c>
      <c r="X30" s="61">
        <f t="shared" si="19"/>
        <v>-0.037132617980372193</v>
      </c>
      <c r="Y30" s="60">
        <f>'EO &amp; DO BACKCAST'!L25/1000</f>
        <v>2111.6321940041398</v>
      </c>
      <c r="Z30" s="52">
        <f t="shared" si="20"/>
        <v>-58.469194004139808</v>
      </c>
      <c r="AA30" s="62">
        <f t="shared" si="21"/>
        <v>-0.028477619168151679</v>
      </c>
      <c r="AB30" s="20"/>
      <c r="AC30" s="63"/>
    </row>
    <row r="31" spans="3:44" ht="26.25" customHeight="1" thickTop="1">
      <c r="C31" s="31"/>
      <c r="D31" s="31"/>
      <c r="E31" s="31"/>
      <c r="F31" s="31"/>
      <c r="T31" s="58" t="str">
        <f t="shared" si="17"/>
        <v>MAR</v>
      </c>
      <c r="U31" s="59">
        <f t="shared" si="22"/>
        <v>2551.076</v>
      </c>
      <c r="V31" s="60">
        <f>'EO &amp; DO BACKCAST'!K26/1000</f>
        <v>2477.0041035733652</v>
      </c>
      <c r="W31" s="50">
        <f t="shared" si="18"/>
        <v>74.071896426634794</v>
      </c>
      <c r="X31" s="61">
        <f t="shared" si="19"/>
        <v>0.029035550656520932</v>
      </c>
      <c r="Y31" s="60">
        <f>'EO &amp; DO BACKCAST'!L26/1000</f>
        <v>2516.0568218620065</v>
      </c>
      <c r="Z31" s="52">
        <f t="shared" si="20"/>
        <v>35.019178137993549</v>
      </c>
      <c r="AA31" s="62">
        <f t="shared" si="21"/>
        <v>0.013727218686543854</v>
      </c>
      <c r="AB31" s="20"/>
      <c r="AC31" s="63"/>
      <c r="AD31" s="65" t="str">
        <f>V27</f>
        <v>LFS16 Backcast</v>
      </c>
      <c r="AE31" s="66">
        <f>AVERAGE(AF34:AQ34)</f>
        <v>0.035255707049016823</v>
      </c>
      <c r="AF31" s="67">
        <f t="array" ref="AF31:AQ31">TRANSPOSE(X28:X39)</f>
        <v>-0.00074565097713716257</v>
      </c>
      <c r="AG31" s="68">
        <v>-0.01160003170942924</v>
      </c>
      <c r="AH31" s="68">
        <v>-0.037132617980372193</v>
      </c>
      <c r="AI31" s="68">
        <v>0.029035550656520932</v>
      </c>
      <c r="AJ31" s="68">
        <v>0.074770126141800786</v>
      </c>
      <c r="AK31" s="68">
        <v>0.0060255723930103481</v>
      </c>
      <c r="AL31" s="68">
        <v>0.045496775951321573</v>
      </c>
      <c r="AM31" s="68">
        <v>0.037289876932099571</v>
      </c>
      <c r="AN31" s="68">
        <v>-0.0066932749467761834</v>
      </c>
      <c r="AO31" s="68">
        <v>0.0045275307211430178</v>
      </c>
      <c r="AP31" s="68">
        <v>-0.060589755126843316</v>
      </c>
      <c r="AQ31" s="68">
        <v>-0.10916172105174747</v>
      </c>
      <c r="AR31" s="69" t="str">
        <f>AD31</f>
        <v>LFS16 Backcast</v>
      </c>
    </row>
    <row r="32" spans="3:44" ht="28.5" customHeight="1" thickBot="1">
      <c r="C32" s="31"/>
      <c r="D32" s="31"/>
      <c r="E32" s="31"/>
      <c r="F32" s="31"/>
      <c r="T32" s="58" t="str">
        <f t="shared" si="17"/>
        <v>APR</v>
      </c>
      <c r="U32" s="59">
        <f t="shared" si="22"/>
        <v>2764.201</v>
      </c>
      <c r="V32" s="60">
        <f>'EO &amp; DO BACKCAST'!K27/1000</f>
        <v>2557.5213425487082</v>
      </c>
      <c r="W32" s="50">
        <f t="shared" si="18"/>
        <v>206.67965745129186</v>
      </c>
      <c r="X32" s="61">
        <f t="shared" si="19"/>
        <v>0.074770126141800786</v>
      </c>
      <c r="Y32" s="60">
        <f>'EO &amp; DO BACKCAST'!L27/1000</f>
        <v>2541.355996918086</v>
      </c>
      <c r="Z32" s="52">
        <f t="shared" si="20"/>
        <v>222.845003081914</v>
      </c>
      <c r="AA32" s="62">
        <f t="shared" si="21"/>
        <v>0.080618234014789084</v>
      </c>
      <c r="AB32" s="20"/>
      <c r="AC32" s="63"/>
      <c r="AD32" s="70" t="str">
        <f>Y27</f>
        <v>LFS17 Backcast</v>
      </c>
      <c r="AE32" s="66">
        <f>AVERAGE(AF35:AQ35)</f>
        <v>0.023032697034206059</v>
      </c>
      <c r="AF32" s="71">
        <f t="array" ref="AF32:AQ32">TRANSPOSE(AA28:AA39)</f>
        <v>-0.0014775003188598266</v>
      </c>
      <c r="AG32" s="72">
        <v>0.012507831192110699</v>
      </c>
      <c r="AH32" s="72">
        <v>-0.028477619168151679</v>
      </c>
      <c r="AI32" s="72">
        <v>0.013727218686543854</v>
      </c>
      <c r="AJ32" s="72">
        <v>0.080618234014789084</v>
      </c>
      <c r="AK32" s="72">
        <v>0.0077682571037587037</v>
      </c>
      <c r="AL32" s="72">
        <v>0.027702692132022068</v>
      </c>
      <c r="AM32" s="72">
        <v>0.0054719953439113225</v>
      </c>
      <c r="AN32" s="72">
        <v>-0.00031690977760317991</v>
      </c>
      <c r="AO32" s="72">
        <v>-0.033677452246360283</v>
      </c>
      <c r="AP32" s="72">
        <v>-0.050087545177557875</v>
      </c>
      <c r="AQ32" s="72">
        <v>-0.014559109248804136</v>
      </c>
      <c r="AR32" s="73" t="str">
        <f>AD32</f>
        <v>LFS17 Backcast</v>
      </c>
    </row>
    <row r="33" spans="3:31" ht="18" thickTop="1">
      <c r="C33" s="31"/>
      <c r="D33" s="31"/>
      <c r="E33" s="31"/>
      <c r="F33" s="31"/>
      <c r="T33" s="58" t="str">
        <f t="shared" si="17"/>
        <v>MAY</v>
      </c>
      <c r="U33" s="59">
        <f t="shared" si="22"/>
        <v>2942.5540000000001</v>
      </c>
      <c r="V33" s="60">
        <f>'EO &amp; DO BACKCAST'!K28/1000</f>
        <v>2924.8234278526579</v>
      </c>
      <c r="W33" s="50">
        <f t="shared" si="18"/>
        <v>17.730572147342173</v>
      </c>
      <c r="X33" s="61">
        <f t="shared" si="19"/>
        <v>0.0060255723930103481</v>
      </c>
      <c r="Y33" s="60">
        <f>'EO &amp; DO BACKCAST'!L28/1000</f>
        <v>2919.6954839863065</v>
      </c>
      <c r="Z33" s="52">
        <f t="shared" si="20"/>
        <v>22.858516013693588</v>
      </c>
      <c r="AA33" s="62">
        <f t="shared" si="21"/>
        <v>0.0077682571037587037</v>
      </c>
      <c r="AB33" s="20"/>
      <c r="AE33" s="66"/>
    </row>
    <row r="34" spans="3:43" ht="17.4">
      <c r="C34" s="92"/>
      <c r="D34" s="92"/>
      <c r="E34" s="31"/>
      <c r="F34" s="31"/>
      <c r="T34" s="58" t="str">
        <f t="shared" si="17"/>
        <v>JUN</v>
      </c>
      <c r="U34" s="59">
        <f t="shared" si="22"/>
        <v>2832.5970000000002</v>
      </c>
      <c r="V34" s="60">
        <f>'EO &amp; DO BACKCAST'!K29/1000</f>
        <v>2703.7229689306146</v>
      </c>
      <c r="W34" s="50">
        <f t="shared" si="18"/>
        <v>128.87403106938564</v>
      </c>
      <c r="X34" s="61">
        <f t="shared" si="19"/>
        <v>0.045496775951321573</v>
      </c>
      <c r="Y34" s="60">
        <f>'EO &amp; DO BACKCAST'!L29/1000</f>
        <v>2754.1264373749109</v>
      </c>
      <c r="Z34" s="52">
        <f t="shared" si="20"/>
        <v>78.470562625089315</v>
      </c>
      <c r="AA34" s="62">
        <f t="shared" si="21"/>
        <v>0.027702692132022068</v>
      </c>
      <c r="AB34" s="20"/>
      <c r="AE34" s="66"/>
      <c r="AF34" s="114">
        <f>ABS(AF31:AQ31)</f>
        <v>0.00074565097713716257</v>
      </c>
      <c r="AG34" s="114">
        <f t="shared" si="23" ref="AG34:AG35">ABS(AG31:AR31)</f>
        <v>0.01160003170942924</v>
      </c>
      <c r="AH34" s="114">
        <f t="shared" si="24" ref="AH34:AH35">ABS(AH31:AS31)</f>
        <v>0.037132617980372193</v>
      </c>
      <c r="AI34" s="114">
        <f t="shared" si="25" ref="AI34:AI35">ABS(AI31:AT31)</f>
        <v>0.029035550656520932</v>
      </c>
      <c r="AJ34" s="114">
        <f t="shared" si="26" ref="AJ34:AJ35">ABS(AJ31:AU31)</f>
        <v>0.074770126141800786</v>
      </c>
      <c r="AK34" s="114">
        <f t="shared" si="27" ref="AK34:AK35">ABS(AK31:AV31)</f>
        <v>0.0060255723930103481</v>
      </c>
      <c r="AL34" s="114">
        <f t="shared" si="28" ref="AL34:AL35">ABS(AL31:AW31)</f>
        <v>0.045496775951321573</v>
      </c>
      <c r="AM34" s="114">
        <f t="shared" si="29" ref="AM34:AM35">ABS(AM31:AX31)</f>
        <v>0.037289876932099571</v>
      </c>
      <c r="AN34" s="114">
        <f t="shared" si="30" ref="AN34:AN35">ABS(AN31:AY31)</f>
        <v>0.0066932749467761834</v>
      </c>
      <c r="AO34" s="114">
        <f t="shared" si="31" ref="AO34:AO35">ABS(AO31:AZ31)</f>
        <v>0.0045275307211430178</v>
      </c>
      <c r="AP34" s="114">
        <f t="shared" si="32" ref="AP34:AP35">ABS(AP31:BA31)</f>
        <v>0.060589755126843316</v>
      </c>
      <c r="AQ34" s="114">
        <f t="shared" si="33" ref="AQ34:AQ35">ABS(AQ31:BB31)</f>
        <v>0.10916172105174747</v>
      </c>
    </row>
    <row r="35" spans="3:43" ht="16.5" customHeight="1">
      <c r="C35" s="92"/>
      <c r="D35" s="31"/>
      <c r="F35" s="92"/>
      <c r="H35" s="31"/>
      <c r="I35" s="31"/>
      <c r="J35" s="31"/>
      <c r="K35" s="31"/>
      <c r="M35" s="31"/>
      <c r="N35" s="31"/>
      <c r="O35" s="31"/>
      <c r="P35" s="31"/>
      <c r="Q35" s="31"/>
      <c r="R35" s="31"/>
      <c r="S35" s="27"/>
      <c r="T35" s="58" t="str">
        <f t="shared" si="17"/>
        <v>JUL</v>
      </c>
      <c r="U35" s="59">
        <f t="shared" si="22"/>
        <v>2954.241</v>
      </c>
      <c r="V35" s="60">
        <f>'EO &amp; DO BACKCAST'!K30/1000</f>
        <v>2844.0777166822372</v>
      </c>
      <c r="W35" s="50">
        <f t="shared" si="18"/>
        <v>110.16328331776276</v>
      </c>
      <c r="X35" s="61">
        <f t="shared" si="19"/>
        <v>0.037289876932099571</v>
      </c>
      <c r="Y35" s="60">
        <f>'EO &amp; DO BACKCAST'!L30/1000</f>
        <v>2938.0754070032081</v>
      </c>
      <c r="Z35" s="52">
        <f t="shared" si="20"/>
        <v>16.165592996791929</v>
      </c>
      <c r="AA35" s="62">
        <f t="shared" si="21"/>
        <v>0.0054719953439113225</v>
      </c>
      <c r="AB35" s="20"/>
      <c r="AF35" s="114">
        <f>ABS(AF32:AQ32)</f>
        <v>0.0014775003188598266</v>
      </c>
      <c r="AG35" s="114">
        <f t="shared" si="23"/>
        <v>0.012507831192110699</v>
      </c>
      <c r="AH35" s="114">
        <f t="shared" si="24"/>
        <v>0.028477619168151679</v>
      </c>
      <c r="AI35" s="114">
        <f t="shared" si="25"/>
        <v>0.013727218686543854</v>
      </c>
      <c r="AJ35" s="114">
        <f t="shared" si="26"/>
        <v>0.080618234014789084</v>
      </c>
      <c r="AK35" s="114">
        <f t="shared" si="27"/>
        <v>0.0077682571037587037</v>
      </c>
      <c r="AL35" s="114">
        <f t="shared" si="28"/>
        <v>0.027702692132022068</v>
      </c>
      <c r="AM35" s="114">
        <f t="shared" si="29"/>
        <v>0.0054719953439113225</v>
      </c>
      <c r="AN35" s="114">
        <f t="shared" si="30"/>
        <v>0.00031690977760317991</v>
      </c>
      <c r="AO35" s="114">
        <f t="shared" si="31"/>
        <v>0.033677452246360283</v>
      </c>
      <c r="AP35" s="114">
        <f t="shared" si="32"/>
        <v>0.050087545177557875</v>
      </c>
      <c r="AQ35" s="114">
        <f t="shared" si="33"/>
        <v>0.014559109248804136</v>
      </c>
    </row>
    <row r="36" spans="1:28" ht="31.5" customHeight="1">
      <c r="A36" s="93"/>
      <c r="C36" s="31"/>
      <c r="D36" s="94"/>
      <c r="F36" s="31"/>
      <c r="H36" s="94"/>
      <c r="I36" s="94"/>
      <c r="J36" s="31"/>
      <c r="K36" s="31"/>
      <c r="L36" s="31"/>
      <c r="M36" s="31"/>
      <c r="N36" s="31"/>
      <c r="O36" s="31"/>
      <c r="P36" s="31"/>
      <c r="Q36" s="31"/>
      <c r="R36" s="31"/>
      <c r="T36" s="58" t="str">
        <f t="shared" si="17"/>
        <v>AUG</v>
      </c>
      <c r="U36" s="59">
        <f t="shared" si="22"/>
        <v>2913.058</v>
      </c>
      <c r="V36" s="60">
        <f>'EO &amp; DO BACKCAST'!K31/1000</f>
        <v>2932.5558981299059</v>
      </c>
      <c r="W36" s="50">
        <f t="shared" si="18"/>
        <v>-19.497898129905934</v>
      </c>
      <c r="X36" s="61">
        <f t="shared" si="19"/>
        <v>-0.0066932749467761834</v>
      </c>
      <c r="Y36" s="60">
        <f>'EO &amp; DO BACKCAST'!L31/1000</f>
        <v>2913.9811765629252</v>
      </c>
      <c r="Z36" s="52">
        <f t="shared" si="20"/>
        <v>-0.92317656292516403</v>
      </c>
      <c r="AA36" s="62">
        <f t="shared" si="21"/>
        <v>-0.00031690977760317991</v>
      </c>
      <c r="AB36" s="20"/>
    </row>
    <row r="37" spans="1:31" ht="17.4">
      <c r="A37" s="95"/>
      <c r="C37" s="92"/>
      <c r="D37" s="27"/>
      <c r="E37" s="92"/>
      <c r="F37" s="27"/>
      <c r="G37" s="92"/>
      <c r="H37" s="27"/>
      <c r="I37" s="27"/>
      <c r="J37" s="31"/>
      <c r="K37" s="96"/>
      <c r="L37" s="31"/>
      <c r="M37" s="31"/>
      <c r="N37" s="31"/>
      <c r="O37" s="31"/>
      <c r="P37" s="31"/>
      <c r="Q37" s="31"/>
      <c r="R37" s="31"/>
      <c r="T37" s="58" t="str">
        <f t="shared" si="17"/>
        <v>SEP</v>
      </c>
      <c r="U37" s="59">
        <f t="shared" si="22"/>
        <v>2767.846</v>
      </c>
      <c r="V37" s="60">
        <f>'EO &amp; DO BACKCAST'!K32/1000</f>
        <v>2755.3144922036072</v>
      </c>
      <c r="W37" s="50">
        <f t="shared" si="18"/>
        <v>12.531507796392816</v>
      </c>
      <c r="X37" s="61">
        <f t="shared" si="19"/>
        <v>0.0045275307211430178</v>
      </c>
      <c r="Y37" s="60">
        <f>'EO &amp; DO BACKCAST'!L32/1000</f>
        <v>2861.0600014902793</v>
      </c>
      <c r="Z37" s="52">
        <f t="shared" si="20"/>
        <v>-93.214001490279315</v>
      </c>
      <c r="AA37" s="62">
        <f t="shared" si="21"/>
        <v>-0.033677452246360283</v>
      </c>
      <c r="AB37" s="20"/>
      <c r="AE37" s="75"/>
    </row>
    <row r="38" spans="1:31" ht="17.4">
      <c r="A38" s="97"/>
      <c r="C38" s="31"/>
      <c r="D38" s="31"/>
      <c r="E38" s="31"/>
      <c r="F38" s="31"/>
      <c r="G38" s="31"/>
      <c r="H38" s="31"/>
      <c r="I38" s="31"/>
      <c r="J38" s="31"/>
      <c r="K38" s="96"/>
      <c r="L38" s="31"/>
      <c r="M38" s="31"/>
      <c r="N38" s="31"/>
      <c r="O38" s="31"/>
      <c r="P38" s="31"/>
      <c r="Q38" s="31"/>
      <c r="R38" s="31"/>
      <c r="T38" s="58" t="str">
        <f t="shared" si="17"/>
        <v>OCT</v>
      </c>
      <c r="U38" s="59">
        <f t="shared" si="22"/>
        <v>2695.098</v>
      </c>
      <c r="V38" s="60">
        <f>'EO &amp; DO BACKCAST'!K33/1000</f>
        <v>2858.3933278628451</v>
      </c>
      <c r="W38" s="50">
        <f t="shared" si="18"/>
        <v>-163.29532786284517</v>
      </c>
      <c r="X38" s="61">
        <f t="shared" si="19"/>
        <v>-0.060589755126843316</v>
      </c>
      <c r="Y38" s="60">
        <f>'EO &amp; DO BACKCAST'!L33/1000</f>
        <v>2830.0888428329458</v>
      </c>
      <c r="Z38" s="52">
        <f t="shared" si="20"/>
        <v>-134.99084283294587</v>
      </c>
      <c r="AA38" s="62">
        <f t="shared" si="21"/>
        <v>-0.050087545177557875</v>
      </c>
      <c r="AB38" s="20"/>
      <c r="AE38" s="75"/>
    </row>
    <row r="39" spans="1:28" ht="17.4">
      <c r="A39" s="95"/>
      <c r="C39" s="31"/>
      <c r="D39" s="98"/>
      <c r="E39" s="31"/>
      <c r="F39" s="98"/>
      <c r="G39" s="31"/>
      <c r="H39" s="98"/>
      <c r="I39" s="31"/>
      <c r="J39" s="31"/>
      <c r="K39" s="96"/>
      <c r="L39" s="31"/>
      <c r="M39" s="31"/>
      <c r="N39" s="31"/>
      <c r="O39" s="31"/>
      <c r="P39" s="31"/>
      <c r="Q39" s="31"/>
      <c r="R39" s="31"/>
      <c r="T39" s="76" t="str">
        <f t="shared" si="17"/>
        <v>NOV</v>
      </c>
      <c r="U39" s="59">
        <f t="shared" si="22"/>
        <v>1847.06</v>
      </c>
      <c r="V39" s="60">
        <f>'EO &amp; DO BACKCAST'!K34/1000</f>
        <v>2048.6882484858406</v>
      </c>
      <c r="W39" s="50">
        <f t="shared" si="18"/>
        <v>-201.62824848584069</v>
      </c>
      <c r="X39" s="61">
        <f t="shared" si="19"/>
        <v>-0.10916172105174747</v>
      </c>
      <c r="Y39" s="60">
        <f>'EO &amp; DO BACKCAST'!L34/1000</f>
        <v>1873.9515483290961</v>
      </c>
      <c r="Z39" s="52">
        <f t="shared" si="20"/>
        <v>-26.891548329096167</v>
      </c>
      <c r="AA39" s="62">
        <f t="shared" si="21"/>
        <v>-0.014559109248804136</v>
      </c>
      <c r="AB39" s="20"/>
    </row>
    <row r="40" spans="1:28" ht="17.4">
      <c r="A40" s="95"/>
      <c r="C40" s="31"/>
      <c r="D40" s="31"/>
      <c r="E40" s="31"/>
      <c r="F40" s="31"/>
      <c r="G40" s="31"/>
      <c r="H40" s="31"/>
      <c r="I40" s="31"/>
      <c r="J40" s="31"/>
      <c r="K40" s="96"/>
      <c r="L40" s="31"/>
      <c r="M40" s="31"/>
      <c r="N40" s="31"/>
      <c r="O40" s="31"/>
      <c r="P40" s="31"/>
      <c r="Q40" s="31"/>
      <c r="R40" s="31"/>
      <c r="T40" s="77" t="str">
        <f t="shared" si="17"/>
        <v>DEC*</v>
      </c>
      <c r="U40" s="59">
        <f t="shared" si="22"/>
        <v>2839.989</v>
      </c>
      <c r="V40" s="78"/>
      <c r="W40" s="79"/>
      <c r="X40" s="80"/>
      <c r="Y40" s="78"/>
      <c r="Z40" s="81"/>
      <c r="AA40" s="82"/>
      <c r="AB40" s="20"/>
    </row>
    <row r="41" spans="1:28" ht="17.4">
      <c r="A41" s="35"/>
      <c r="C41" s="31"/>
      <c r="D41" s="31"/>
      <c r="E41" s="31"/>
      <c r="F41" s="31"/>
      <c r="G41" s="31"/>
      <c r="H41" s="31"/>
      <c r="I41" s="31"/>
      <c r="J41" s="31"/>
      <c r="K41" s="96"/>
      <c r="L41" s="31"/>
      <c r="M41" s="31"/>
      <c r="N41" s="31"/>
      <c r="O41" s="31"/>
      <c r="P41" s="31"/>
      <c r="Q41" s="31"/>
      <c r="R41" s="31"/>
      <c r="T41" s="84" t="str">
        <f t="shared" si="17"/>
        <v>JAN18*</v>
      </c>
      <c r="U41" s="85">
        <f>F11</f>
        <v>3670</v>
      </c>
      <c r="V41" s="86"/>
      <c r="W41" s="87"/>
      <c r="X41" s="88"/>
      <c r="Y41" s="89"/>
      <c r="Z41" s="87"/>
      <c r="AA41" s="88"/>
      <c r="AB41" s="90"/>
    </row>
    <row r="42" spans="1:18" ht="17.4">
      <c r="A42" s="35"/>
      <c r="C42" s="31"/>
      <c r="D42" s="31"/>
      <c r="E42" s="31"/>
      <c r="F42" s="31"/>
      <c r="G42" s="31"/>
      <c r="H42" s="31"/>
      <c r="I42" s="31"/>
      <c r="J42" s="31"/>
      <c r="K42" s="96"/>
      <c r="L42" s="31"/>
      <c r="M42" s="31"/>
      <c r="N42" s="31"/>
      <c r="O42" s="31"/>
      <c r="P42" s="31"/>
      <c r="Q42" s="31"/>
      <c r="R42" s="31"/>
    </row>
    <row r="43" spans="1:18" ht="17.4">
      <c r="A43" s="35"/>
      <c r="C43" s="31"/>
      <c r="D43" s="31"/>
      <c r="E43" s="31"/>
      <c r="F43" s="31"/>
      <c r="G43" s="31"/>
      <c r="H43" s="31"/>
      <c r="I43" s="31"/>
      <c r="J43" s="31"/>
      <c r="K43" s="96"/>
      <c r="L43" s="31"/>
      <c r="M43" s="31"/>
      <c r="N43" s="31"/>
      <c r="O43" s="31"/>
      <c r="P43" s="31"/>
      <c r="Q43" s="31"/>
      <c r="R43" s="31"/>
    </row>
    <row r="44" spans="1:22" ht="27.6">
      <c r="A44" s="99"/>
      <c r="C44" s="100"/>
      <c r="D44" s="100"/>
      <c r="E44" s="100"/>
      <c r="F44" s="100"/>
      <c r="G44" s="100"/>
      <c r="H44" s="100"/>
      <c r="I44" s="100"/>
      <c r="J44" s="100"/>
      <c r="K44" s="96"/>
      <c r="L44" s="100"/>
      <c r="M44" s="100"/>
      <c r="N44" s="100"/>
      <c r="O44" s="100"/>
      <c r="P44" s="100"/>
      <c r="Q44" s="100"/>
      <c r="R44" s="100"/>
      <c r="T44" s="20"/>
      <c r="U44" s="20" t="s">
        <v>2</v>
      </c>
      <c r="V44" s="20" t="s">
        <v>3</v>
      </c>
    </row>
    <row r="45" spans="1:22" ht="27.6">
      <c r="A45" s="99"/>
      <c r="B45" s="101"/>
      <c r="C45" s="98"/>
      <c r="D45" s="98"/>
      <c r="E45" s="98"/>
      <c r="F45" s="98"/>
      <c r="G45" s="98"/>
      <c r="H45" s="98"/>
      <c r="I45" s="98"/>
      <c r="J45" s="98"/>
      <c r="K45" s="96"/>
      <c r="L45" s="98"/>
      <c r="M45" s="98"/>
      <c r="N45" s="98"/>
      <c r="O45" s="98"/>
      <c r="P45" s="98"/>
      <c r="Q45" s="98"/>
      <c r="R45" s="98"/>
      <c r="T45" s="20"/>
      <c r="U45" s="20" t="s">
        <v>58</v>
      </c>
      <c r="V45" s="20" t="s">
        <v>58</v>
      </c>
    </row>
    <row r="46" spans="2:22" ht="17.4">
      <c r="B46" s="101"/>
      <c r="C46" s="98"/>
      <c r="D46" s="98"/>
      <c r="E46" s="98"/>
      <c r="F46" s="98"/>
      <c r="G46" s="98"/>
      <c r="H46" s="98"/>
      <c r="I46" s="98"/>
      <c r="J46" s="98"/>
      <c r="K46" s="96"/>
      <c r="L46" s="98"/>
      <c r="M46" s="98"/>
      <c r="N46" s="98"/>
      <c r="O46" s="98"/>
      <c r="P46" s="98"/>
      <c r="Q46" s="98"/>
      <c r="R46" s="98"/>
      <c r="T46" s="47" t="str">
        <f>T28</f>
        <v>DEC16</v>
      </c>
      <c r="U46" s="102">
        <f>P22</f>
        <v>1058183</v>
      </c>
      <c r="V46" s="102">
        <f>O22</f>
        <v>2652</v>
      </c>
    </row>
    <row r="47" spans="3:22" ht="17.4">
      <c r="C47" s="98"/>
      <c r="D47" s="98"/>
      <c r="E47" s="98"/>
      <c r="F47" s="98"/>
      <c r="G47" s="98"/>
      <c r="H47" s="98"/>
      <c r="I47" s="98"/>
      <c r="J47" s="98"/>
      <c r="K47" s="96"/>
      <c r="L47" s="98"/>
      <c r="M47" s="98"/>
      <c r="N47" s="98"/>
      <c r="O47" s="98"/>
      <c r="P47" s="98"/>
      <c r="Q47" s="98"/>
      <c r="R47" s="98"/>
      <c r="T47" s="58" t="str">
        <f t="shared" si="34" ref="T47:T59">T29</f>
        <v>JAN</v>
      </c>
      <c r="U47" s="103">
        <f>G11</f>
        <v>1130118.4501524929</v>
      </c>
      <c r="V47" s="103">
        <f>H11</f>
        <v>3394.4563096199454</v>
      </c>
    </row>
    <row r="48" spans="1:22" ht="17.4">
      <c r="A48" s="104"/>
      <c r="B48" s="101"/>
      <c r="C48" s="98"/>
      <c r="D48" s="98"/>
      <c r="E48" s="98"/>
      <c r="F48" s="98"/>
      <c r="G48" s="98"/>
      <c r="H48" s="98"/>
      <c r="I48" s="98"/>
      <c r="J48" s="98"/>
      <c r="K48" s="96"/>
      <c r="L48" s="98"/>
      <c r="M48" s="98"/>
      <c r="N48" s="98"/>
      <c r="O48" s="98"/>
      <c r="P48" s="98"/>
      <c r="Q48" s="98"/>
      <c r="R48" s="98"/>
      <c r="T48" s="58" t="str">
        <f t="shared" si="34"/>
        <v>FEB</v>
      </c>
      <c r="U48" s="103">
        <f t="shared" si="35" ref="U48:U58">G12</f>
        <v>986845.32006084314</v>
      </c>
      <c r="V48" s="103">
        <f t="shared" si="36" ref="V48:V58">H12</f>
        <v>3005.3451105728986</v>
      </c>
    </row>
    <row r="49" spans="2:22" ht="17.4">
      <c r="B49" s="101"/>
      <c r="C49" s="98"/>
      <c r="D49" s="98"/>
      <c r="E49" s="98"/>
      <c r="F49" s="98"/>
      <c r="G49" s="98"/>
      <c r="H49" s="98"/>
      <c r="I49" s="98"/>
      <c r="J49" s="98"/>
      <c r="K49" s="105"/>
      <c r="L49" s="98"/>
      <c r="M49" s="98"/>
      <c r="N49" s="98"/>
      <c r="O49" s="98"/>
      <c r="P49" s="98"/>
      <c r="Q49" s="98"/>
      <c r="R49" s="98"/>
      <c r="T49" s="58" t="str">
        <f t="shared" si="34"/>
        <v>MAR</v>
      </c>
      <c r="U49" s="103">
        <f t="shared" si="35"/>
        <v>987848.0947140042</v>
      </c>
      <c r="V49" s="103">
        <f t="shared" si="36"/>
        <v>2422.1112833300522</v>
      </c>
    </row>
    <row r="50" spans="2:22" ht="17.4">
      <c r="B50" s="101"/>
      <c r="C50" s="98"/>
      <c r="D50" s="98"/>
      <c r="E50" s="98"/>
      <c r="F50" s="98"/>
      <c r="G50" s="98"/>
      <c r="H50" s="98"/>
      <c r="I50" s="98"/>
      <c r="J50" s="98"/>
      <c r="K50" s="105"/>
      <c r="L50" s="98"/>
      <c r="M50" s="98"/>
      <c r="N50" s="98"/>
      <c r="O50" s="98"/>
      <c r="P50" s="98"/>
      <c r="Q50" s="98"/>
      <c r="R50" s="98"/>
      <c r="T50" s="58" t="str">
        <f t="shared" si="34"/>
        <v>APR</v>
      </c>
      <c r="U50" s="103">
        <f t="shared" si="35"/>
        <v>997447.80128765258</v>
      </c>
      <c r="V50" s="103">
        <f t="shared" si="36"/>
        <v>2375.8972191571238</v>
      </c>
    </row>
    <row r="51" spans="2:22" ht="17.4">
      <c r="B51" s="101"/>
      <c r="C51" s="98"/>
      <c r="D51" s="98"/>
      <c r="E51" s="98"/>
      <c r="F51" s="98"/>
      <c r="G51" s="98"/>
      <c r="H51" s="98"/>
      <c r="I51" s="98"/>
      <c r="J51" s="98"/>
      <c r="K51" s="105"/>
      <c r="L51" s="98"/>
      <c r="M51" s="98"/>
      <c r="N51" s="98"/>
      <c r="O51" s="98"/>
      <c r="P51" s="98"/>
      <c r="Q51" s="98"/>
      <c r="R51" s="98"/>
      <c r="T51" s="58" t="str">
        <f t="shared" si="34"/>
        <v>MAY</v>
      </c>
      <c r="U51" s="103">
        <f t="shared" si="35"/>
        <v>1198159.5101934471</v>
      </c>
      <c r="V51" s="103">
        <f t="shared" si="36"/>
        <v>2739.936965816561</v>
      </c>
    </row>
    <row r="52" spans="2:22" ht="17.4">
      <c r="B52" s="101"/>
      <c r="C52" s="98"/>
      <c r="D52" s="98"/>
      <c r="E52" s="98"/>
      <c r="F52" s="98"/>
      <c r="G52" s="98"/>
      <c r="H52" s="98"/>
      <c r="I52" s="98"/>
      <c r="J52" s="98"/>
      <c r="K52" s="105"/>
      <c r="L52" s="98"/>
      <c r="M52" s="98"/>
      <c r="N52" s="98"/>
      <c r="O52" s="98"/>
      <c r="P52" s="98"/>
      <c r="Q52" s="98"/>
      <c r="R52" s="98"/>
      <c r="T52" s="58" t="str">
        <f t="shared" si="34"/>
        <v>JUN</v>
      </c>
      <c r="U52" s="103">
        <f t="shared" si="35"/>
        <v>1291391.134179553</v>
      </c>
      <c r="V52" s="103">
        <f t="shared" si="36"/>
        <v>2869.6946197530929</v>
      </c>
    </row>
    <row r="53" spans="2:22" ht="17.4">
      <c r="B53" s="101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T53" s="58" t="str">
        <f t="shared" si="34"/>
        <v>JUL</v>
      </c>
      <c r="U53" s="103">
        <f t="shared" si="35"/>
        <v>1392117.1847697783</v>
      </c>
      <c r="V53" s="103">
        <f t="shared" si="36"/>
        <v>2954.263077137547</v>
      </c>
    </row>
    <row r="54" spans="2:22" ht="17.4">
      <c r="B54" s="101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T54" s="58" t="str">
        <f t="shared" si="34"/>
        <v>AUG</v>
      </c>
      <c r="U54" s="103">
        <f t="shared" si="35"/>
        <v>1402661.9822002915</v>
      </c>
      <c r="V54" s="103">
        <f t="shared" si="36"/>
        <v>2968.9687149732745</v>
      </c>
    </row>
    <row r="55" spans="2:25" ht="17.4">
      <c r="B55" s="101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T55" s="58" t="str">
        <f t="shared" si="34"/>
        <v>SEP</v>
      </c>
      <c r="U55" s="103">
        <f t="shared" si="35"/>
        <v>1269712.5897678556</v>
      </c>
      <c r="V55" s="103">
        <f t="shared" si="36"/>
        <v>2805.1055851498295</v>
      </c>
      <c r="Y55" s="106"/>
    </row>
    <row r="56" spans="2:22" ht="17.4">
      <c r="B56" s="101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T56" s="58" t="str">
        <f t="shared" si="34"/>
        <v>OCT</v>
      </c>
      <c r="U56" s="103">
        <f t="shared" si="35"/>
        <v>1075657.4392254725</v>
      </c>
      <c r="V56" s="103">
        <f t="shared" si="36"/>
        <v>2511.9556495803586</v>
      </c>
    </row>
    <row r="57" spans="2:22" ht="17.4">
      <c r="B57" s="101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T57" s="76" t="str">
        <f t="shared" si="34"/>
        <v>NOV</v>
      </c>
      <c r="U57" s="103">
        <f t="shared" si="35"/>
        <v>962933.22354551544</v>
      </c>
      <c r="V57" s="103">
        <f t="shared" si="36"/>
        <v>2438.4375975968205</v>
      </c>
    </row>
    <row r="58" spans="2:22" ht="17.4">
      <c r="B58" s="101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T58" s="77" t="str">
        <f t="shared" si="34"/>
        <v>DEC*</v>
      </c>
      <c r="U58" s="103">
        <f t="shared" si="35"/>
        <v>1093499.8642537689</v>
      </c>
      <c r="V58" s="103">
        <f t="shared" si="36"/>
        <v>2711.5319864353123</v>
      </c>
    </row>
    <row r="59" spans="2:22" ht="17.4">
      <c r="B59" s="101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T59" s="84" t="str">
        <f t="shared" si="34"/>
        <v>JAN18*</v>
      </c>
      <c r="U59" s="107">
        <f>C11</f>
        <v>1126270.3780550226</v>
      </c>
      <c r="V59" s="107">
        <f>D11</f>
        <v>3330.6830251742817</v>
      </c>
    </row>
    <row r="60" spans="2:18" ht="17.4">
      <c r="B60" s="101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</row>
    <row r="61" spans="2:18" ht="17.4">
      <c r="B61" s="101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</row>
    <row r="62" spans="2:18" ht="17.4">
      <c r="B62" s="101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</row>
    <row r="63" spans="2:18" ht="17.4">
      <c r="B63" s="101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</row>
    <row r="64" spans="2:18" ht="17.4">
      <c r="B64" s="101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</row>
    <row r="65" spans="2:18" ht="17.4">
      <c r="B65" s="101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</row>
    <row r="66" spans="2:18" ht="17.4">
      <c r="B66" s="101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</row>
    <row r="67" spans="2:18" ht="17.4">
      <c r="B67" s="101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</row>
    <row r="68" spans="2:18" ht="17.4">
      <c r="B68" s="101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</row>
    <row r="69" spans="2:18" ht="17.4">
      <c r="B69" s="101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</row>
    <row r="70" spans="2:18" ht="17.4">
      <c r="B70" s="101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</row>
    <row r="71" spans="2:18" ht="17.4">
      <c r="B71" s="101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</row>
    <row r="72" spans="2:18" ht="17.4">
      <c r="B72" s="101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</row>
    <row r="73" spans="2:18" ht="17.4">
      <c r="B73" s="101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</row>
    <row r="74" spans="1:44" s="32" customFormat="1" ht="17.4">
      <c r="A74" s="30"/>
      <c r="B74" s="101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Y74" s="34"/>
      <c r="Z74" s="35"/>
      <c r="AA74" s="35"/>
      <c r="AB74" s="35"/>
      <c r="AC74" s="35"/>
      <c r="AE74" s="22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</row>
    <row r="75" spans="1:44" s="32" customFormat="1" ht="17.4">
      <c r="A75" s="30"/>
      <c r="B75" s="101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Y75" s="34"/>
      <c r="Z75" s="35"/>
      <c r="AA75" s="35"/>
      <c r="AB75" s="35"/>
      <c r="AC75" s="35"/>
      <c r="AE75" s="22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</row>
    <row r="76" spans="1:44" s="32" customFormat="1" ht="17.4">
      <c r="A76" s="30"/>
      <c r="B76" s="101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Y76" s="34"/>
      <c r="Z76" s="35"/>
      <c r="AA76" s="35"/>
      <c r="AB76" s="35"/>
      <c r="AC76" s="35"/>
      <c r="AE76" s="22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</row>
    <row r="77" spans="1:44" s="32" customFormat="1" ht="17.4">
      <c r="A77" s="30"/>
      <c r="B77" s="101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Y77" s="34"/>
      <c r="Z77" s="35"/>
      <c r="AA77" s="35"/>
      <c r="AB77" s="35"/>
      <c r="AC77" s="35"/>
      <c r="AE77" s="22"/>
      <c r="AF77" s="108"/>
      <c r="AG77" s="108"/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</row>
    <row r="78" spans="1:44" s="32" customFormat="1" ht="18" customHeight="1">
      <c r="A78" s="30"/>
      <c r="B78" s="101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Y78" s="34"/>
      <c r="Z78" s="35"/>
      <c r="AA78" s="35"/>
      <c r="AB78" s="35"/>
      <c r="AC78" s="35"/>
      <c r="AE78" s="22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</row>
    <row r="79" spans="1:44" s="32" customFormat="1" ht="17.4">
      <c r="A79" s="30"/>
      <c r="B79" s="101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Y79" s="34"/>
      <c r="Z79" s="35"/>
      <c r="AA79" s="35"/>
      <c r="AB79" s="35"/>
      <c r="AC79" s="35"/>
      <c r="AE79" s="22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</row>
    <row r="80" spans="1:44" s="32" customFormat="1" ht="17.4">
      <c r="A80" s="30"/>
      <c r="B80" s="101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Y80" s="34"/>
      <c r="Z80" s="35"/>
      <c r="AA80" s="35"/>
      <c r="AB80" s="35"/>
      <c r="AC80" s="35"/>
      <c r="AE80" s="22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</row>
    <row r="81" spans="1:44" s="32" customFormat="1" ht="17.4">
      <c r="A81" s="30"/>
      <c r="B81" s="101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Y81" s="34"/>
      <c r="Z81" s="35"/>
      <c r="AA81" s="35"/>
      <c r="AB81" s="35"/>
      <c r="AC81" s="35"/>
      <c r="AE81" s="22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</row>
    <row r="82" spans="1:44" s="32" customFormat="1" ht="17.4">
      <c r="A82" s="30"/>
      <c r="B82" s="101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Y82" s="34"/>
      <c r="Z82" s="35"/>
      <c r="AA82" s="35"/>
      <c r="AB82" s="35"/>
      <c r="AC82" s="35"/>
      <c r="AE82" s="22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</row>
    <row r="83" spans="1:44" s="32" customFormat="1" ht="17.4">
      <c r="A83" s="104"/>
      <c r="B83" s="101"/>
      <c r="C83" s="98"/>
      <c r="D83" s="98"/>
      <c r="E83" s="98"/>
      <c r="F83" s="98"/>
      <c r="G83" s="98"/>
      <c r="H83" s="98"/>
      <c r="I83" s="33"/>
      <c r="J83" s="98"/>
      <c r="K83" s="98"/>
      <c r="L83" s="98"/>
      <c r="M83" s="98"/>
      <c r="N83" s="98"/>
      <c r="O83" s="98"/>
      <c r="P83" s="98"/>
      <c r="Q83" s="98"/>
      <c r="R83" s="98"/>
      <c r="Y83" s="34"/>
      <c r="Z83" s="35"/>
      <c r="AA83" s="35"/>
      <c r="AB83" s="35"/>
      <c r="AC83" s="35"/>
      <c r="AE83" s="22"/>
      <c r="AF83" s="108"/>
      <c r="AG83" s="108"/>
      <c r="AH83" s="108"/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</row>
    <row r="84" spans="1:44" s="32" customFormat="1" ht="17.4">
      <c r="A84" s="104"/>
      <c r="B84" s="101"/>
      <c r="C84" s="98"/>
      <c r="D84" s="33"/>
      <c r="E84" s="98"/>
      <c r="F84" s="33"/>
      <c r="G84" s="98"/>
      <c r="H84" s="33"/>
      <c r="I84" s="109"/>
      <c r="J84" s="33"/>
      <c r="K84" s="33"/>
      <c r="L84" s="33"/>
      <c r="M84" s="33"/>
      <c r="N84" s="33"/>
      <c r="O84" s="33"/>
      <c r="P84" s="33"/>
      <c r="Q84" s="33"/>
      <c r="R84" s="33"/>
      <c r="Y84" s="34"/>
      <c r="Z84" s="35"/>
      <c r="AA84" s="35"/>
      <c r="AB84" s="35"/>
      <c r="AC84" s="35"/>
      <c r="AE84" s="22"/>
      <c r="AF84" s="108"/>
      <c r="AG84" s="108"/>
      <c r="AH84" s="108"/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</row>
    <row r="85" spans="1:44" s="32" customFormat="1" ht="17.4">
      <c r="A85" s="30"/>
      <c r="B85" s="101"/>
      <c r="C85" s="98"/>
      <c r="D85" s="33"/>
      <c r="E85" s="98"/>
      <c r="F85" s="33"/>
      <c r="G85" s="98"/>
      <c r="H85" s="33"/>
      <c r="I85" s="109"/>
      <c r="J85" s="33"/>
      <c r="K85" s="33"/>
      <c r="L85" s="33"/>
      <c r="M85" s="33"/>
      <c r="N85" s="33"/>
      <c r="O85" s="33"/>
      <c r="P85" s="33"/>
      <c r="Q85" s="33"/>
      <c r="R85" s="33"/>
      <c r="Y85" s="34"/>
      <c r="Z85" s="35"/>
      <c r="AA85" s="35"/>
      <c r="AB85" s="35"/>
      <c r="AC85" s="35"/>
      <c r="AE85" s="22"/>
      <c r="AF85" s="108"/>
      <c r="AG85" s="108"/>
      <c r="AH85" s="108"/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</row>
    <row r="86" spans="1:44" s="32" customFormat="1" ht="17.4">
      <c r="A86" s="30"/>
      <c r="B86" s="101"/>
      <c r="C86" s="98"/>
      <c r="D86" s="33"/>
      <c r="E86" s="98"/>
      <c r="F86" s="33"/>
      <c r="G86" s="98"/>
      <c r="H86" s="33"/>
      <c r="I86" s="109"/>
      <c r="J86" s="33"/>
      <c r="K86" s="33"/>
      <c r="L86" s="33"/>
      <c r="M86" s="33"/>
      <c r="N86" s="33"/>
      <c r="O86" s="33"/>
      <c r="P86" s="33"/>
      <c r="Q86" s="33"/>
      <c r="R86" s="33"/>
      <c r="Y86" s="34"/>
      <c r="Z86" s="35"/>
      <c r="AA86" s="35"/>
      <c r="AB86" s="35"/>
      <c r="AC86" s="35"/>
      <c r="AE86" s="22"/>
      <c r="AF86" s="108"/>
      <c r="AG86" s="108"/>
      <c r="AH86" s="108"/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</row>
    <row r="87" spans="1:44" s="32" customFormat="1" ht="17.4">
      <c r="A87" s="30"/>
      <c r="B87" s="101"/>
      <c r="C87" s="98"/>
      <c r="D87" s="33"/>
      <c r="E87" s="98"/>
      <c r="F87" s="33"/>
      <c r="G87" s="98"/>
      <c r="H87" s="33"/>
      <c r="I87" s="109"/>
      <c r="J87" s="33"/>
      <c r="K87" s="33"/>
      <c r="L87" s="33"/>
      <c r="M87" s="33"/>
      <c r="N87" s="33"/>
      <c r="O87" s="33"/>
      <c r="P87" s="33"/>
      <c r="Q87" s="33"/>
      <c r="R87" s="33"/>
      <c r="Y87" s="34"/>
      <c r="Z87" s="35"/>
      <c r="AA87" s="35"/>
      <c r="AB87" s="35"/>
      <c r="AC87" s="35"/>
      <c r="AE87" s="22"/>
      <c r="AF87" s="108"/>
      <c r="AG87" s="108"/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</row>
    <row r="88" spans="1:44" s="32" customFormat="1" ht="17.4">
      <c r="A88" s="30"/>
      <c r="B88" s="101"/>
      <c r="C88" s="98"/>
      <c r="D88" s="33"/>
      <c r="E88" s="98"/>
      <c r="F88" s="33"/>
      <c r="G88" s="98"/>
      <c r="H88" s="33"/>
      <c r="I88" s="109"/>
      <c r="J88" s="33"/>
      <c r="K88" s="33"/>
      <c r="L88" s="33"/>
      <c r="M88" s="33"/>
      <c r="N88" s="33"/>
      <c r="O88" s="33"/>
      <c r="P88" s="33"/>
      <c r="Q88" s="33"/>
      <c r="R88" s="33"/>
      <c r="Y88" s="34"/>
      <c r="Z88" s="35"/>
      <c r="AA88" s="35"/>
      <c r="AB88" s="35"/>
      <c r="AC88" s="35"/>
      <c r="AE88" s="22"/>
      <c r="AF88" s="108"/>
      <c r="AG88" s="108"/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</row>
    <row r="89" spans="1:44" s="32" customFormat="1" ht="17.4">
      <c r="A89" s="30"/>
      <c r="B89" s="101"/>
      <c r="C89" s="98"/>
      <c r="D89" s="33"/>
      <c r="E89" s="98"/>
      <c r="F89" s="33"/>
      <c r="G89" s="98"/>
      <c r="H89" s="33"/>
      <c r="I89" s="109"/>
      <c r="J89" s="33"/>
      <c r="K89" s="33"/>
      <c r="L89" s="33"/>
      <c r="M89" s="33"/>
      <c r="N89" s="33"/>
      <c r="O89" s="33"/>
      <c r="P89" s="33"/>
      <c r="Q89" s="33"/>
      <c r="R89" s="33"/>
      <c r="Y89" s="34"/>
      <c r="Z89" s="35"/>
      <c r="AA89" s="35"/>
      <c r="AB89" s="35"/>
      <c r="AC89" s="35"/>
      <c r="AE89" s="22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</row>
    <row r="90" spans="1:44" s="110" customFormat="1" ht="17.4">
      <c r="A90" s="30"/>
      <c r="B90" s="101"/>
      <c r="C90" s="98"/>
      <c r="D90" s="33"/>
      <c r="E90" s="98"/>
      <c r="F90" s="33"/>
      <c r="G90" s="98"/>
      <c r="H90" s="33"/>
      <c r="I90" s="109"/>
      <c r="J90" s="33"/>
      <c r="K90" s="33"/>
      <c r="L90" s="33"/>
      <c r="M90" s="33"/>
      <c r="N90" s="33"/>
      <c r="O90" s="33"/>
      <c r="P90" s="33"/>
      <c r="Q90" s="33"/>
      <c r="R90" s="33"/>
      <c r="S90" s="32"/>
      <c r="T90" s="32"/>
      <c r="U90" s="32"/>
      <c r="V90" s="32"/>
      <c r="W90" s="32"/>
      <c r="X90" s="32"/>
      <c r="Y90" s="34"/>
      <c r="Z90" s="35"/>
      <c r="AA90" s="35"/>
      <c r="AB90" s="35"/>
      <c r="AC90" s="35"/>
      <c r="AE90" s="22"/>
      <c r="AF90" s="108"/>
      <c r="AG90" s="108"/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11"/>
    </row>
    <row r="91" spans="1:44" s="110" customFormat="1" ht="17.4">
      <c r="A91" s="30"/>
      <c r="B91" s="101"/>
      <c r="C91" s="98"/>
      <c r="D91" s="33"/>
      <c r="E91" s="98"/>
      <c r="F91" s="33"/>
      <c r="G91" s="98"/>
      <c r="H91" s="33"/>
      <c r="I91" s="109"/>
      <c r="J91" s="33"/>
      <c r="K91" s="33"/>
      <c r="L91" s="33"/>
      <c r="M91" s="33"/>
      <c r="N91" s="33"/>
      <c r="O91" s="33"/>
      <c r="P91" s="33"/>
      <c r="Q91" s="33"/>
      <c r="R91" s="33"/>
      <c r="S91" s="32"/>
      <c r="T91" s="32"/>
      <c r="U91" s="32"/>
      <c r="V91" s="32"/>
      <c r="W91" s="32"/>
      <c r="X91" s="32"/>
      <c r="Y91" s="34"/>
      <c r="Z91" s="35"/>
      <c r="AA91" s="35"/>
      <c r="AB91" s="35"/>
      <c r="AC91" s="35"/>
      <c r="AE91" s="22"/>
      <c r="AF91" s="108"/>
      <c r="AG91" s="108"/>
      <c r="AH91" s="108"/>
      <c r="AI91" s="108"/>
      <c r="AJ91" s="108"/>
      <c r="AK91" s="108"/>
      <c r="AL91" s="108"/>
      <c r="AM91" s="108"/>
      <c r="AN91" s="108"/>
      <c r="AO91" s="108"/>
      <c r="AP91" s="108"/>
      <c r="AQ91" s="108"/>
      <c r="AR91" s="111"/>
    </row>
    <row r="92" spans="1:44" s="110" customFormat="1" ht="17.4">
      <c r="A92" s="30"/>
      <c r="B92" s="101"/>
      <c r="C92" s="98"/>
      <c r="D92" s="33"/>
      <c r="E92" s="98"/>
      <c r="F92" s="33"/>
      <c r="G92" s="98"/>
      <c r="H92" s="33"/>
      <c r="I92" s="109"/>
      <c r="J92" s="33"/>
      <c r="K92" s="33"/>
      <c r="L92" s="33"/>
      <c r="M92" s="33"/>
      <c r="N92" s="33"/>
      <c r="O92" s="33"/>
      <c r="P92" s="33"/>
      <c r="Q92" s="33"/>
      <c r="R92" s="33"/>
      <c r="S92" s="32"/>
      <c r="T92" s="32"/>
      <c r="U92" s="32"/>
      <c r="V92" s="32"/>
      <c r="W92" s="32"/>
      <c r="X92" s="32"/>
      <c r="Y92" s="34"/>
      <c r="Z92" s="35"/>
      <c r="AA92" s="35"/>
      <c r="AB92" s="35"/>
      <c r="AC92" s="35"/>
      <c r="AE92" s="22"/>
      <c r="AF92" s="108"/>
      <c r="AG92" s="108"/>
      <c r="AH92" s="108"/>
      <c r="AI92" s="108"/>
      <c r="AJ92" s="108"/>
      <c r="AK92" s="108"/>
      <c r="AL92" s="108"/>
      <c r="AM92" s="108"/>
      <c r="AN92" s="108"/>
      <c r="AO92" s="108"/>
      <c r="AP92" s="108"/>
      <c r="AQ92" s="108"/>
      <c r="AR92" s="111"/>
    </row>
    <row r="93" spans="1:44" s="110" customFormat="1" ht="17.4">
      <c r="A93" s="30"/>
      <c r="B93" s="101"/>
      <c r="C93" s="98"/>
      <c r="D93" s="33"/>
      <c r="E93" s="98"/>
      <c r="F93" s="33"/>
      <c r="G93" s="98"/>
      <c r="H93" s="33"/>
      <c r="I93" s="109"/>
      <c r="J93" s="33"/>
      <c r="K93" s="33"/>
      <c r="L93" s="33"/>
      <c r="M93" s="33"/>
      <c r="N93" s="33"/>
      <c r="O93" s="33"/>
      <c r="P93" s="33"/>
      <c r="Q93" s="33"/>
      <c r="R93" s="33"/>
      <c r="S93" s="32"/>
      <c r="T93" s="32"/>
      <c r="U93" s="32"/>
      <c r="V93" s="32"/>
      <c r="W93" s="32"/>
      <c r="X93" s="32"/>
      <c r="Y93" s="34"/>
      <c r="Z93" s="35"/>
      <c r="AA93" s="35"/>
      <c r="AB93" s="35"/>
      <c r="AC93" s="35"/>
      <c r="AE93" s="22"/>
      <c r="AF93" s="108"/>
      <c r="AG93" s="108"/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11"/>
    </row>
    <row r="94" spans="1:44" s="110" customFormat="1" ht="17.4">
      <c r="A94" s="30"/>
      <c r="B94" s="101"/>
      <c r="C94" s="98"/>
      <c r="D94" s="33"/>
      <c r="E94" s="98"/>
      <c r="F94" s="33"/>
      <c r="G94" s="98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2"/>
      <c r="T94" s="32"/>
      <c r="U94" s="32"/>
      <c r="V94" s="32"/>
      <c r="W94" s="32"/>
      <c r="X94" s="32"/>
      <c r="Y94" s="34"/>
      <c r="Z94" s="35"/>
      <c r="AA94" s="35"/>
      <c r="AB94" s="35"/>
      <c r="AC94" s="35"/>
      <c r="AE94" s="22"/>
      <c r="AF94" s="108"/>
      <c r="AG94" s="108"/>
      <c r="AH94" s="108"/>
      <c r="AI94" s="108"/>
      <c r="AJ94" s="108"/>
      <c r="AK94" s="108"/>
      <c r="AL94" s="108"/>
      <c r="AM94" s="108"/>
      <c r="AN94" s="108"/>
      <c r="AO94" s="108"/>
      <c r="AP94" s="108"/>
      <c r="AQ94" s="108"/>
      <c r="AR94" s="111"/>
    </row>
    <row r="95" spans="1:44" s="110" customFormat="1" ht="17.4">
      <c r="A95" s="30"/>
      <c r="B95" s="101"/>
      <c r="C95" s="98"/>
      <c r="D95" s="33"/>
      <c r="E95" s="98"/>
      <c r="F95" s="33"/>
      <c r="G95" s="98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2"/>
      <c r="T95" s="32"/>
      <c r="U95" s="32"/>
      <c r="V95" s="32"/>
      <c r="W95" s="32"/>
      <c r="X95" s="32"/>
      <c r="Y95" s="34"/>
      <c r="Z95" s="35"/>
      <c r="AA95" s="35"/>
      <c r="AB95" s="35"/>
      <c r="AC95" s="35"/>
      <c r="AE95" s="22"/>
      <c r="AF95" s="108"/>
      <c r="AG95" s="108"/>
      <c r="AH95" s="108"/>
      <c r="AI95" s="108"/>
      <c r="AJ95" s="108"/>
      <c r="AK95" s="108"/>
      <c r="AL95" s="108"/>
      <c r="AM95" s="108"/>
      <c r="AN95" s="108"/>
      <c r="AO95" s="108"/>
      <c r="AP95" s="108"/>
      <c r="AQ95" s="108"/>
      <c r="AR95" s="111"/>
    </row>
    <row r="96" spans="1:44" s="110" customFormat="1" ht="17.4">
      <c r="A96" s="30"/>
      <c r="B96" s="101"/>
      <c r="C96" s="98"/>
      <c r="D96" s="33"/>
      <c r="E96" s="98"/>
      <c r="F96" s="33"/>
      <c r="G96" s="98"/>
      <c r="H96" s="33"/>
      <c r="I96" s="109"/>
      <c r="J96" s="33"/>
      <c r="K96" s="33"/>
      <c r="L96" s="33"/>
      <c r="M96" s="33"/>
      <c r="N96" s="33"/>
      <c r="O96" s="33"/>
      <c r="P96" s="33"/>
      <c r="Q96" s="33"/>
      <c r="R96" s="33"/>
      <c r="S96" s="32"/>
      <c r="T96" s="32"/>
      <c r="U96" s="32"/>
      <c r="V96" s="32"/>
      <c r="W96" s="32"/>
      <c r="X96" s="32"/>
      <c r="Y96" s="34"/>
      <c r="Z96" s="35"/>
      <c r="AA96" s="35"/>
      <c r="AB96" s="35"/>
      <c r="AC96" s="35"/>
      <c r="AE96" s="22"/>
      <c r="AF96" s="108"/>
      <c r="AG96" s="108"/>
      <c r="AH96" s="108"/>
      <c r="AI96" s="108"/>
      <c r="AJ96" s="108"/>
      <c r="AK96" s="108"/>
      <c r="AL96" s="108"/>
      <c r="AM96" s="108"/>
      <c r="AN96" s="108"/>
      <c r="AO96" s="108"/>
      <c r="AP96" s="108"/>
      <c r="AQ96" s="108"/>
      <c r="AR96" s="111"/>
    </row>
    <row r="97" spans="1:44" s="110" customFormat="1" ht="17.4">
      <c r="A97" s="30"/>
      <c r="B97" s="101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2"/>
      <c r="T97" s="32"/>
      <c r="U97" s="32"/>
      <c r="V97" s="32"/>
      <c r="W97" s="32"/>
      <c r="X97" s="32"/>
      <c r="Y97" s="34"/>
      <c r="Z97" s="35"/>
      <c r="AA97" s="35"/>
      <c r="AB97" s="35"/>
      <c r="AC97" s="35"/>
      <c r="AE97" s="22"/>
      <c r="AF97" s="108"/>
      <c r="AG97" s="108"/>
      <c r="AH97" s="108"/>
      <c r="AI97" s="108"/>
      <c r="AJ97" s="108"/>
      <c r="AK97" s="108"/>
      <c r="AL97" s="108"/>
      <c r="AM97" s="108"/>
      <c r="AN97" s="108"/>
      <c r="AO97" s="108"/>
      <c r="AP97" s="108"/>
      <c r="AQ97" s="108"/>
      <c r="AR97" s="111"/>
    </row>
    <row r="98" spans="1:44" s="110" customFormat="1" ht="17.4">
      <c r="A98" s="30"/>
      <c r="B98" s="101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2"/>
      <c r="T98" s="32"/>
      <c r="U98" s="32"/>
      <c r="V98" s="32"/>
      <c r="W98" s="32"/>
      <c r="X98" s="32"/>
      <c r="Y98" s="34"/>
      <c r="Z98" s="35"/>
      <c r="AA98" s="35"/>
      <c r="AB98" s="35"/>
      <c r="AC98" s="35"/>
      <c r="AE98" s="22"/>
      <c r="AF98" s="108"/>
      <c r="AG98" s="108"/>
      <c r="AH98" s="108"/>
      <c r="AI98" s="108"/>
      <c r="AJ98" s="108"/>
      <c r="AK98" s="108"/>
      <c r="AL98" s="108"/>
      <c r="AM98" s="108"/>
      <c r="AN98" s="108"/>
      <c r="AO98" s="108"/>
      <c r="AP98" s="108"/>
      <c r="AQ98" s="108"/>
      <c r="AR98" s="111"/>
    </row>
    <row r="99" spans="1:44" s="110" customFormat="1" ht="17.4">
      <c r="A99" s="30"/>
      <c r="B99" s="101"/>
      <c r="C99" s="33"/>
      <c r="D99" s="33"/>
      <c r="E99" s="33"/>
      <c r="F99" s="33"/>
      <c r="G99" s="33"/>
      <c r="H99" s="33"/>
      <c r="I99" s="109"/>
      <c r="J99" s="33"/>
      <c r="K99" s="33"/>
      <c r="L99" s="33"/>
      <c r="M99" s="33"/>
      <c r="N99" s="33"/>
      <c r="O99" s="33"/>
      <c r="P99" s="33"/>
      <c r="Q99" s="33"/>
      <c r="R99" s="33"/>
      <c r="S99" s="32"/>
      <c r="T99" s="32"/>
      <c r="U99" s="32"/>
      <c r="V99" s="32"/>
      <c r="W99" s="32"/>
      <c r="X99" s="32"/>
      <c r="Y99" s="34"/>
      <c r="Z99" s="35"/>
      <c r="AA99" s="35"/>
      <c r="AB99" s="35"/>
      <c r="AC99" s="35"/>
      <c r="AE99" s="22"/>
      <c r="AF99" s="108"/>
      <c r="AG99" s="108"/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11"/>
    </row>
    <row r="100" spans="1:44" s="110" customFormat="1" ht="17.4">
      <c r="A100" s="30"/>
      <c r="B100" s="101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2"/>
      <c r="T100" s="32"/>
      <c r="U100" s="32"/>
      <c r="V100" s="32"/>
      <c r="W100" s="32"/>
      <c r="X100" s="32"/>
      <c r="Y100" s="34"/>
      <c r="Z100" s="35"/>
      <c r="AA100" s="35"/>
      <c r="AB100" s="35"/>
      <c r="AC100" s="35"/>
      <c r="AE100" s="22"/>
      <c r="AF100" s="108"/>
      <c r="AG100" s="108"/>
      <c r="AH100" s="108"/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11"/>
    </row>
    <row r="101" spans="1:44" s="110" customFormat="1" ht="17.4">
      <c r="A101" s="30"/>
      <c r="B101" s="101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2"/>
      <c r="T101" s="32"/>
      <c r="U101" s="32"/>
      <c r="V101" s="32"/>
      <c r="W101" s="32"/>
      <c r="X101" s="32"/>
      <c r="Y101" s="34"/>
      <c r="Z101" s="35"/>
      <c r="AA101" s="35"/>
      <c r="AB101" s="35"/>
      <c r="AC101" s="35"/>
      <c r="AE101" s="22"/>
      <c r="AF101" s="108"/>
      <c r="AG101" s="108"/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11"/>
    </row>
    <row r="102" spans="1:44" s="110" customFormat="1" ht="17.4">
      <c r="A102" s="30"/>
      <c r="B102" s="101"/>
      <c r="C102" s="33"/>
      <c r="D102" s="33"/>
      <c r="E102" s="33"/>
      <c r="F102" s="33"/>
      <c r="G102" s="33"/>
      <c r="H102" s="33"/>
      <c r="I102" s="109"/>
      <c r="J102" s="33"/>
      <c r="K102" s="33"/>
      <c r="L102" s="33"/>
      <c r="M102" s="33"/>
      <c r="N102" s="33"/>
      <c r="O102" s="33"/>
      <c r="P102" s="33"/>
      <c r="Q102" s="33"/>
      <c r="R102" s="33"/>
      <c r="S102" s="32"/>
      <c r="T102" s="32"/>
      <c r="U102" s="32"/>
      <c r="V102" s="32"/>
      <c r="W102" s="32"/>
      <c r="X102" s="32"/>
      <c r="Y102" s="34"/>
      <c r="Z102" s="35"/>
      <c r="AA102" s="35"/>
      <c r="AB102" s="35"/>
      <c r="AC102" s="35"/>
      <c r="AE102" s="22"/>
      <c r="AF102" s="108"/>
      <c r="AG102" s="108"/>
      <c r="AH102" s="108"/>
      <c r="AI102" s="108"/>
      <c r="AJ102" s="108"/>
      <c r="AK102" s="108"/>
      <c r="AL102" s="108"/>
      <c r="AM102" s="108"/>
      <c r="AN102" s="108"/>
      <c r="AO102" s="108"/>
      <c r="AP102" s="108"/>
      <c r="AQ102" s="108"/>
      <c r="AR102" s="111"/>
    </row>
    <row r="103" spans="1:44" s="110" customFormat="1" ht="17.4">
      <c r="A103" s="30"/>
      <c r="B103" s="101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2"/>
      <c r="T103" s="32"/>
      <c r="U103" s="32"/>
      <c r="V103" s="32"/>
      <c r="W103" s="32"/>
      <c r="X103" s="32"/>
      <c r="Y103" s="34"/>
      <c r="Z103" s="35"/>
      <c r="AA103" s="35"/>
      <c r="AB103" s="35"/>
      <c r="AC103" s="35"/>
      <c r="AE103" s="22"/>
      <c r="AF103" s="108"/>
      <c r="AG103" s="108"/>
      <c r="AH103" s="108"/>
      <c r="AI103" s="108"/>
      <c r="AJ103" s="108"/>
      <c r="AK103" s="108"/>
      <c r="AL103" s="108"/>
      <c r="AM103" s="108"/>
      <c r="AN103" s="108"/>
      <c r="AO103" s="108"/>
      <c r="AP103" s="108"/>
      <c r="AQ103" s="108"/>
      <c r="AR103" s="111"/>
    </row>
    <row r="104" spans="1:44" s="110" customFormat="1" ht="17.4">
      <c r="A104" s="30"/>
      <c r="B104" s="101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2"/>
      <c r="T104" s="32"/>
      <c r="U104" s="32"/>
      <c r="V104" s="32"/>
      <c r="W104" s="32"/>
      <c r="X104" s="32"/>
      <c r="Y104" s="34"/>
      <c r="Z104" s="35"/>
      <c r="AA104" s="35"/>
      <c r="AB104" s="35"/>
      <c r="AC104" s="35"/>
      <c r="AE104" s="22"/>
      <c r="AF104" s="108"/>
      <c r="AG104" s="108"/>
      <c r="AH104" s="108"/>
      <c r="AI104" s="108"/>
      <c r="AJ104" s="108"/>
      <c r="AK104" s="108"/>
      <c r="AL104" s="108"/>
      <c r="AM104" s="108"/>
      <c r="AN104" s="108"/>
      <c r="AO104" s="108"/>
      <c r="AP104" s="108"/>
      <c r="AQ104" s="108"/>
      <c r="AR104" s="111"/>
    </row>
    <row r="105" spans="1:44" s="110" customFormat="1" ht="17.4">
      <c r="A105" s="30"/>
      <c r="B105" s="101"/>
      <c r="C105" s="33"/>
      <c r="D105" s="33"/>
      <c r="E105" s="33"/>
      <c r="F105" s="33"/>
      <c r="G105" s="33"/>
      <c r="H105" s="33"/>
      <c r="I105" s="109"/>
      <c r="J105" s="33"/>
      <c r="K105" s="33"/>
      <c r="L105" s="33"/>
      <c r="M105" s="33"/>
      <c r="N105" s="33"/>
      <c r="O105" s="33"/>
      <c r="P105" s="33"/>
      <c r="Q105" s="33"/>
      <c r="R105" s="33"/>
      <c r="S105" s="32"/>
      <c r="T105" s="32"/>
      <c r="U105" s="32"/>
      <c r="V105" s="32"/>
      <c r="W105" s="32"/>
      <c r="X105" s="32"/>
      <c r="Y105" s="34"/>
      <c r="Z105" s="35"/>
      <c r="AA105" s="35"/>
      <c r="AB105" s="35"/>
      <c r="AC105" s="35"/>
      <c r="AE105" s="22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11"/>
    </row>
    <row r="106" spans="1:44" s="110" customFormat="1" ht="17.4">
      <c r="A106" s="30"/>
      <c r="B106" s="101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2"/>
      <c r="T106" s="32"/>
      <c r="U106" s="32"/>
      <c r="V106" s="32"/>
      <c r="W106" s="32"/>
      <c r="X106" s="32"/>
      <c r="Y106" s="34"/>
      <c r="Z106" s="35"/>
      <c r="AA106" s="35"/>
      <c r="AB106" s="35"/>
      <c r="AC106" s="35"/>
      <c r="AE106" s="22"/>
      <c r="AF106" s="108"/>
      <c r="AG106" s="108"/>
      <c r="AH106" s="108"/>
      <c r="AI106" s="108"/>
      <c r="AJ106" s="108"/>
      <c r="AK106" s="108"/>
      <c r="AL106" s="108"/>
      <c r="AM106" s="108"/>
      <c r="AN106" s="108"/>
      <c r="AO106" s="108"/>
      <c r="AP106" s="108"/>
      <c r="AQ106" s="108"/>
      <c r="AR106" s="111"/>
    </row>
    <row r="107" spans="1:44" s="110" customFormat="1" ht="17.4">
      <c r="A107" s="30"/>
      <c r="B107" s="101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2"/>
      <c r="T107" s="32"/>
      <c r="U107" s="32"/>
      <c r="V107" s="32"/>
      <c r="W107" s="32"/>
      <c r="X107" s="32"/>
      <c r="Y107" s="34"/>
      <c r="Z107" s="35"/>
      <c r="AA107" s="35"/>
      <c r="AB107" s="35"/>
      <c r="AC107" s="35"/>
      <c r="AE107" s="22"/>
      <c r="AF107" s="108"/>
      <c r="AG107" s="108"/>
      <c r="AH107" s="108"/>
      <c r="AI107" s="108"/>
      <c r="AJ107" s="108"/>
      <c r="AK107" s="108"/>
      <c r="AL107" s="108"/>
      <c r="AM107" s="108"/>
      <c r="AN107" s="108"/>
      <c r="AO107" s="108"/>
      <c r="AP107" s="108"/>
      <c r="AQ107" s="108"/>
      <c r="AR107" s="111"/>
    </row>
    <row r="108" spans="1:44" s="110" customFormat="1" ht="17.4">
      <c r="A108" s="30"/>
      <c r="B108" s="101"/>
      <c r="C108" s="33"/>
      <c r="D108" s="33"/>
      <c r="E108" s="33"/>
      <c r="F108" s="33"/>
      <c r="G108" s="33"/>
      <c r="H108" s="33"/>
      <c r="I108" s="109"/>
      <c r="J108" s="33"/>
      <c r="K108" s="33"/>
      <c r="L108" s="33"/>
      <c r="M108" s="33"/>
      <c r="N108" s="33"/>
      <c r="O108" s="33"/>
      <c r="P108" s="33"/>
      <c r="Q108" s="33"/>
      <c r="R108" s="33"/>
      <c r="S108" s="32"/>
      <c r="T108" s="32"/>
      <c r="U108" s="32"/>
      <c r="V108" s="32"/>
      <c r="W108" s="32"/>
      <c r="X108" s="32"/>
      <c r="Y108" s="34"/>
      <c r="Z108" s="35"/>
      <c r="AA108" s="35"/>
      <c r="AB108" s="35"/>
      <c r="AC108" s="35"/>
      <c r="AE108" s="22"/>
      <c r="AF108" s="108"/>
      <c r="AG108" s="108"/>
      <c r="AH108" s="108"/>
      <c r="AI108" s="108"/>
      <c r="AJ108" s="108"/>
      <c r="AK108" s="108"/>
      <c r="AL108" s="108"/>
      <c r="AM108" s="108"/>
      <c r="AN108" s="108"/>
      <c r="AO108" s="108"/>
      <c r="AP108" s="108"/>
      <c r="AQ108" s="108"/>
      <c r="AR108" s="111"/>
    </row>
    <row r="109" spans="1:44" s="110" customFormat="1" ht="17.4">
      <c r="A109" s="30"/>
      <c r="B109" s="101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2"/>
      <c r="T109" s="32"/>
      <c r="U109" s="32"/>
      <c r="V109" s="32"/>
      <c r="W109" s="32"/>
      <c r="X109" s="32"/>
      <c r="Y109" s="34"/>
      <c r="Z109" s="35"/>
      <c r="AA109" s="35"/>
      <c r="AB109" s="35"/>
      <c r="AC109" s="35"/>
      <c r="AE109" s="22"/>
      <c r="AF109" s="108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11"/>
    </row>
    <row r="110" spans="1:44" s="110" customFormat="1" ht="17.4">
      <c r="A110" s="30"/>
      <c r="B110" s="101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2"/>
      <c r="T110" s="32"/>
      <c r="U110" s="32"/>
      <c r="V110" s="32"/>
      <c r="W110" s="32"/>
      <c r="X110" s="32"/>
      <c r="Y110" s="34"/>
      <c r="Z110" s="35"/>
      <c r="AA110" s="35"/>
      <c r="AB110" s="35"/>
      <c r="AC110" s="35"/>
      <c r="AE110" s="22"/>
      <c r="AF110" s="108"/>
      <c r="AG110" s="108"/>
      <c r="AH110" s="108"/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11"/>
    </row>
    <row r="111" spans="1:44" s="110" customFormat="1" ht="17.4">
      <c r="A111" s="30"/>
      <c r="B111" s="101"/>
      <c r="C111" s="33"/>
      <c r="D111" s="33"/>
      <c r="E111" s="33"/>
      <c r="F111" s="33"/>
      <c r="G111" s="33"/>
      <c r="H111" s="33"/>
      <c r="I111" s="109"/>
      <c r="J111" s="33"/>
      <c r="K111" s="33"/>
      <c r="L111" s="33"/>
      <c r="M111" s="33"/>
      <c r="N111" s="33"/>
      <c r="O111" s="33"/>
      <c r="P111" s="33"/>
      <c r="Q111" s="33"/>
      <c r="R111" s="33"/>
      <c r="S111" s="32"/>
      <c r="T111" s="32"/>
      <c r="U111" s="32"/>
      <c r="V111" s="32"/>
      <c r="W111" s="32"/>
      <c r="X111" s="32"/>
      <c r="Y111" s="34"/>
      <c r="Z111" s="35"/>
      <c r="AA111" s="35"/>
      <c r="AB111" s="35"/>
      <c r="AC111" s="35"/>
      <c r="AE111" s="22"/>
      <c r="AF111" s="108"/>
      <c r="AG111" s="108"/>
      <c r="AH111" s="108"/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11"/>
    </row>
    <row r="112" spans="1:44" s="110" customFormat="1" ht="17.4">
      <c r="A112" s="30"/>
      <c r="B112" s="101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2"/>
      <c r="T112" s="32"/>
      <c r="U112" s="32"/>
      <c r="V112" s="32"/>
      <c r="W112" s="32"/>
      <c r="X112" s="32"/>
      <c r="Y112" s="34"/>
      <c r="Z112" s="35"/>
      <c r="AA112" s="35"/>
      <c r="AB112" s="35"/>
      <c r="AC112" s="35"/>
      <c r="AE112" s="22"/>
      <c r="AF112" s="108"/>
      <c r="AG112" s="108"/>
      <c r="AH112" s="108"/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11"/>
    </row>
    <row r="113" spans="1:44" s="110" customFormat="1" ht="17.4">
      <c r="A113" s="30"/>
      <c r="B113" s="101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2"/>
      <c r="T113" s="32"/>
      <c r="U113" s="32"/>
      <c r="V113" s="32"/>
      <c r="W113" s="32"/>
      <c r="X113" s="32"/>
      <c r="Y113" s="34"/>
      <c r="Z113" s="35"/>
      <c r="AA113" s="35"/>
      <c r="AB113" s="35"/>
      <c r="AC113" s="35"/>
      <c r="AE113" s="22"/>
      <c r="AF113" s="108"/>
      <c r="AG113" s="108"/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11"/>
    </row>
    <row r="114" spans="1:44" s="110" customFormat="1" ht="17.4">
      <c r="A114" s="30"/>
      <c r="B114" s="101"/>
      <c r="C114" s="33"/>
      <c r="D114" s="33"/>
      <c r="E114" s="33"/>
      <c r="F114" s="33"/>
      <c r="G114" s="33"/>
      <c r="H114" s="33"/>
      <c r="I114" s="109"/>
      <c r="J114" s="33"/>
      <c r="K114" s="33"/>
      <c r="L114" s="33"/>
      <c r="M114" s="33"/>
      <c r="N114" s="33"/>
      <c r="O114" s="33"/>
      <c r="P114" s="33"/>
      <c r="Q114" s="33"/>
      <c r="R114" s="33"/>
      <c r="S114" s="32"/>
      <c r="T114" s="32"/>
      <c r="U114" s="32"/>
      <c r="V114" s="32"/>
      <c r="W114" s="32"/>
      <c r="X114" s="32"/>
      <c r="Y114" s="34"/>
      <c r="Z114" s="35"/>
      <c r="AA114" s="35"/>
      <c r="AB114" s="35"/>
      <c r="AC114" s="35"/>
      <c r="AE114" s="22"/>
      <c r="AF114" s="108"/>
      <c r="AG114" s="108"/>
      <c r="AH114" s="108"/>
      <c r="AI114" s="108"/>
      <c r="AJ114" s="108"/>
      <c r="AK114" s="108"/>
      <c r="AL114" s="108"/>
      <c r="AM114" s="108"/>
      <c r="AN114" s="108"/>
      <c r="AO114" s="108"/>
      <c r="AP114" s="108"/>
      <c r="AQ114" s="108"/>
      <c r="AR114" s="111"/>
    </row>
    <row r="115" spans="1:44" s="110" customFormat="1" ht="17.4">
      <c r="A115" s="30"/>
      <c r="B115" s="101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2"/>
      <c r="T115" s="32"/>
      <c r="U115" s="32"/>
      <c r="V115" s="32"/>
      <c r="W115" s="32"/>
      <c r="X115" s="32"/>
      <c r="Y115" s="34"/>
      <c r="Z115" s="35"/>
      <c r="AA115" s="35"/>
      <c r="AB115" s="35"/>
      <c r="AC115" s="35"/>
      <c r="AE115" s="22"/>
      <c r="AF115" s="108"/>
      <c r="AG115" s="108"/>
      <c r="AH115" s="108"/>
      <c r="AI115" s="108"/>
      <c r="AJ115" s="108"/>
      <c r="AK115" s="108"/>
      <c r="AL115" s="108"/>
      <c r="AM115" s="108"/>
      <c r="AN115" s="108"/>
      <c r="AO115" s="108"/>
      <c r="AP115" s="108"/>
      <c r="AQ115" s="108"/>
      <c r="AR115" s="111"/>
    </row>
    <row r="116" spans="1:44" s="110" customFormat="1" ht="17.4">
      <c r="A116" s="30"/>
      <c r="B116" s="101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2"/>
      <c r="T116" s="32"/>
      <c r="U116" s="32"/>
      <c r="V116" s="32"/>
      <c r="W116" s="32"/>
      <c r="X116" s="32"/>
      <c r="Y116" s="34"/>
      <c r="Z116" s="35"/>
      <c r="AA116" s="35"/>
      <c r="AB116" s="35"/>
      <c r="AC116" s="35"/>
      <c r="AE116" s="22"/>
      <c r="AF116" s="108"/>
      <c r="AG116" s="108"/>
      <c r="AH116" s="108"/>
      <c r="AI116" s="108"/>
      <c r="AJ116" s="108"/>
      <c r="AK116" s="108"/>
      <c r="AL116" s="108"/>
      <c r="AM116" s="108"/>
      <c r="AN116" s="108"/>
      <c r="AO116" s="108"/>
      <c r="AP116" s="108"/>
      <c r="AQ116" s="108"/>
      <c r="AR116" s="111"/>
    </row>
    <row r="117" spans="1:44" s="110" customFormat="1" ht="17.4">
      <c r="A117" s="30"/>
      <c r="B117" s="101"/>
      <c r="C117" s="33"/>
      <c r="D117" s="33"/>
      <c r="E117" s="33"/>
      <c r="F117" s="33"/>
      <c r="G117" s="33"/>
      <c r="H117" s="33"/>
      <c r="I117" s="109"/>
      <c r="J117" s="33"/>
      <c r="K117" s="33"/>
      <c r="L117" s="33"/>
      <c r="M117" s="33"/>
      <c r="N117" s="33"/>
      <c r="O117" s="33"/>
      <c r="P117" s="33"/>
      <c r="Q117" s="33"/>
      <c r="R117" s="33"/>
      <c r="S117" s="32"/>
      <c r="T117" s="32"/>
      <c r="U117" s="32"/>
      <c r="V117" s="32"/>
      <c r="W117" s="32"/>
      <c r="X117" s="32"/>
      <c r="Y117" s="34"/>
      <c r="Z117" s="35"/>
      <c r="AA117" s="35"/>
      <c r="AB117" s="35"/>
      <c r="AC117" s="35"/>
      <c r="AE117" s="22"/>
      <c r="AF117" s="108"/>
      <c r="AG117" s="108"/>
      <c r="AH117" s="108"/>
      <c r="AI117" s="108"/>
      <c r="AJ117" s="108"/>
      <c r="AK117" s="108"/>
      <c r="AL117" s="108"/>
      <c r="AM117" s="108"/>
      <c r="AN117" s="108"/>
      <c r="AO117" s="108"/>
      <c r="AP117" s="108"/>
      <c r="AQ117" s="108"/>
      <c r="AR117" s="111"/>
    </row>
    <row r="118" spans="1:44" s="110" customFormat="1" ht="17.4">
      <c r="A118" s="30"/>
      <c r="B118" s="101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2"/>
      <c r="T118" s="32"/>
      <c r="U118" s="32"/>
      <c r="V118" s="32"/>
      <c r="W118" s="32"/>
      <c r="X118" s="32"/>
      <c r="Y118" s="34"/>
      <c r="Z118" s="35"/>
      <c r="AA118" s="35"/>
      <c r="AB118" s="35"/>
      <c r="AC118" s="35"/>
      <c r="AE118" s="22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11"/>
    </row>
    <row r="119" spans="1:44" s="110" customFormat="1" ht="17.4">
      <c r="A119" s="30"/>
      <c r="B119" s="101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2"/>
      <c r="T119" s="32"/>
      <c r="U119" s="32"/>
      <c r="V119" s="32"/>
      <c r="W119" s="32"/>
      <c r="X119" s="32"/>
      <c r="Y119" s="34"/>
      <c r="Z119" s="35"/>
      <c r="AA119" s="35"/>
      <c r="AB119" s="35"/>
      <c r="AC119" s="35"/>
      <c r="AE119" s="22"/>
      <c r="AF119" s="108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11"/>
    </row>
    <row r="120" spans="1:44" s="110" customFormat="1" ht="17.4">
      <c r="A120" s="30"/>
      <c r="B120" s="101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2"/>
      <c r="T120" s="32"/>
      <c r="U120" s="32"/>
      <c r="V120" s="32"/>
      <c r="W120" s="32"/>
      <c r="X120" s="32"/>
      <c r="Y120" s="34"/>
      <c r="Z120" s="35"/>
      <c r="AA120" s="35"/>
      <c r="AB120" s="35"/>
      <c r="AC120" s="35"/>
      <c r="AE120" s="22"/>
      <c r="AF120" s="108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11"/>
    </row>
    <row r="121" spans="1:44" s="110" customFormat="1" ht="17.4">
      <c r="A121" s="30"/>
      <c r="B121" s="101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2"/>
      <c r="T121" s="32"/>
      <c r="U121" s="32"/>
      <c r="V121" s="32"/>
      <c r="W121" s="32"/>
      <c r="X121" s="32"/>
      <c r="Y121" s="34"/>
      <c r="Z121" s="35"/>
      <c r="AA121" s="35"/>
      <c r="AB121" s="35"/>
      <c r="AC121" s="35"/>
      <c r="AE121" s="22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11"/>
    </row>
  </sheetData>
  <mergeCells count="11">
    <mergeCell ref="Q5:R7"/>
    <mergeCell ref="N8:N9"/>
    <mergeCell ref="K8:K9"/>
    <mergeCell ref="L8:L9"/>
    <mergeCell ref="M8:M9"/>
    <mergeCell ref="C5:D7"/>
    <mergeCell ref="E5:F7"/>
    <mergeCell ref="G5:H7"/>
    <mergeCell ref="I5:N7"/>
    <mergeCell ref="I8:I9"/>
    <mergeCell ref="J8:J9"/>
  </mergeCells>
  <printOptions horizontalCentered="1" verticalCentered="1"/>
  <pageMargins left="0.25" right="0.25" top="0.75" bottom="0.75" header="0.3" footer="0.3"/>
  <pageSetup orientation="landscape" scale="1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