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SPA Projects\610025 - FEECA Potential Study\Regulatory (Post-Filing)\Discovery Request documents - Round 1\DEF\Q15\"/>
    </mc:Choice>
  </mc:AlternateContent>
  <bookViews>
    <workbookView xWindow="0" yWindow="0" windowWidth="17280" windowHeight="7524"/>
  </bookViews>
  <sheets>
    <sheet name="Res Costs_extract" sheetId="1" r:id="rId1"/>
    <sheet name="LaborCostReference" sheetId="3" r:id="rId2"/>
    <sheet name="Sheet2" sheetId="2" r:id="rId3"/>
  </sheets>
  <definedNames>
    <definedName name="_xlnm._FilterDatabase" localSheetId="0" hidden="1">'Res Costs_extract'!$A$1:$P$165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0" i="1" l="1"/>
  <c r="J119" i="1"/>
  <c r="J118" i="1"/>
  <c r="J123" i="1"/>
  <c r="J122" i="1"/>
  <c r="J121" i="1"/>
  <c r="H123" i="1"/>
  <c r="F123" i="1"/>
  <c r="D123" i="1"/>
  <c r="H122" i="1"/>
  <c r="F122" i="1"/>
  <c r="D122" i="1"/>
  <c r="H121" i="1"/>
  <c r="F121" i="1"/>
  <c r="D121" i="1"/>
  <c r="B121" i="1" l="1"/>
  <c r="B123" i="1"/>
  <c r="B122" i="1"/>
  <c r="H104" i="1"/>
  <c r="H105" i="1"/>
  <c r="H103" i="1"/>
  <c r="H17" i="1" l="1"/>
  <c r="H16" i="1"/>
  <c r="H70" i="1" l="1"/>
  <c r="B70" i="1" s="1"/>
  <c r="H69" i="1"/>
  <c r="B69" i="1" s="1"/>
  <c r="H68" i="1"/>
  <c r="H53" i="1" l="1"/>
  <c r="J53" i="1"/>
  <c r="H147" i="1" l="1"/>
  <c r="B145" i="1" l="1"/>
  <c r="J139" i="1"/>
  <c r="H139" i="1"/>
  <c r="J3" i="1" l="1"/>
  <c r="J2" i="1"/>
  <c r="H165" i="1" l="1"/>
  <c r="H164" i="1"/>
  <c r="H162" i="1"/>
  <c r="H161" i="1"/>
  <c r="H159" i="1"/>
  <c r="H158" i="1"/>
  <c r="H156" i="1"/>
  <c r="H155" i="1"/>
  <c r="H152" i="1"/>
  <c r="H163" i="1"/>
  <c r="H160" i="1"/>
  <c r="H157" i="1"/>
  <c r="H154" i="1"/>
  <c r="H151" i="1"/>
  <c r="D161" i="1"/>
  <c r="D162" i="1"/>
  <c r="D160" i="1"/>
  <c r="H44" i="1"/>
  <c r="F162" i="1"/>
  <c r="F161" i="1"/>
  <c r="F160" i="1"/>
  <c r="J20" i="1"/>
  <c r="J19" i="1"/>
  <c r="J18" i="1"/>
  <c r="F13" i="1"/>
  <c r="F14" i="1"/>
  <c r="H41" i="1"/>
  <c r="H52" i="1" l="1"/>
  <c r="H51" i="1"/>
  <c r="H50" i="1"/>
  <c r="H49" i="1"/>
  <c r="H48" i="1"/>
  <c r="H47" i="1"/>
  <c r="H46" i="1"/>
  <c r="H45" i="1"/>
  <c r="H43" i="1"/>
  <c r="H42" i="1"/>
  <c r="J41" i="1"/>
  <c r="J55" i="1"/>
  <c r="J50" i="1"/>
  <c r="J47" i="1"/>
  <c r="J51" i="1"/>
  <c r="J48" i="1"/>
  <c r="J45" i="1"/>
  <c r="J52" i="1"/>
  <c r="J49" i="1"/>
  <c r="J46" i="1"/>
  <c r="J44" i="1"/>
  <c r="J43" i="1"/>
  <c r="J42" i="1"/>
  <c r="F25" i="1" l="1"/>
  <c r="F24" i="1"/>
  <c r="J25" i="1" l="1"/>
  <c r="B25" i="1"/>
  <c r="J24" i="1"/>
  <c r="B24" i="1"/>
  <c r="H153" i="1"/>
  <c r="J65" i="1"/>
  <c r="J74" i="1"/>
  <c r="J73" i="1"/>
  <c r="J72" i="1"/>
  <c r="J140" i="1"/>
  <c r="F140" i="1" l="1"/>
  <c r="F139" i="1"/>
  <c r="F138" i="1"/>
  <c r="J141" i="1" l="1"/>
  <c r="F147" i="1" l="1"/>
  <c r="J148" i="1" l="1"/>
  <c r="J126" i="1" l="1"/>
  <c r="J125" i="1"/>
  <c r="J8" i="1"/>
  <c r="F8" i="1"/>
  <c r="D102" i="1" l="1"/>
  <c r="D101" i="1"/>
  <c r="D100" i="1"/>
  <c r="J102" i="1"/>
  <c r="J101" i="1"/>
  <c r="J100" i="1"/>
  <c r="F20" i="1"/>
  <c r="D20" i="1"/>
  <c r="F19" i="1"/>
  <c r="D19" i="1"/>
  <c r="F18" i="1"/>
  <c r="D18" i="1"/>
  <c r="J14" i="1"/>
  <c r="J13" i="1"/>
  <c r="J67" i="1"/>
  <c r="J66" i="1"/>
  <c r="J36" i="1"/>
  <c r="F36" i="1"/>
  <c r="H78" i="1" l="1"/>
  <c r="H77" i="1"/>
  <c r="D78" i="1"/>
  <c r="D77" i="1"/>
  <c r="F78" i="1"/>
  <c r="F77" i="1"/>
  <c r="F76" i="1"/>
  <c r="D76" i="1"/>
  <c r="H76" i="1"/>
  <c r="H148" i="1" l="1"/>
  <c r="J75" i="1"/>
  <c r="F75" i="1"/>
  <c r="F74" i="1" l="1"/>
  <c r="F73" i="1"/>
  <c r="F72" i="1"/>
  <c r="H73" i="1"/>
  <c r="H74" i="1"/>
  <c r="H72" i="1"/>
  <c r="B144" i="1"/>
  <c r="B142" i="1"/>
  <c r="B148" i="1"/>
  <c r="B133" i="1"/>
  <c r="B132" i="1"/>
  <c r="B131" i="1"/>
  <c r="B130" i="1"/>
  <c r="B134" i="1"/>
  <c r="B129" i="1"/>
  <c r="B128" i="1"/>
  <c r="B127" i="1"/>
  <c r="B81" i="1"/>
  <c r="B80" i="1"/>
  <c r="B150" i="1"/>
  <c r="B149" i="1"/>
  <c r="B137" i="1"/>
  <c r="B136" i="1"/>
  <c r="B135" i="1"/>
  <c r="B56" i="1"/>
  <c r="B39" i="1"/>
  <c r="B36" i="1"/>
  <c r="B34" i="1"/>
  <c r="B33" i="1"/>
  <c r="B30" i="1"/>
  <c r="B28" i="1"/>
  <c r="B27" i="1"/>
  <c r="B26" i="1"/>
  <c r="B12" i="1"/>
  <c r="B8" i="1"/>
  <c r="B7" i="1"/>
  <c r="H64" i="1" l="1"/>
  <c r="B64" i="1" s="1"/>
  <c r="H63" i="1"/>
  <c r="B63" i="1" s="1"/>
  <c r="H62" i="1"/>
  <c r="J62" i="1"/>
  <c r="H58" i="1"/>
  <c r="B58" i="1" s="1"/>
  <c r="H57" i="1"/>
  <c r="B57" i="1" s="1"/>
  <c r="B62" i="1" l="1"/>
  <c r="J40" i="1" l="1"/>
  <c r="H40" i="1"/>
  <c r="D38" i="1"/>
  <c r="H38" i="1"/>
  <c r="H37" i="1"/>
  <c r="D37" i="1"/>
  <c r="B40" i="1" l="1"/>
  <c r="D11" i="1"/>
  <c r="H32" i="1" l="1"/>
  <c r="D32" i="1"/>
  <c r="H31" i="1"/>
  <c r="B31" i="1" s="1"/>
  <c r="B32" i="1" l="1"/>
  <c r="B44" i="1"/>
  <c r="B45" i="1"/>
  <c r="B46" i="1"/>
  <c r="J21" i="1"/>
  <c r="J146" i="1"/>
  <c r="F146" i="1"/>
  <c r="B21" i="1" l="1"/>
  <c r="B165" i="1"/>
  <c r="B164" i="1"/>
  <c r="B163" i="1"/>
  <c r="B162" i="1"/>
  <c r="B161" i="1"/>
  <c r="B160" i="1"/>
  <c r="B159" i="1"/>
  <c r="B158" i="1"/>
  <c r="B157" i="1"/>
  <c r="B156" i="1" l="1"/>
  <c r="B155" i="1"/>
  <c r="B154" i="1"/>
  <c r="B153" i="1"/>
  <c r="B152" i="1"/>
  <c r="B151" i="1"/>
  <c r="B143" i="1" l="1"/>
  <c r="B141" i="1" l="1"/>
  <c r="D140" i="1" l="1"/>
  <c r="B126" i="1"/>
  <c r="B125" i="1"/>
  <c r="B79" i="1"/>
  <c r="B140" i="1" l="1"/>
  <c r="J78" i="1"/>
  <c r="B78" i="1" s="1"/>
  <c r="J77" i="1"/>
  <c r="J76" i="1"/>
  <c r="B76" i="1" s="1"/>
  <c r="B77" i="1"/>
  <c r="B139" i="1" l="1"/>
  <c r="B138" i="1" l="1"/>
  <c r="J124" i="1"/>
  <c r="F124" i="1"/>
  <c r="B92" i="1" l="1"/>
  <c r="B95" i="1"/>
  <c r="B83" i="1"/>
  <c r="B93" i="1"/>
  <c r="B88" i="1"/>
  <c r="B90" i="1"/>
  <c r="B89" i="1"/>
  <c r="B84" i="1"/>
  <c r="B96" i="1"/>
  <c r="B124" i="1"/>
  <c r="B85" i="1"/>
  <c r="B71" i="1"/>
  <c r="B87" i="1"/>
  <c r="B82" i="1"/>
  <c r="B86" i="1"/>
  <c r="B94" i="1"/>
  <c r="B75" i="1"/>
  <c r="B91" i="1"/>
  <c r="D74" i="1"/>
  <c r="D73" i="1"/>
  <c r="D72" i="1"/>
  <c r="H102" i="1"/>
  <c r="H101" i="1"/>
  <c r="H100" i="1"/>
  <c r="H119" i="1"/>
  <c r="H120" i="1"/>
  <c r="H118" i="1"/>
  <c r="D120" i="1"/>
  <c r="D119" i="1"/>
  <c r="D118" i="1"/>
  <c r="F102" i="1"/>
  <c r="F101" i="1"/>
  <c r="F100" i="1"/>
  <c r="F120" i="1"/>
  <c r="F119" i="1"/>
  <c r="F118" i="1"/>
  <c r="B73" i="1" l="1"/>
  <c r="B104" i="1"/>
  <c r="B118" i="1"/>
  <c r="B105" i="1"/>
  <c r="B120" i="1"/>
  <c r="B119" i="1"/>
  <c r="B100" i="1"/>
  <c r="B101" i="1"/>
  <c r="B72" i="1"/>
  <c r="B103" i="1"/>
  <c r="B102" i="1"/>
  <c r="B74" i="1"/>
  <c r="B97" i="1"/>
  <c r="B68" i="1"/>
  <c r="H67" i="1"/>
  <c r="H66" i="1"/>
  <c r="H65" i="1"/>
  <c r="B99" i="1" l="1"/>
  <c r="B65" i="1"/>
  <c r="B98" i="1"/>
  <c r="B112" i="1"/>
  <c r="B113" i="1"/>
  <c r="B66" i="1"/>
  <c r="B109" i="1"/>
  <c r="B115" i="1"/>
  <c r="B110" i="1"/>
  <c r="B106" i="1"/>
  <c r="B67" i="1"/>
  <c r="B107" i="1"/>
  <c r="B108" i="1"/>
  <c r="B111" i="1"/>
  <c r="B114" i="1"/>
  <c r="B116" i="1"/>
  <c r="B117" i="1"/>
  <c r="J61" i="1"/>
  <c r="J60" i="1"/>
  <c r="J59" i="1"/>
  <c r="H61" i="1"/>
  <c r="H60" i="1"/>
  <c r="H59" i="1"/>
  <c r="B61" i="1" l="1"/>
  <c r="B59" i="1"/>
  <c r="B60" i="1"/>
  <c r="J54" i="1"/>
  <c r="H55" i="1"/>
  <c r="B55" i="1" s="1"/>
  <c r="H54" i="1"/>
  <c r="B52" i="1"/>
  <c r="B51" i="1"/>
  <c r="B50" i="1"/>
  <c r="B49" i="1"/>
  <c r="B48" i="1"/>
  <c r="B47" i="1"/>
  <c r="B43" i="1"/>
  <c r="B42" i="1"/>
  <c r="B41" i="1"/>
  <c r="H18" i="1"/>
  <c r="B54" i="1" l="1"/>
  <c r="B53" i="1"/>
  <c r="J38" i="1"/>
  <c r="F38" i="1"/>
  <c r="B38" i="1" l="1"/>
  <c r="J37" i="1"/>
  <c r="F37" i="1"/>
  <c r="J35" i="1"/>
  <c r="F35" i="1"/>
  <c r="H29" i="1"/>
  <c r="B29" i="1" s="1"/>
  <c r="B35" i="1" l="1"/>
  <c r="B37" i="1"/>
  <c r="J10" i="1"/>
  <c r="F10" i="1"/>
  <c r="J23" i="1"/>
  <c r="J22" i="1"/>
  <c r="H20" i="1"/>
  <c r="H19" i="1"/>
  <c r="B22" i="1" l="1"/>
  <c r="B23" i="1"/>
  <c r="B17" i="1"/>
  <c r="B10" i="1"/>
  <c r="B19" i="1"/>
  <c r="B18" i="1"/>
  <c r="B16" i="1"/>
  <c r="B20" i="1"/>
  <c r="J15" i="1"/>
  <c r="F15" i="1"/>
  <c r="J11" i="1"/>
  <c r="F11" i="1"/>
  <c r="J9" i="1"/>
  <c r="F9" i="1"/>
  <c r="J6" i="1"/>
  <c r="J5" i="1"/>
  <c r="J4" i="1"/>
  <c r="H6" i="1"/>
  <c r="H5" i="1"/>
  <c r="H4" i="1"/>
  <c r="B5" i="1" l="1"/>
  <c r="B4" i="1"/>
  <c r="B6" i="1"/>
  <c r="B9" i="1"/>
  <c r="B14" i="1"/>
  <c r="B11" i="1"/>
  <c r="B15" i="1"/>
  <c r="B13" i="1"/>
  <c r="B3" i="1"/>
  <c r="B2" i="1"/>
  <c r="E20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4" i="3"/>
  <c r="H146" i="1" l="1"/>
  <c r="B146" i="1" s="1"/>
  <c r="B147" i="1" l="1"/>
</calcChain>
</file>

<file path=xl/sharedStrings.xml><?xml version="1.0" encoding="utf-8"?>
<sst xmlns="http://schemas.openxmlformats.org/spreadsheetml/2006/main" count="1382" uniqueCount="324">
  <si>
    <t>Measure</t>
  </si>
  <si>
    <t>Source</t>
  </si>
  <si>
    <t>Market Research, 2016</t>
  </si>
  <si>
    <t>Illinois 2015 Statewide TRM, Section 5.3.10</t>
  </si>
  <si>
    <t>Market Research, 2016, Home Depot</t>
  </si>
  <si>
    <t>Res. Drain Water Heat Recovery</t>
  </si>
  <si>
    <t>https://www.energy.gov/energysaver/water-heating/drain-water-heat-recovery</t>
  </si>
  <si>
    <t>Res. Duct Insulation</t>
  </si>
  <si>
    <t>Res. ENERGY STAR Air Purifier</t>
  </si>
  <si>
    <t>Res. Energy Star Ceiling Fan</t>
  </si>
  <si>
    <t>Res. ENERGY STAR Clothes Dryer</t>
  </si>
  <si>
    <t>https://www.homedepot.com/p/Whirlpool-7-0-cu-ft-Electric-Dryer-in-White-WED4616FW/207080590</t>
  </si>
  <si>
    <t>Res. ENERGY STAR Clothes Washer</t>
  </si>
  <si>
    <t>Res. ENERGY STAR Dehumidifier</t>
  </si>
  <si>
    <t>Res. Energy Star Door</t>
  </si>
  <si>
    <t>http://www.homedepot.com/b/Doors-Windows-Doors-Patio-Doors/72-x-80/N-5yc1vZarqnZ12l6Z1z0rbko?NCNI-5</t>
  </si>
  <si>
    <t>http://www.homedepot.com/p/MasterPiece-71-1-4-in-x-79-1-2-in-Composite-White-Right-Hand-Sliding-Patio-Door-with-Smooth-Interior-G6068R00201/202339614?N=5yc1vZarqnZbwo5oZ1z0tvbf</t>
  </si>
  <si>
    <t>Res. ENERGY STAR Refrigerator</t>
  </si>
  <si>
    <t>Res. Energy Star Windows</t>
  </si>
  <si>
    <t>Res. Green Roof</t>
  </si>
  <si>
    <t>Reducing Urban Heat Islands: Green Roofs (EPA 2014) (/sqft)</t>
  </si>
  <si>
    <t>Res. Heat Pump Pool Heater</t>
  </si>
  <si>
    <t>https://www.sunplay.com/hayward-heatpro-heat-pump-hp50ta?gclid=EAIaIQobChMIzJL0pouG2AIVHVcNCh3DHgiGEAQYBCABEgJOavD_BwE</t>
  </si>
  <si>
    <t>Res. Home Energy Management System</t>
  </si>
  <si>
    <t>Res. Programmable Thermostat</t>
  </si>
  <si>
    <t>Res. Smart Thermostat</t>
  </si>
  <si>
    <t>https://www.homedepot.com/p/ecobee-3-lite-7-Day-Programmable-Smart-Thermostat-with-Touchscreen-EB-STATE3LT-02/301500584</t>
  </si>
  <si>
    <t>Res. Solar Attic Fan</t>
  </si>
  <si>
    <t>Res. Thermostatic Shower Restriction Valve</t>
  </si>
  <si>
    <t>Res. Water Heater Thermostat Setback</t>
  </si>
  <si>
    <t>Res. Heat Pump Clothes Dryer</t>
  </si>
  <si>
    <t>Res. Hot Water Pipe Insulation</t>
  </si>
  <si>
    <t>Res. Smart Power Strip</t>
  </si>
  <si>
    <t>Res. Energy Star Personal Computer</t>
  </si>
  <si>
    <t>Res. Energy Star TV</t>
  </si>
  <si>
    <t>Res. Energy Star Imaging Equipment</t>
  </si>
  <si>
    <t>Res. Removal of 2nd Refrigerator-Freezer</t>
  </si>
  <si>
    <t>https://www.homeadvisor.com/cost/cleaning-services/remove-waste/</t>
  </si>
  <si>
    <t>Res. Energy Star Dishwasher</t>
  </si>
  <si>
    <t>Res. Energy Star Freezer</t>
  </si>
  <si>
    <t>Res. High Efficiency Convection Oven</t>
  </si>
  <si>
    <t>Res. High Efficiency Induction Cooktop</t>
  </si>
  <si>
    <t>Res. Energy Star Audio-Video Equipment</t>
  </si>
  <si>
    <t>http://www.amazon.com/Sony-HT-CT150-Sound-Bar-System/dp/B003C1AO2I/ref=sr_1_1?s=aht&amp;ie=UTF8&amp;qid=1311254467&amp;sr=1-1</t>
  </si>
  <si>
    <t>http://www.amazon.com/Polk-Audio-Surroundbar-Entertainment-System/dp/B0036ORATQ/ref=sr_1_2?s=aht&amp;ie=UTF8&amp;qid=1311254476&amp;sr=1-2</t>
  </si>
  <si>
    <t>Res. Storm Door</t>
  </si>
  <si>
    <t>https://www.homedepot.com/p/EMCO-36-in-x-80-in-100-Series-Plus-White-Self-Storing-Storm-Door-E1TT36WH/205352910</t>
  </si>
  <si>
    <t>Res. Ceiling Insulation(R2 to R38)</t>
  </si>
  <si>
    <t>Res. Ceiling Insulation(R19 to R38)</t>
  </si>
  <si>
    <t>Res. Ceiling Insulation(R30 to R38)</t>
  </si>
  <si>
    <t>Res. Wall Insulation</t>
  </si>
  <si>
    <t>Res. Sealed crawlspace</t>
  </si>
  <si>
    <t>Res. Floor Insulation</t>
  </si>
  <si>
    <t>Res. Radiant Barrier</t>
  </si>
  <si>
    <t>Res. Air Sealing-Infiltration Control</t>
  </si>
  <si>
    <t>Res. Window Sun Protection</t>
  </si>
  <si>
    <t>Res. 18 SEER Air Source Heat Pump</t>
  </si>
  <si>
    <t>Res. 21 SEER Air Source Heat Pump</t>
  </si>
  <si>
    <t>Res. Variable Refrigerant Flow (VRF) HVAC Systems</t>
  </si>
  <si>
    <t>Res. HVAC ECM Motor</t>
  </si>
  <si>
    <t>Res. Ground Source Heat Pump</t>
  </si>
  <si>
    <t>Res. Linear LED</t>
  </si>
  <si>
    <t>Res. LED - 9W</t>
  </si>
  <si>
    <t>Res. LED - 9W Flood</t>
  </si>
  <si>
    <t>Res. ENERGY STAR Bathroom Ventilating Fan</t>
  </si>
  <si>
    <t>Res. Variable Speed Pool Pump</t>
  </si>
  <si>
    <t>Res. Two Speed Pool Pump</t>
  </si>
  <si>
    <t>Res. Solar Water Heater</t>
  </si>
  <si>
    <t>Res. Instantaneous Hot Water System</t>
  </si>
  <si>
    <t>Res. Energy Star Certified Roof Products</t>
  </si>
  <si>
    <t>Res. Duct Repair</t>
  </si>
  <si>
    <t>Res. Central AC Tune Up</t>
  </si>
  <si>
    <t>Res. Heat Pump Tune Up</t>
  </si>
  <si>
    <t>Res. 15 SEER Central AC</t>
  </si>
  <si>
    <t>Res. 16 SEER Central AC</t>
  </si>
  <si>
    <t>Res. 17 SEER Central AC</t>
  </si>
  <si>
    <t>Res. 18 SEER Central AC</t>
  </si>
  <si>
    <t>Res. 21 SEER Central AC</t>
  </si>
  <si>
    <t>Res. 15 SEER Air Source Heat Pump</t>
  </si>
  <si>
    <t>Res. 14 SEER ASHP from base electric resistance heating</t>
  </si>
  <si>
    <t>Res. 21 SEER ASHP from base electric resistance heating</t>
  </si>
  <si>
    <t>Res. 16 SEER Air Source Heat Pump</t>
  </si>
  <si>
    <t>Res. 17 SEER Air Source Heat Pump</t>
  </si>
  <si>
    <t>Res. Energy Star Room AC</t>
  </si>
  <si>
    <t>Res. Exterior Lighting Controls</t>
  </si>
  <si>
    <t>Res. Interior Lighting Controls</t>
  </si>
  <si>
    <t>Room vacancy sensor (https://www.homedepot.com/p/Lithonia-Lighting-Decorator-Vacancy-Motion-Sensing-Self-Contained-Relay-Wall-Switch-White-SSD-VA-120-WH/203606977?cm_mmc=Shopping%7cVF%7cG%7c0%7cG-VF-PLA%7c&amp;gclid=EAIaIQobChMI08z2kJXH2wIVylqGCh2w_g8DEAYYBCABEgI4-_D_BwE&amp;dclid=CLigjJyVx9sCFREEDAodJk8H3g)</t>
  </si>
  <si>
    <t>Res. CFL-13W</t>
  </si>
  <si>
    <t>Res. CFL - 15W Flood</t>
  </si>
  <si>
    <t>https://www.homedepot.com/p/Philips-65-Watt-Incandescent-BR30-Flood-Light-Bulb-12-Pack-per-Case-248872/100560688</t>
  </si>
  <si>
    <t>Res. CFL-23W</t>
  </si>
  <si>
    <t>https://www.homedepot.com/p/Philips-100W-Equivalent-Soft-White-2700K-T2-Spiral-CFL-Light-Bulb-4-Pack-434738/202827179</t>
  </si>
  <si>
    <t>Res. Low Wattage T8 Fixture</t>
  </si>
  <si>
    <t>Res. LED - 14W</t>
  </si>
  <si>
    <t>Res. LED-5W Chandelier</t>
  </si>
  <si>
    <t>Res. CFL - 15W Flood (Exterior)</t>
  </si>
  <si>
    <t>Res. LED - 9W Flood (Exterior)</t>
  </si>
  <si>
    <t>Res. Heat Pump Water Heater</t>
  </si>
  <si>
    <t>Res. Solar Powered Pool Pumps</t>
  </si>
  <si>
    <t>Res. Solar Pool Heater</t>
  </si>
  <si>
    <t>Res. Heat Trap</t>
  </si>
  <si>
    <t>Res. Low Flow Showerhead</t>
  </si>
  <si>
    <t>Res. Faucet Aerator</t>
  </si>
  <si>
    <t>Res. Water Heater Timeclock</t>
  </si>
  <si>
    <t>Res. Water Heater Blanket</t>
  </si>
  <si>
    <t>Res. Spray Foam Insulation(Base R12)</t>
  </si>
  <si>
    <t>Res. Spray Foam Insulation(Base R19)</t>
  </si>
  <si>
    <t>Res. Spray Foam Insulation(Base R30)</t>
  </si>
  <si>
    <t>Res. Ceiling Insulation(R12 to R38)</t>
  </si>
  <si>
    <t>Res. Spray Foam Insulation(Base R2)</t>
  </si>
  <si>
    <t>Baseline Material Cost</t>
  </si>
  <si>
    <t>Baseline Labor Cost</t>
  </si>
  <si>
    <t>Efficient Material Cost</t>
  </si>
  <si>
    <t>Efficient Labor Cost</t>
  </si>
  <si>
    <t>Unit</t>
  </si>
  <si>
    <t>https://www.homedepot.com/p/Philips-60-Watt-Equivalent-Spiral-A-Line-CFL-Light-Bulb-Soft-White-2700K-4-Pack-434373/202826746</t>
  </si>
  <si>
    <t>Per Unit</t>
  </si>
  <si>
    <t>No Labor Cost</t>
  </si>
  <si>
    <t>No equipment cost</t>
  </si>
  <si>
    <t>Labor Cost Reference Table</t>
  </si>
  <si>
    <t>End Use</t>
  </si>
  <si>
    <t>Proxy RS number</t>
  </si>
  <si>
    <t>Crew</t>
  </si>
  <si>
    <r>
      <t>Labor Cost (</t>
    </r>
    <r>
      <rPr>
        <b/>
        <u/>
        <sz val="11"/>
        <color theme="0"/>
        <rFont val="Calibri"/>
        <family val="2"/>
        <scheme val="minor"/>
      </rPr>
      <t>/labor hour)</t>
    </r>
  </si>
  <si>
    <t>Note</t>
  </si>
  <si>
    <t>Refrigeration</t>
  </si>
  <si>
    <t>113013165200</t>
  </si>
  <si>
    <t>Plumber</t>
  </si>
  <si>
    <t>Line number is Icemaker, automatic, 20 lb. per day under section 113013160010 Refrigeration Equipment (Residential Equipment)</t>
  </si>
  <si>
    <t>HVAC</t>
  </si>
  <si>
    <t>232123130600</t>
  </si>
  <si>
    <t>Line number is under 232123120010 In-Line Centrifugal Hydronic Pumps, assumed for geothermal heat pump labor costs</t>
  </si>
  <si>
    <t>230713103771</t>
  </si>
  <si>
    <t>Asbestos Worker</t>
  </si>
  <si>
    <t>Line number is under 230713000000 Duct Insulation, assumed for Duct Sealing and Insulation work</t>
  </si>
  <si>
    <t>220529107030</t>
  </si>
  <si>
    <t>Sheet Metal Worker</t>
  </si>
  <si>
    <t>Line number is Pipe and mechanical roof support, duct support…, assumed for Duct Design</t>
  </si>
  <si>
    <t>235616400540</t>
  </si>
  <si>
    <t>Line number is 1 collector, circulator, fitting, 65 gal. tank under section 2356 Solar Energy Heating Equipment, assumed for solar heating work</t>
  </si>
  <si>
    <t>230716101000</t>
  </si>
  <si>
    <t>Line number is under section 230716 HVAC Equipment Insulation, assumed for HVAC dianostics and servicing</t>
  </si>
  <si>
    <t>230953100680</t>
  </si>
  <si>
    <t>Steamfitters or Pinefitters</t>
  </si>
  <si>
    <t>Line number is under section 2309 Instrumentation And Control for HVAC, assumed for ECM motor installaton</t>
  </si>
  <si>
    <t>Lighting</t>
  </si>
  <si>
    <t>260590101100</t>
  </si>
  <si>
    <t>Electrician</t>
  </si>
  <si>
    <t>Line number is under section 260590.10 Residential Wiring, assumed for lighting fixtures</t>
  </si>
  <si>
    <t>Others</t>
  </si>
  <si>
    <t>260590108620</t>
  </si>
  <si>
    <t>Line number is under section 260590.10 Residential Wiring, assumed for installing timer switch</t>
  </si>
  <si>
    <t>262419400080</t>
  </si>
  <si>
    <t>Line number is under section 2624 Switchboards And PanelBoards, assumed for Energy Management System</t>
  </si>
  <si>
    <t>Shell</t>
  </si>
  <si>
    <t>079213200055</t>
  </si>
  <si>
    <t>Bricklayers</t>
  </si>
  <si>
    <t>Line number is under section 0792 Joint Sealants, assumed for joists insulation</t>
  </si>
  <si>
    <t>Line number is under 230713000000 Duct Insulation, assumed for insulation &amp; sealing</t>
  </si>
  <si>
    <t>028213480100</t>
  </si>
  <si>
    <t>Asbestos Foreman + Worker</t>
  </si>
  <si>
    <t>Line number is under 028213480010 Asbestos Encapsulation with Sealants, assumed for encapsulation</t>
  </si>
  <si>
    <t>Ventilation</t>
  </si>
  <si>
    <t>235619502330</t>
  </si>
  <si>
    <t>Line number is under 235619502310 Solar heating components, circulators, air, blowers, assumed for solar attic vent</t>
  </si>
  <si>
    <t>077616101000</t>
  </si>
  <si>
    <t>Common Building Laborer</t>
  </si>
  <si>
    <t>Line number is under 0776 Roof Pavers (under Thermal and Moisture Protection), assumed for ridge vent</t>
  </si>
  <si>
    <t>Water Heating</t>
  </si>
  <si>
    <t>220716102920</t>
  </si>
  <si>
    <t>Line number is under 220716102900 Domestic water heater wrap kit, assumed for pipe-related work</t>
  </si>
  <si>
    <t>113015236900</t>
  </si>
  <si>
    <t>Electrician + Plumber</t>
  </si>
  <si>
    <t>Line number is under section 113015230010 Water Heaters, assumed for WH installation</t>
  </si>
  <si>
    <t>Vintage</t>
  </si>
  <si>
    <t>Segment</t>
  </si>
  <si>
    <t>Existing</t>
  </si>
  <si>
    <t>New</t>
  </si>
  <si>
    <t>Per Home</t>
  </si>
  <si>
    <t>Single Family</t>
  </si>
  <si>
    <t>rate at $0.37/sq.ft, assume 2208(area)/1.4(nfloors) =1577 sq.ft, reference: https://www.homewyse.com/costs/cost_of_duct_insulation.html</t>
  </si>
  <si>
    <t>rate at $0.37/sq.ft, assume 1310 sq.ft, reference: https://www.homewyse.com/costs/cost_of_duct_insulation.html</t>
  </si>
  <si>
    <t>rate at $0.37/sq.ft, assume 1382 sq.ft, reference: https://www.homewyse.com/costs/cost_of_duct_insulation.html</t>
  </si>
  <si>
    <t>rate at $53.75/per labor hour and 0.011 hr/sq.ft, reference: https://www.homewyse.com/costs/cost_of_duct_insulation.html</t>
  </si>
  <si>
    <t>Multi-Family</t>
  </si>
  <si>
    <t>Manufactured Home</t>
  </si>
  <si>
    <t>--</t>
  </si>
  <si>
    <t>rate at $81.88/per labor hour, assume 2 hours work, reference: https://www.homewyse.com/costs/cost_of_electric_dryers.html</t>
  </si>
  <si>
    <t>https://www.homedepot.com/p/Samsung-7-4-cu-ft-Electric-Dryer-with-Steam-in-Black-Stainless-ENERGY-STAR-DVE52M7750V/301531371</t>
  </si>
  <si>
    <t>rate at $81.88/per labor hour, assume 2 hours work, reference: https://www.homewyse.com/costs/cost_of_front_loading_washing_machines.html</t>
  </si>
  <si>
    <t>rate at $83.26/per labor hour, assume 2 hours work, reference: https://www.homewyse.com/costs/cost_of_energy_efficient_refrigerators.html</t>
  </si>
  <si>
    <t>Per 100 SF</t>
  </si>
  <si>
    <t>rate at $70/per labor hour, assume 1.5. hours work, reference: https://www.fixr.com/costs/thermostat-installation</t>
  </si>
  <si>
    <t>Pennsylvania Public Utility Commission 2013 Incremental Cost Database, $3 per linear foot, assume 6 ft</t>
  </si>
  <si>
    <t>Per 6 LF</t>
  </si>
  <si>
    <t>rate at $81.88/per labor hour, assume 2 hours work, reference: https://www.homewyse.com/costs/cost_of_drawer_dishwashers.html</t>
  </si>
  <si>
    <t>rate at $82.96/per labor hour, assume 2 hour work, reference: https://www.homewyse.com/costs/cost_of_convection_ovens.html</t>
  </si>
  <si>
    <t>rate at $83.43/per labor hour, assume 2.1 hours work, reference: https://www.homewyse.com/costs/cost_of_induction_cooktops.html</t>
  </si>
  <si>
    <t>Per 21 SF</t>
  </si>
  <si>
    <t>rate at $81.36/per labor hour, assume 2.4 hours work, reference: https://www.homewyse.com/costs/cost_of_storm_doors.html</t>
  </si>
  <si>
    <t>rate at $0.4058/sq.ft, reference: https://www.homewyse.com/costs/cost_of_wall_insulation.html</t>
  </si>
  <si>
    <t>rate at $53.61/per labor hour and 0.01 hr/sq.ft, referenrce: https://www.homewyse.com/costs/cost_of_wall_insulation.html</t>
  </si>
  <si>
    <t>rate at $0.73/sq.ft, assume 2208(area)/1.4(nfloors) =1577 sq.ft, reference: https://www.homewyse.com/costs/cost_of_floor_insulation.html</t>
  </si>
  <si>
    <t>rate at $0.73/sq.ft, assume 1310 sq.ft, reference: https://www.homewyse.com/costs/cost_of_floor_insulation.html</t>
  </si>
  <si>
    <t>rate at $0.73/sq.ft, assume 1382 sq.ft, reference: https://www.homewyse.com/costs/cost_of_floor_insulation.html</t>
  </si>
  <si>
    <t>rate at $53.92/per labor hour and 0.012 hr/sq.ft, referenrce: https://www.homewyse.com/costs/cost_of_floor_insulation.html</t>
  </si>
  <si>
    <t>rate at $0.094/sq.ft, based on reference: https://www.fixr.com/costs/air-leaks-sealing#sQ1</t>
  </si>
  <si>
    <t>rate at $85.08/per labor hour, assume 14.8 hour work, reference: https://www.homewyse.com/costs/cost_of_heat_pump_systems.html</t>
  </si>
  <si>
    <t>Per 3 Ton</t>
  </si>
  <si>
    <t>Per 2 Ton</t>
  </si>
  <si>
    <t>14 SEER split system heat pump, rate at $707.1/ton, reference: https://www.theacoutlet.com/rp1536aj1na-rh1p3617stanja-3-ton-14-seer-rheem-ruud-heat-pump-system.html</t>
  </si>
  <si>
    <t>rate at $1268.58/ton, reference: https://www.nationalairwarehouse.com/3-ton-goodman-18-seer-r-410a-two-stage-variable-speed-vertical-heat-pump-split-system.html</t>
  </si>
  <si>
    <t>rate at $550.67/ton, reference: https://www.theacoutlet.com/gsx16s361-capf4860d6-3-ton-14-seer-goodman-air-condenser-and-coil.html</t>
  </si>
  <si>
    <t>Per Ton</t>
  </si>
  <si>
    <t>rate at $69.22/per labor hour, assume 3.8 hours work, reference: https://www.homewyse.com/costs/cost_of_room_air_conditioners.html</t>
  </si>
  <si>
    <t>Per Hp</t>
  </si>
  <si>
    <t>http://www.inyopools.com/Products/00100018074612.htm?gclid=EAIaIQobChMInIa73oLy2wIVhb9kCh3f9wcGEAQYCCABEgLWHfD_BwE</t>
  </si>
  <si>
    <t>Estimate at $150 Per unit, reference: https://www.improvenet.com/r/costs-and-prices/pool-pump-replacement</t>
  </si>
  <si>
    <t>Per 50-gallon</t>
  </si>
  <si>
    <t>rate at $69.60/ per labor hour and $0.0349 hr/sq.ft, reference: https://www.homewyse.com/costs/cost_of_composition_shingle_roofing.html</t>
  </si>
  <si>
    <t>Per Visit</t>
  </si>
  <si>
    <t>https://www.homedepot.com/p/Everbilt-Dielectric-Nipple-Heat-Trap-15009/205680991</t>
  </si>
  <si>
    <t>https://www.homedepot.com/p/Whirlpool-7-4-cu-ft-240-Volt-Stackable-White-Heat-Pump-Ventless-Dryer-with-Advanced-Moisture-Sensing-ENERGY-STAR-WED7990FW/206921459</t>
  </si>
  <si>
    <t>https://www.homedepot.com/p/RCA-50-Pint-Dehumidifier-RDH505/205361045</t>
  </si>
  <si>
    <t>https://www.homedepot.com/p/Keystone-Energy-Star-50-Pint-Dehumidifier-with-Electronic-Controls-in-White-KSTAD50B/205167137</t>
  </si>
  <si>
    <t>NEEP Incremental Cost Recommendations 2017 - average of refrigerator types (https://neep.org/sites/default/files/resources/Incremental_Cost_Recommendations_Non_Lighting_050917.xlsx)</t>
  </si>
  <si>
    <t>https://www.homewyse.com/services/cost_to_replace_pool_heater.html</t>
  </si>
  <si>
    <t>https://www.honeywellstore.com/store/products/honeywell-programmable-thermostat-rth6360d.htm</t>
  </si>
  <si>
    <t>https://www.conservationmart.com/p-49-hot-water-temperature-card.aspx</t>
  </si>
  <si>
    <t>https://www.hgtv.com/remodel/mechanical-systems/the-perks-of-solar-powered-attic-fans</t>
  </si>
  <si>
    <t>http://thinkevolve.com/shop/showerstart-tsv/</t>
  </si>
  <si>
    <t xml:space="preserve">Table 9.3, average of product classes for Tier 2 (2017) standard: http://www.energy.ca.gov/appliances/2013rulemaking/documents/proposals/12-AAER-2A_Consumer_Electronics/California_IOUs_Standards_Proposal_Computers_UPDATED_2013-08-06_TN-71813.pdf </t>
  </si>
  <si>
    <t>reference source included incremental cost only</t>
  </si>
  <si>
    <t>Average of 3 lowest cost 55" Energy Star units, bestbuy.com</t>
  </si>
  <si>
    <t>Average of 3 lowest cost 55" non-Energy Star units, bestbuy.com</t>
  </si>
  <si>
    <t>Market Research, 2018, bestbuy.com</t>
  </si>
  <si>
    <t>Market Research, 2018, bestbuy.com (lowest cost units were all EnergyStar certified so no incremental cost difference)</t>
  </si>
  <si>
    <t>ENERGY STAR Appliance Calculator, 2016 (no incremental cost)</t>
  </si>
  <si>
    <t>NEEP Incremental Cost Recommendations 2017 - average of clothes washer types (https://neep.org/sites/default/files/resources/Incremental_Cost_Recommendations_Non_Lighting_050917.xlsx)</t>
  </si>
  <si>
    <t>https://www.bestbuy.com/site/ge-15-7-cu-ft-chest-freezer-white/6256018.p?skuId=6256018</t>
  </si>
  <si>
    <t>Average of 4 lowest-cost non-convection electric wall ovens, bestbuy.com</t>
  </si>
  <si>
    <t>Average of 4 lowest-cost convection electric wall ovens, bestbuy.com</t>
  </si>
  <si>
    <t>Average of 4 lowest cost 30" induction cooktops: http://www.homedepot.com/b/Appliances-Cooking-Cooktops-Induction-Cooktops/Induction/N-5yc1vZc5lxZbwo5oZ1z13b4c?NCNI-5</t>
  </si>
  <si>
    <t>Average of 4 lowest cost 30" radiant electric cooktops: https://www.homedepot.com/b/Appliances-Cooktops/30-in/Radiant/N-5yc1vZc3oqZ1z0klrhZ1z103g6?Ns=P_REP_PRC_MODE%7C0</t>
  </si>
  <si>
    <t>Cost for 10.5 inches open cell, installed along roofline: https://www.finehomebuilding.com/2012/01/24/buyers-guide-to-insulation-spray-foam</t>
  </si>
  <si>
    <t>https://www.homeadvisor.com/cost/foundations/install-crawl-space-encapsulation/</t>
  </si>
  <si>
    <t>included in total incremental equipment cost, per reference</t>
  </si>
  <si>
    <t>https://www.homeadvisor.com/cost/insulation/#reflect</t>
  </si>
  <si>
    <t>assume 2208(area)/1.4(nfloors) =1577 sq.ft, reference: https://www.homeadvisor.com/cost/insulation/#reflect</t>
  </si>
  <si>
    <t>assume 1310 sq.ft, reference: https://www.homeadvisor.com/cost/insulation/#reflect</t>
  </si>
  <si>
    <t>assume 1382 sq.ft, reference: https://www.homeadvisor.com/cost/insulation/#reflect</t>
  </si>
  <si>
    <t>https://www.homeadvisor.com/cost/insulation/#reflect (assumed low end of range)</t>
  </si>
  <si>
    <t>Incremental Cost</t>
  </si>
  <si>
    <t>rate at $1506.67/ton, reference: https://iwae.com/shop/3-ton-22-3-eer-2-stage-climatemaster-tranquility-22-geothermal-heat-pump-vertical-package-unit-ha16163.html</t>
  </si>
  <si>
    <t xml:space="preserve">rate at $1506.67/ton, reference: https://iwae.com/shop/3-ton-22-3-eer-2-stage-climatemaster-tranquility-22-geothermal-heat-pump-vertical-package-unit-ha16163.html </t>
  </si>
  <si>
    <t>reference source did not distinguish material and labor costs</t>
  </si>
  <si>
    <t>https://www.homedepot.com/p/Air-King-Advantage-70-CFM-Ceiling-Bathroom-Exhaust-Fan-AS70/203258499</t>
  </si>
  <si>
    <t>https://www.homedepot.com/p/Air-King-High-Performance-70-CFM-Ceiling-Exhaust-Bath-Fan-ENERGY-STAR-BFQ75/203163614</t>
  </si>
  <si>
    <t>rate at $73.28, assume 1 hour work for replacement, reference: https://www.homewyse.com/costs/cost_of_bathroom_exhaust_fans.html</t>
  </si>
  <si>
    <t>http://www.inyopools.com/Products/44400018081134.htm</t>
  </si>
  <si>
    <t>1hp pump with solar panels and mounting brackets: http://www.naturalcurrent.com/sunray-solflo-1-solar-powered-pool-pump/</t>
  </si>
  <si>
    <t>included in total equipment cost, per reference</t>
  </si>
  <si>
    <t>NEEP Incremental Cost Recommendations 2017 - average of with and w/o louvered sides (https://neep.org/sites/default/files/resources/Incremental_Cost_Recommendations_Non_Lighting_050917.xlsx)</t>
  </si>
  <si>
    <t>https://www.homedepot.com/p/EcoSmart-60-Watt-Equivalent-A19-Dimmable-Eco-Incandescent-Light-Bulb-Soft-White-4-Pack-52602/204848841</t>
  </si>
  <si>
    <t>https://www.homedepot.com/p/EcoSmart-60-Watt-Equivalent-A19-Dimmable-Energy-Star-LED-Light-Bulb-Soft-White-4-Pack-B7A19A60WESD14/303574540</t>
  </si>
  <si>
    <t>https://www.1000bulbs.com/product/1644/FC15-FER3015W27.html</t>
  </si>
  <si>
    <t>https://www.homedepot.com/p/Cree-65W-Equivalent-Soft-White-2700K-BR30-Dimmable-Exceptional-Light-Quality-LED-Light-Bulb-2-Pack-TBR30-06527FLFH25-12DE26-1-12/304006396</t>
  </si>
  <si>
    <t>Per Control</t>
  </si>
  <si>
    <t>https://www.homedepot.com/p/EcoSmart-100-Watt-Equivalent-A19-Halogen-Light-Bulb-4-Pack-324442/302639927</t>
  </si>
  <si>
    <t>https://www.homedepot.com/p/EcoSmart-100-Watt-Equivalent-A19-Non-Dimmable-LED-Light-Bulb-Daylight-4-Pack-A7A19A100WUL03/303574633</t>
  </si>
  <si>
    <t>https://www.homedepot.com/p/40-Watt-Double-Life-B10-Blunt-Incandescent-Light-Bulb-4-Pack-10543/303762197</t>
  </si>
  <si>
    <t>https://www.homedepot.com/p/Ecosmart-40-Watt-Equivalent-B11-Dimmable-Energy-Star-Clear-Filament-Vintage-Style-LED-Light-Bulb-Soft-White-3-Pack-FG-03128/303742219</t>
  </si>
  <si>
    <t>Baseline 50-gallon electric water heater: https://www.lowes.com/pd/A-O-Smith-Signature-50-Gallon-Short-6-year-Limited-4500-Watt-Double-Element-Electric-Water-Heater/1000216833</t>
  </si>
  <si>
    <t>Baseline 40-gallon electric water heater, https://www.lowes.com/pd/A-O-Smith-Signature-40-Gallon-Short-6-year-Limited-4500-Watt-Double-Element-Electric-Water-Heater/1000216809</t>
  </si>
  <si>
    <t>Illinois 2018 Statewide TRM, Section 5.4.5</t>
  </si>
  <si>
    <t>Illinois 2018 Statewide TRM, Section 5.4.4</t>
  </si>
  <si>
    <t>https://www.fixr.com/costs/air-leaks-sealing</t>
  </si>
  <si>
    <t>rate at $0.74/sq.ft, reference: https://www.lowes.com/pd/GAF-ROYAL-SOVEREIGN-33-33-sq-ft-Autumn-Brown-3-Tab-Roof-Shingles/50405230</t>
  </si>
  <si>
    <t>assume one energy audit rate at $0.125/sq.ft, rate at $53.75/per labor hour (same as duct insulation) and 0.0016 hr/sq.ft, reference: https://www.fixr.com/costs/air-leaks-sealing#sQ1</t>
  </si>
  <si>
    <t>rate at $81.36/per labor hour (same as Storm Door labor rate), assume 1.8 hours work, reference: https://www.homewyse.com/costs/cost_of_sliding_windows.html</t>
  </si>
  <si>
    <t>rate at $81.36/per labor hour (same as Storm Door labor rate), assume 2.8 hours work, reference: https://www.homewyse.com/costs/cost_of_sliding_windows.html</t>
  </si>
  <si>
    <t>rate at $0.74/sq.ft, reference: https://www.lowes.com/pd/GAF-Royal-Sovereign-33-33-sq-ft-White-Traditional-3-Tab-Roof-Shingles/50405246
Energy Star product reference: https://www.energystar.gov/productfinder/product/certified-roof-products/details/2267793</t>
  </si>
  <si>
    <t>rate at $82.76/per labor hour assume 0.5 hours work, https://www.homewyse.com/services/cost_to_install_lighting_control_system.html</t>
  </si>
  <si>
    <t>https://www.homedepot.com/p/Philips-32-Watt-Equivalent-4-ft-T8-LED-Linear-Light-Bulb-Daylight-5000K-10-Pack-472910/303040479</t>
  </si>
  <si>
    <t>https://www.homedepot.com/p/Philips-32-Watt-4-ft-T8-Alto-Linear-Fluorescent-Light-Bulb-Neutral-3500K-10-Pack-479691/303811578</t>
  </si>
  <si>
    <t>https://www.homedepot.com/p/Philips-28-Watt-4-ft-T8-Alto-Linear-Fluorescent-Light-Bulb-Natural-Light-5000K-30-Pack-281055/204363599</t>
  </si>
  <si>
    <t>Estimate at $150 Per unit for pump, reference: https://www.improvenet.com/r/costs-and-prices/pool-pump-replacement; plus $750 for solar panel installation, reference: https://www.homeadvisor.com/cost/swimming-pools-hot-tubs-and-saunas/install-a-swimming-pool-heater/</t>
  </si>
  <si>
    <t>Mid-Atlantic TRM, v7, 2017, retrofit cost</t>
  </si>
  <si>
    <t>rate at $105/per labor hour (plumber), assume 1 hr of work: http://www.serviskey.net/support/rate-estimator?s4=FL</t>
  </si>
  <si>
    <t>Estimate at $105 per labor hour, assume 6.8 hours work, reference: http://www.serviskey.net/support/rate-estimator?s4=FL; https://www.homewyse.com/costs/cost_of_instant_hot_water_heaters.html (direct fit/replacement)</t>
  </si>
  <si>
    <t>https://www.homedepot.com/p/Intermatic-30-Amp-240-Volt-DPST-Electronic-Water-Heater-Time-Switch-EH40/205878350</t>
  </si>
  <si>
    <t>Electrical hourly rate of 83.34 and assume 1 hr to install: http://www.serviskey.net/support/rate-estimator?s4=FL</t>
  </si>
  <si>
    <t>rate at $50.04/per labor hour and 0.01 hr/sq.ft, reference: https://www.homewyse.com/costs/cost_of_ceiling_insulation.html</t>
  </si>
  <si>
    <t>https://www.homedepot.com/p/Rheem-Performance-Platinum-50-gal-10-Year-Hybrid-High-Efficiency-Smart-Tank-Electric-Water-Heater-XE50T10HD50U1/303419574</t>
  </si>
  <si>
    <t>https://www.remodelingcalculator.org/geothermal-heating-cooling-costs/</t>
  </si>
  <si>
    <t>http://www.inyopools.com/Products/02200018059633.htm</t>
  </si>
  <si>
    <t>https://www.lowes.com/pd/Fanimation-Air-Decor-52-in-Oil-Rubbed-Bronze-Indoor-Ceiling-Fan-ENERGY-STAR/999901839</t>
  </si>
  <si>
    <t>https://www.lowes.com/pd/Harbor-Breeze-Classic-52-in-Brushed-Nickel-Indoor-Ceiling-Fan/3478971</t>
  </si>
  <si>
    <t>https://www.honeywellstore.com/store/products/honeywell-electric-baseboard-heating-digital-non-programmable-thermostat.htm?gclid=EAIaIQobChMIyOb-jaHi2wIVA9RkCh0q8wEmEAYYBCABEgIBU_D_BwE</t>
  </si>
  <si>
    <t>rate at $50.04/per labor hour; assume 10 hrs for 2000 sq ft : http://www.blownininsulationcost.net/calculating-blown-in-insulation-cost/</t>
  </si>
  <si>
    <t>https://www.homedepot.com/p/GreenFiber-All-Borate-Cellulose-Blown-In-Insulation-30-lbs-36-Bags-INS765LD/300584221</t>
  </si>
  <si>
    <t>CMUA TRM, 2017, based on incremental cost for residential reflective window film</t>
  </si>
  <si>
    <t>rate at $69.60/ per labor hour (same rate as baseline), assume 60 hours work for SF</t>
  </si>
  <si>
    <t>rate at $69.60/ per labor hour and 0.0349 hr/sq.ft, reference: https://www.homewyse.com/costs/cost_of_composition_shingle_roofing.html</t>
  </si>
  <si>
    <t>rate at $105/per labor hour (http://www.serviskey.net/support/rate-estimator?s4=FL), assume 5 hours work</t>
  </si>
  <si>
    <t>https://www.homedepot.com/p/EcoSmart-27-kW-4-07-GPM-Smart-Pool-Electric-Pool-Tankless-Water-Heater-Smart-POOL-27/203316222</t>
  </si>
  <si>
    <t>Estimate at $105 per labor hour, assume 8 hours work, reference: http://www.serviskey.net/support/rate-estimator?s4=FL; https://www.homewyse.com/costs/cost_of_instant_hot_water_heaters.html (minor fit change)</t>
  </si>
  <si>
    <t>Estimate at $105 per labor hour, assume 11.1 hours work per WH (assume additional 50% of time for 2nd &amp; 3rd for wiring, breakers, etc), reference: http://www.serviskey.net/support/rate-estimator?s4=FL; https://www.homewyse.com/costs/cost_of_instant_hot_water_heaters.html (major fit/position change)</t>
  </si>
  <si>
    <t>Assume 3 point-of-use water heaters per home.  Reference: https://www.homedepot.com/p/Rheem-Performance-13-kW-Self-Modulating-2-14-GPM-Electric-Tankless-Water-Heater-RETEX-13/300800566 plus valves: https://www.homedepot.com/p/Rheem-Brass-Service-Valves-for-Tankless-Water-Heaters-RTG20220AB/202798884</t>
  </si>
  <si>
    <t>Average installed cost for FPL Pilot Offering</t>
  </si>
  <si>
    <t>rate at $70/per labor hour, assume 2 hours work, reference: https://www.homewyse.com/costs/cost_of_water_heater_blanket.html</t>
  </si>
  <si>
    <t>Illinois 2018 Statewide TRM, Section 5.2.1</t>
  </si>
  <si>
    <t>Average cost for Smart Hub (excluding lighting-only hubs) and hub-connected thermostat: https://neep.org/initiatives/integrated-advanced-efficiency-solutions/home-energy-management-systems#HEMS%20Product%20List</t>
  </si>
  <si>
    <t>Average of three web references: http://solarexpert.com/solar-education/solar-faqs/solar-pool/; https://www.medallionenergy.com/blog/solar-pool-heating-cost/; https://floridasolardesigngroup.com/how-much-does-a-solar-pool-heater-cost/</t>
  </si>
  <si>
    <t>Incremental cost equivalent to estimated window efficiency (U-factor = 0.27) https://www.energystar.gov/sites/default/files/ESWDS-ReviewOfCost_EffectivenessAnalysis.pdf</t>
  </si>
  <si>
    <t>No Additional Labor Cost</t>
  </si>
  <si>
    <t>FPL contractor survey, 2018 - incremental cost for 3 ton, SFD</t>
  </si>
  <si>
    <t>FPL contractor survey, 2018 - incremental cost for MF</t>
  </si>
  <si>
    <t>FPL contractor survey, 2018 - incremental cost for 3 ton, SFD (used 3 ton based on size assumption for savings calcs)</t>
  </si>
  <si>
    <t>FPL contractor survey, 2018 - incremental cost for 3 ton, SFD plus incremental cost of 14 SEER ASHP from base elec resist. Heating measure</t>
  </si>
  <si>
    <t>FPL contractor survey, 2018 - incremental cost for MF plus incremental cost of 14 SEER ASHP from base elec resist. Heating measure</t>
  </si>
  <si>
    <t>FPL contractor survey, 2018 - incremental cost for 3 ton, SFD (used 3 ton based on savings calcs) plus incremental cost of 14 SEER ASHP from base elec resist. Heating measure</t>
  </si>
  <si>
    <t>rate at $85.08/per labor hour, assume 24.7 hour work (major fit/position change), reference: https://www.homewyse.com/costs/cost_of_heat_pump_systems.html</t>
  </si>
  <si>
    <t>rate at $85.08/per labor hour, assume 24.7 hour work (major fit/position change) plus 8 hrs for removal of existing ducts, patching drywall, etc., reference: https://www.homewyse.com/costs/cost_of_heat_pump_systems.html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</si>
</sst>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4" xfId="0" applyFill="1" applyBorder="1"/>
    <xf numFmtId="1" fontId="0" fillId="3" borderId="5" xfId="0" quotePrefix="1" applyNumberFormat="1" applyFill="1" applyBorder="1" applyAlignment="1">
      <alignment horizontal="center" vertical="center"/>
    </xf>
    <xf numFmtId="0" fontId="0" fillId="3" borderId="5" xfId="0" applyFill="1" applyBorder="1"/>
    <xf numFmtId="2" fontId="0" fillId="3" borderId="5" xfId="0" applyNumberFormat="1" applyFill="1" applyBorder="1" applyAlignment="1">
      <alignment horizontal="center" vertical="center"/>
    </xf>
    <xf numFmtId="0" fontId="0" fillId="3" borderId="6" xfId="0" applyFill="1" applyBorder="1"/>
    <xf numFmtId="1" fontId="0" fillId="4" borderId="2" xfId="0" quotePrefix="1" applyNumberFormat="1" applyFill="1" applyBorder="1" applyAlignment="1">
      <alignment horizontal="center" vertical="center"/>
    </xf>
    <xf numFmtId="0" fontId="0" fillId="4" borderId="2" xfId="0" applyFill="1" applyBorder="1"/>
    <xf numFmtId="2" fontId="0" fillId="4" borderId="2" xfId="0" applyNumberFormat="1" applyFill="1" applyBorder="1" applyAlignment="1">
      <alignment horizontal="center" vertical="center"/>
    </xf>
    <xf numFmtId="0" fontId="0" fillId="4" borderId="3" xfId="0" applyFill="1" applyBorder="1"/>
    <xf numFmtId="1" fontId="0" fillId="4" borderId="0" xfId="0" quotePrefix="1" applyNumberFormat="1" applyFill="1" applyBorder="1" applyAlignment="1">
      <alignment horizontal="center" vertical="center"/>
    </xf>
    <xf numFmtId="0" fontId="0" fillId="4" borderId="0" xfId="0" applyFill="1" applyBorder="1"/>
    <xf numFmtId="2" fontId="0" fillId="4" borderId="0" xfId="0" applyNumberFormat="1" applyFill="1" applyBorder="1" applyAlignment="1">
      <alignment horizontal="center" vertical="center"/>
    </xf>
    <xf numFmtId="0" fontId="0" fillId="4" borderId="8" xfId="0" applyFill="1" applyBorder="1"/>
    <xf numFmtId="1" fontId="0" fillId="4" borderId="5" xfId="0" quotePrefix="1" applyNumberFormat="1" applyFill="1" applyBorder="1" applyAlignment="1">
      <alignment horizontal="center" vertical="center"/>
    </xf>
    <xf numFmtId="0" fontId="0" fillId="4" borderId="5" xfId="0" applyFill="1" applyBorder="1"/>
    <xf numFmtId="2" fontId="0" fillId="4" borderId="5" xfId="0" applyNumberFormat="1" applyFill="1" applyBorder="1" applyAlignment="1">
      <alignment horizontal="center" vertical="center"/>
    </xf>
    <xf numFmtId="0" fontId="0" fillId="4" borderId="6" xfId="0" applyFill="1" applyBorder="1"/>
    <xf numFmtId="1" fontId="0" fillId="3" borderId="2" xfId="0" quotePrefix="1" applyNumberFormat="1" applyFill="1" applyBorder="1" applyAlignment="1">
      <alignment horizontal="center" vertical="center"/>
    </xf>
    <xf numFmtId="0" fontId="0" fillId="3" borderId="2" xfId="0" applyFill="1" applyBorder="1"/>
    <xf numFmtId="2" fontId="0" fillId="3" borderId="2" xfId="0" applyNumberFormat="1" applyFill="1" applyBorder="1" applyAlignment="1">
      <alignment horizontal="center" vertical="center"/>
    </xf>
    <xf numFmtId="0" fontId="0" fillId="3" borderId="3" xfId="0" applyFill="1" applyBorder="1"/>
    <xf numFmtId="1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/>
    <xf numFmtId="2" fontId="0" fillId="3" borderId="0" xfId="0" applyNumberFormat="1" applyFill="1" applyBorder="1" applyAlignment="1">
      <alignment horizontal="center" vertical="center"/>
    </xf>
    <xf numFmtId="0" fontId="0" fillId="3" borderId="8" xfId="0" applyFill="1" applyBorder="1"/>
    <xf numFmtId="0" fontId="0" fillId="0" borderId="0" xfId="0" applyBorder="1"/>
    <xf numFmtId="2" fontId="0" fillId="0" borderId="0" xfId="0" applyNumberFormat="1" applyFill="1"/>
    <xf numFmtId="0" fontId="4" fillId="5" borderId="0" xfId="0" applyFont="1" applyFill="1"/>
    <xf numFmtId="164" fontId="1" fillId="5" borderId="0" xfId="0" applyNumberFormat="1" applyFont="1" applyFill="1"/>
    <xf numFmtId="164" fontId="5" fillId="0" borderId="0" xfId="0" applyNumberFormat="1" applyFont="1" applyFill="1"/>
    <xf numFmtId="164" fontId="5" fillId="0" borderId="0" xfId="0" applyNumberFormat="1" applyFont="1"/>
    <xf numFmtId="0" fontId="1" fillId="5" borderId="0" xfId="0" applyFont="1" applyFill="1"/>
    <xf numFmtId="0" fontId="5" fillId="0" borderId="0" xfId="0" applyFont="1" applyFill="1"/>
    <xf numFmtId="0" fontId="5" fillId="0" borderId="0" xfId="0" applyFont="1"/>
    <xf numFmtId="2" fontId="0" fillId="0" borderId="0" xfId="0" applyNumberFormat="1"/>
    <xf numFmtId="164" fontId="0" fillId="0" borderId="0" xfId="0" applyNumberFormat="1" applyFill="1"/>
    <xf numFmtId="0" fontId="0" fillId="4" borderId="1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64" fontId="5" fillId="0" borderId="0" xfId="0" applyNumberFormat="1" applyFont="1" applyFill="1" applyAlignment="1"/>
    <xf numFmtId="0" fontId="0" fillId="0" borderId="0" xfId="0" applyFill="1" applyAlignment="1"/>
    <xf numFmtId="0" fontId="0" fillId="0" borderId="0" xfId="0" quotePrefix="1" applyFill="1" applyAlignment="1">
      <alignment horizontal="center" vertical="center"/>
    </xf>
    <xf numFmtId="8" fontId="0" fillId="0" borderId="0" xfId="0" applyNumberFormat="1" applyFill="1"/>
    <xf numFmtId="0" fontId="0" fillId="0" borderId="0" xfId="0" quotePrefix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abSelected="1" zoomScale="80" zoomScaleNormal="80" workbookViewId="0">
      <selection activeCell="I12" sqref="I12"/>
    </sheetView>
  </sheetViews>
  <sheetFormatPr defaultColWidth="8.88671875" defaultRowHeight="14.4" x14ac:dyDescent="0.3"/>
  <cols>
    <col min="1" max="1" width="42.44140625" customWidth="1"/>
    <col min="2" max="2" width="18.109375" style="36" customWidth="1"/>
    <col min="3" max="3" width="13.88671875" style="39" bestFit="1" customWidth="1"/>
    <col min="4" max="4" width="14.6640625" customWidth="1"/>
    <col min="5" max="5" width="28.5546875" customWidth="1"/>
    <col min="6" max="6" width="11.5546875" customWidth="1"/>
    <col min="7" max="7" width="19" customWidth="1"/>
    <col min="8" max="8" width="16" customWidth="1"/>
    <col min="9" max="9" width="41.109375" customWidth="1"/>
    <col min="10" max="10" width="16.44140625" customWidth="1"/>
    <col min="11" max="11" width="49.88671875" customWidth="1"/>
    <col min="12" max="12" width="12" customWidth="1"/>
    <col min="13" max="13" width="21.44140625" bestFit="1" customWidth="1"/>
    <col min="14" max="14" width="6.88671875" style="1" customWidth="1"/>
    <col min="15" max="15" width="12.33203125" style="1" customWidth="1"/>
    <col min="16" max="16384" width="8.88671875" style="1"/>
  </cols>
  <sheetData>
    <row r="1" spans="1:16" customFormat="1" x14ac:dyDescent="0.3">
      <c r="A1" s="33" t="s">
        <v>0</v>
      </c>
      <c r="B1" s="34" t="s">
        <v>252</v>
      </c>
      <c r="C1" s="37" t="s">
        <v>114</v>
      </c>
      <c r="D1" s="33" t="s">
        <v>110</v>
      </c>
      <c r="E1" s="33" t="s">
        <v>1</v>
      </c>
      <c r="F1" s="33" t="s">
        <v>111</v>
      </c>
      <c r="G1" s="33" t="s">
        <v>1</v>
      </c>
      <c r="H1" s="33" t="s">
        <v>112</v>
      </c>
      <c r="I1" s="33" t="s">
        <v>1</v>
      </c>
      <c r="J1" s="33" t="s">
        <v>113</v>
      </c>
      <c r="K1" s="33" t="s">
        <v>1</v>
      </c>
      <c r="L1" s="33" t="s">
        <v>174</v>
      </c>
      <c r="M1" s="33" t="s">
        <v>175</v>
      </c>
      <c r="P1" s="1"/>
    </row>
    <row r="2" spans="1:16" x14ac:dyDescent="0.3">
      <c r="A2" s="1" t="s">
        <v>5</v>
      </c>
      <c r="B2" s="48">
        <f t="shared" ref="B2:B34" si="0">(H2+J2)-(D2+F2)</f>
        <v>1025</v>
      </c>
      <c r="C2" s="38" t="s">
        <v>116</v>
      </c>
      <c r="D2" s="32">
        <v>0</v>
      </c>
      <c r="E2" s="1" t="s">
        <v>118</v>
      </c>
      <c r="F2" s="32">
        <v>0</v>
      </c>
      <c r="G2" s="1" t="s">
        <v>117</v>
      </c>
      <c r="H2" s="32">
        <v>500</v>
      </c>
      <c r="I2" s="1" t="s">
        <v>6</v>
      </c>
      <c r="J2" s="32">
        <f>105*5</f>
        <v>525</v>
      </c>
      <c r="K2" s="49" t="s">
        <v>304</v>
      </c>
      <c r="L2" s="1" t="s">
        <v>176</v>
      </c>
      <c r="M2" s="50" t="s">
        <v>186</v>
      </c>
    </row>
    <row r="3" spans="1:16" x14ac:dyDescent="0.3">
      <c r="A3" s="1" t="s">
        <v>5</v>
      </c>
      <c r="B3" s="48">
        <f t="shared" si="0"/>
        <v>815</v>
      </c>
      <c r="C3" s="38" t="s">
        <v>116</v>
      </c>
      <c r="D3" s="32">
        <v>0</v>
      </c>
      <c r="E3" s="1" t="s">
        <v>118</v>
      </c>
      <c r="F3" s="32">
        <v>0</v>
      </c>
      <c r="G3" s="1" t="s">
        <v>117</v>
      </c>
      <c r="H3" s="32">
        <v>500</v>
      </c>
      <c r="I3" s="1" t="s">
        <v>6</v>
      </c>
      <c r="J3" s="32">
        <f>105*3</f>
        <v>315</v>
      </c>
      <c r="K3" s="49" t="s">
        <v>304</v>
      </c>
      <c r="L3" s="1" t="s">
        <v>177</v>
      </c>
      <c r="M3" s="50" t="s">
        <v>186</v>
      </c>
    </row>
    <row r="4" spans="1:16" x14ac:dyDescent="0.3">
      <c r="A4" s="1" t="s">
        <v>7</v>
      </c>
      <c r="B4" s="48">
        <f t="shared" si="0"/>
        <v>1515.9757142857143</v>
      </c>
      <c r="C4" s="38" t="s">
        <v>178</v>
      </c>
      <c r="D4" s="32">
        <v>0</v>
      </c>
      <c r="E4" s="1" t="s">
        <v>118</v>
      </c>
      <c r="F4" s="32">
        <v>0</v>
      </c>
      <c r="G4" s="1" t="s">
        <v>117</v>
      </c>
      <c r="H4" s="32">
        <f>0.37*1577</f>
        <v>583.49</v>
      </c>
      <c r="I4" s="1" t="s">
        <v>180</v>
      </c>
      <c r="J4" s="32">
        <f>53.75*0.011*2208/1.4</f>
        <v>932.48571428571415</v>
      </c>
      <c r="K4" s="49" t="s">
        <v>183</v>
      </c>
      <c r="L4" s="50" t="s">
        <v>186</v>
      </c>
      <c r="M4" s="1" t="s">
        <v>179</v>
      </c>
    </row>
    <row r="5" spans="1:16" x14ac:dyDescent="0.3">
      <c r="A5" s="1" t="s">
        <v>7</v>
      </c>
      <c r="B5" s="48">
        <f t="shared" si="0"/>
        <v>1259.2375</v>
      </c>
      <c r="C5" s="38" t="s">
        <v>178</v>
      </c>
      <c r="D5" s="32">
        <v>0</v>
      </c>
      <c r="E5" s="1" t="s">
        <v>118</v>
      </c>
      <c r="F5" s="32">
        <v>0</v>
      </c>
      <c r="G5" s="1" t="s">
        <v>117</v>
      </c>
      <c r="H5" s="32">
        <f>0.37*1310</f>
        <v>484.7</v>
      </c>
      <c r="I5" s="1" t="s">
        <v>181</v>
      </c>
      <c r="J5" s="32">
        <f>53.75*0.011*1310</f>
        <v>774.53749999999991</v>
      </c>
      <c r="K5" s="49" t="s">
        <v>183</v>
      </c>
      <c r="L5" s="50" t="s">
        <v>186</v>
      </c>
      <c r="M5" s="1" t="s">
        <v>184</v>
      </c>
    </row>
    <row r="6" spans="1:16" x14ac:dyDescent="0.3">
      <c r="A6" s="1" t="s">
        <v>7</v>
      </c>
      <c r="B6" s="48">
        <f t="shared" si="0"/>
        <v>1328.4475</v>
      </c>
      <c r="C6" s="38" t="s">
        <v>178</v>
      </c>
      <c r="D6" s="32">
        <v>0</v>
      </c>
      <c r="E6" s="1" t="s">
        <v>118</v>
      </c>
      <c r="F6" s="32">
        <v>0</v>
      </c>
      <c r="G6" s="1" t="s">
        <v>117</v>
      </c>
      <c r="H6" s="32">
        <f>0.37*1382</f>
        <v>511.34</v>
      </c>
      <c r="I6" s="1" t="s">
        <v>182</v>
      </c>
      <c r="J6" s="32">
        <f>53.75*0.011*1382</f>
        <v>817.10749999999996</v>
      </c>
      <c r="K6" s="49" t="s">
        <v>183</v>
      </c>
      <c r="L6" s="50" t="s">
        <v>186</v>
      </c>
      <c r="M6" s="1" t="s">
        <v>185</v>
      </c>
    </row>
    <row r="7" spans="1:16" x14ac:dyDescent="0.3">
      <c r="A7" s="1" t="s">
        <v>8</v>
      </c>
      <c r="B7" s="35">
        <f t="shared" si="0"/>
        <v>0</v>
      </c>
      <c r="C7" s="38" t="s">
        <v>116</v>
      </c>
      <c r="D7" s="32">
        <v>0</v>
      </c>
      <c r="E7" s="1" t="s">
        <v>232</v>
      </c>
      <c r="F7" s="32">
        <v>0</v>
      </c>
      <c r="G7" s="1" t="s">
        <v>117</v>
      </c>
      <c r="H7" s="32">
        <v>0</v>
      </c>
      <c r="I7" s="1" t="s">
        <v>237</v>
      </c>
      <c r="J7" s="32">
        <v>0</v>
      </c>
      <c r="K7" s="1" t="s">
        <v>117</v>
      </c>
      <c r="L7" s="50" t="s">
        <v>186</v>
      </c>
      <c r="M7" s="50" t="s">
        <v>186</v>
      </c>
    </row>
    <row r="8" spans="1:16" x14ac:dyDescent="0.3">
      <c r="A8" s="1" t="s">
        <v>9</v>
      </c>
      <c r="B8" s="35">
        <f t="shared" si="0"/>
        <v>45</v>
      </c>
      <c r="C8" s="38" t="s">
        <v>116</v>
      </c>
      <c r="D8" s="32">
        <v>49.98</v>
      </c>
      <c r="E8" s="1" t="s">
        <v>297</v>
      </c>
      <c r="F8" s="32">
        <f>73.28*1</f>
        <v>73.28</v>
      </c>
      <c r="G8" s="1" t="s">
        <v>258</v>
      </c>
      <c r="H8" s="32">
        <v>94.98</v>
      </c>
      <c r="I8" s="1" t="s">
        <v>296</v>
      </c>
      <c r="J8" s="32">
        <f>73.28*1</f>
        <v>73.28</v>
      </c>
      <c r="K8" s="1" t="s">
        <v>258</v>
      </c>
      <c r="L8" s="50" t="s">
        <v>186</v>
      </c>
      <c r="M8" s="50" t="s">
        <v>186</v>
      </c>
    </row>
    <row r="9" spans="1:16" x14ac:dyDescent="0.3">
      <c r="A9" s="1" t="s">
        <v>10</v>
      </c>
      <c r="B9" s="35">
        <f t="shared" si="0"/>
        <v>249</v>
      </c>
      <c r="C9" s="38" t="s">
        <v>116</v>
      </c>
      <c r="D9" s="32">
        <v>549</v>
      </c>
      <c r="E9" s="1" t="s">
        <v>11</v>
      </c>
      <c r="F9" s="32">
        <f>81.88*2</f>
        <v>163.76</v>
      </c>
      <c r="G9" s="1" t="s">
        <v>187</v>
      </c>
      <c r="H9" s="32">
        <v>798</v>
      </c>
      <c r="I9" s="1" t="s">
        <v>188</v>
      </c>
      <c r="J9" s="32">
        <f>81.88*2</f>
        <v>163.76</v>
      </c>
      <c r="K9" s="1" t="s">
        <v>187</v>
      </c>
      <c r="L9" s="50" t="s">
        <v>186</v>
      </c>
      <c r="M9" s="50" t="s">
        <v>186</v>
      </c>
    </row>
    <row r="10" spans="1:16" x14ac:dyDescent="0.3">
      <c r="A10" s="1" t="s">
        <v>30</v>
      </c>
      <c r="B10" s="35">
        <f t="shared" si="0"/>
        <v>850</v>
      </c>
      <c r="C10" s="38" t="s">
        <v>116</v>
      </c>
      <c r="D10" s="32">
        <v>549</v>
      </c>
      <c r="E10" s="1" t="s">
        <v>11</v>
      </c>
      <c r="F10" s="32">
        <f>81.88*2</f>
        <v>163.76</v>
      </c>
      <c r="G10" s="1" t="s">
        <v>187</v>
      </c>
      <c r="H10" s="32">
        <v>1399</v>
      </c>
      <c r="I10" s="1" t="s">
        <v>222</v>
      </c>
      <c r="J10" s="32">
        <f>81.88*2</f>
        <v>163.76</v>
      </c>
      <c r="K10" s="1" t="s">
        <v>187</v>
      </c>
      <c r="L10" s="50" t="s">
        <v>186</v>
      </c>
      <c r="M10" s="50" t="s">
        <v>186</v>
      </c>
    </row>
    <row r="11" spans="1:16" x14ac:dyDescent="0.3">
      <c r="A11" s="1" t="s">
        <v>12</v>
      </c>
      <c r="B11" s="35">
        <f t="shared" si="0"/>
        <v>58.340000000000032</v>
      </c>
      <c r="C11" s="38" t="s">
        <v>116</v>
      </c>
      <c r="D11" s="32">
        <f>AVERAGE(504.1,722.9,724,976)</f>
        <v>731.75</v>
      </c>
      <c r="E11" s="1" t="s">
        <v>238</v>
      </c>
      <c r="F11" s="32">
        <f>81.88*2</f>
        <v>163.76</v>
      </c>
      <c r="G11" s="1" t="s">
        <v>189</v>
      </c>
      <c r="H11" s="32">
        <v>790.09</v>
      </c>
      <c r="I11" s="1" t="s">
        <v>238</v>
      </c>
      <c r="J11" s="32">
        <f>81.88*2</f>
        <v>163.76</v>
      </c>
      <c r="K11" s="1" t="s">
        <v>189</v>
      </c>
      <c r="L11" s="50" t="s">
        <v>186</v>
      </c>
      <c r="M11" s="50" t="s">
        <v>186</v>
      </c>
    </row>
    <row r="12" spans="1:16" x14ac:dyDescent="0.3">
      <c r="A12" s="1" t="s">
        <v>13</v>
      </c>
      <c r="B12" s="35">
        <f t="shared" si="0"/>
        <v>20</v>
      </c>
      <c r="C12" s="38" t="s">
        <v>116</v>
      </c>
      <c r="D12" s="32">
        <v>159</v>
      </c>
      <c r="E12" s="1" t="s">
        <v>223</v>
      </c>
      <c r="F12" s="32">
        <v>0</v>
      </c>
      <c r="G12" s="1" t="s">
        <v>117</v>
      </c>
      <c r="H12" s="32">
        <v>179</v>
      </c>
      <c r="I12" s="1" t="s">
        <v>224</v>
      </c>
      <c r="J12" s="32">
        <v>0</v>
      </c>
      <c r="K12" s="1" t="s">
        <v>117</v>
      </c>
      <c r="L12" s="50" t="s">
        <v>186</v>
      </c>
      <c r="M12" s="50" t="s">
        <v>186</v>
      </c>
    </row>
    <row r="13" spans="1:16" x14ac:dyDescent="0.3">
      <c r="A13" s="1" t="s">
        <v>14</v>
      </c>
      <c r="B13" s="35">
        <f t="shared" si="0"/>
        <v>278.02</v>
      </c>
      <c r="C13" s="38" t="s">
        <v>116</v>
      </c>
      <c r="D13" s="32">
        <v>299.98</v>
      </c>
      <c r="E13" s="1" t="s">
        <v>15</v>
      </c>
      <c r="F13" s="32">
        <f>81.36*2.8</f>
        <v>227.80799999999999</v>
      </c>
      <c r="G13" s="1" t="s">
        <v>280</v>
      </c>
      <c r="H13" s="32">
        <v>578</v>
      </c>
      <c r="I13" s="1" t="s">
        <v>16</v>
      </c>
      <c r="J13" s="32">
        <f>81.36*2.8</f>
        <v>227.80799999999999</v>
      </c>
      <c r="K13" s="1" t="s">
        <v>280</v>
      </c>
      <c r="L13" s="1" t="s">
        <v>176</v>
      </c>
      <c r="M13" s="50" t="s">
        <v>186</v>
      </c>
    </row>
    <row r="14" spans="1:16" x14ac:dyDescent="0.3">
      <c r="A14" s="1" t="s">
        <v>14</v>
      </c>
      <c r="B14" s="35">
        <f t="shared" si="0"/>
        <v>278.02</v>
      </c>
      <c r="C14" s="38" t="s">
        <v>116</v>
      </c>
      <c r="D14" s="32">
        <v>299.98</v>
      </c>
      <c r="E14" s="1" t="s">
        <v>15</v>
      </c>
      <c r="F14" s="32">
        <f>81.36*1.8</f>
        <v>146.44800000000001</v>
      </c>
      <c r="G14" s="1" t="s">
        <v>279</v>
      </c>
      <c r="H14" s="32">
        <v>578</v>
      </c>
      <c r="I14" s="1" t="s">
        <v>16</v>
      </c>
      <c r="J14" s="32">
        <f>81.36*1.8</f>
        <v>146.44800000000001</v>
      </c>
      <c r="K14" s="1" t="s">
        <v>279</v>
      </c>
      <c r="L14" s="1" t="s">
        <v>177</v>
      </c>
      <c r="M14" s="50" t="s">
        <v>186</v>
      </c>
    </row>
    <row r="15" spans="1:16" x14ac:dyDescent="0.3">
      <c r="A15" s="1" t="s">
        <v>17</v>
      </c>
      <c r="B15" s="35">
        <f t="shared" si="0"/>
        <v>122</v>
      </c>
      <c r="C15" s="38" t="s">
        <v>116</v>
      </c>
      <c r="D15" s="32">
        <v>907</v>
      </c>
      <c r="E15" s="1" t="s">
        <v>225</v>
      </c>
      <c r="F15" s="32">
        <f>83.26*2</f>
        <v>166.52</v>
      </c>
      <c r="G15" s="1" t="s">
        <v>190</v>
      </c>
      <c r="H15" s="32">
        <v>1029</v>
      </c>
      <c r="I15" s="1" t="s">
        <v>225</v>
      </c>
      <c r="J15" s="32">
        <f>83.26*2</f>
        <v>166.52</v>
      </c>
      <c r="K15" s="1" t="s">
        <v>190</v>
      </c>
      <c r="L15" s="50" t="s">
        <v>186</v>
      </c>
      <c r="M15" s="50" t="s">
        <v>186</v>
      </c>
    </row>
    <row r="16" spans="1:16" x14ac:dyDescent="0.3">
      <c r="A16" s="1" t="s">
        <v>18</v>
      </c>
      <c r="B16" s="35">
        <f t="shared" si="0"/>
        <v>360</v>
      </c>
      <c r="C16" s="38" t="s">
        <v>191</v>
      </c>
      <c r="D16" s="32">
        <v>0</v>
      </c>
      <c r="E16" s="1" t="s">
        <v>118</v>
      </c>
      <c r="F16" s="32">
        <v>0</v>
      </c>
      <c r="G16" s="1" t="s">
        <v>117</v>
      </c>
      <c r="H16" s="32">
        <f>54/15*100</f>
        <v>360</v>
      </c>
      <c r="I16" s="1" t="s">
        <v>314</v>
      </c>
      <c r="J16" s="32"/>
      <c r="K16" s="1"/>
      <c r="L16" s="50" t="s">
        <v>176</v>
      </c>
      <c r="M16" s="50" t="s">
        <v>186</v>
      </c>
    </row>
    <row r="17" spans="1:13" x14ac:dyDescent="0.3">
      <c r="A17" s="1" t="s">
        <v>18</v>
      </c>
      <c r="B17" s="35">
        <f t="shared" si="0"/>
        <v>360</v>
      </c>
      <c r="C17" s="38" t="s">
        <v>191</v>
      </c>
      <c r="D17" s="32">
        <v>0</v>
      </c>
      <c r="E17" s="1" t="s">
        <v>118</v>
      </c>
      <c r="F17" s="32">
        <v>0</v>
      </c>
      <c r="G17" s="1" t="s">
        <v>117</v>
      </c>
      <c r="H17" s="32">
        <f>54/15*100</f>
        <v>360</v>
      </c>
      <c r="I17" s="1" t="s">
        <v>314</v>
      </c>
      <c r="J17" s="32"/>
      <c r="K17" s="1"/>
      <c r="L17" s="50" t="s">
        <v>177</v>
      </c>
      <c r="M17" s="50" t="s">
        <v>186</v>
      </c>
    </row>
    <row r="18" spans="1:13" x14ac:dyDescent="0.3">
      <c r="A18" s="1" t="s">
        <v>19</v>
      </c>
      <c r="B18" s="35">
        <f t="shared" si="0"/>
        <v>26072.649451671266</v>
      </c>
      <c r="C18" s="38" t="s">
        <v>178</v>
      </c>
      <c r="D18" s="32">
        <f>24.79/33.33*2208/1.4</f>
        <v>1173.0384467018132</v>
      </c>
      <c r="E18" s="1" t="s">
        <v>277</v>
      </c>
      <c r="F18" s="32">
        <f>69.6*(43.7/1282)*(2208/1.4)</f>
        <v>3741.740673055494</v>
      </c>
      <c r="G18" s="1" t="s">
        <v>303</v>
      </c>
      <c r="H18" s="32">
        <f>17*2208/1.4</f>
        <v>26811.428571428572</v>
      </c>
      <c r="I18" s="1" t="s">
        <v>20</v>
      </c>
      <c r="J18" s="32">
        <f>69.6*60</f>
        <v>4176</v>
      </c>
      <c r="K18" s="1" t="s">
        <v>302</v>
      </c>
      <c r="L18" s="50" t="s">
        <v>186</v>
      </c>
      <c r="M18" s="1" t="s">
        <v>179</v>
      </c>
    </row>
    <row r="19" spans="1:13" x14ac:dyDescent="0.3">
      <c r="A19" s="1" t="s">
        <v>19</v>
      </c>
      <c r="B19" s="35">
        <f t="shared" si="0"/>
        <v>21656.358285491442</v>
      </c>
      <c r="C19" s="38" t="s">
        <v>178</v>
      </c>
      <c r="D19" s="32">
        <f>24.79/33.33*1310</f>
        <v>974.34443444344436</v>
      </c>
      <c r="E19" s="1" t="s">
        <v>277</v>
      </c>
      <c r="F19" s="32">
        <f>69.6*(43.7/1282)*1310</f>
        <v>3107.949453978159</v>
      </c>
      <c r="G19" s="1" t="s">
        <v>219</v>
      </c>
      <c r="H19" s="32">
        <f>17*1310</f>
        <v>22270</v>
      </c>
      <c r="I19" s="1" t="s">
        <v>20</v>
      </c>
      <c r="J19" s="32">
        <f>69.6*60*(1310/(2208/1.4))</f>
        <v>3468.652173913043</v>
      </c>
      <c r="K19" s="1" t="s">
        <v>302</v>
      </c>
      <c r="L19" s="50" t="s">
        <v>186</v>
      </c>
      <c r="M19" s="1" t="s">
        <v>184</v>
      </c>
    </row>
    <row r="20" spans="1:13" x14ac:dyDescent="0.3">
      <c r="A20" s="1" t="s">
        <v>19</v>
      </c>
      <c r="B20" s="35">
        <f t="shared" si="0"/>
        <v>22846.631412632956</v>
      </c>
      <c r="C20" s="38" t="s">
        <v>178</v>
      </c>
      <c r="D20" s="32">
        <f>24.79/33.33*1382</f>
        <v>1027.8961896189619</v>
      </c>
      <c r="E20" s="1" t="s">
        <v>277</v>
      </c>
      <c r="F20" s="32">
        <f>69.6*(43.7/1282)*1382</f>
        <v>3278.7680499219969</v>
      </c>
      <c r="G20" s="1" t="s">
        <v>219</v>
      </c>
      <c r="H20" s="32">
        <f>17*1382</f>
        <v>23494</v>
      </c>
      <c r="I20" s="1" t="s">
        <v>20</v>
      </c>
      <c r="J20" s="32">
        <f>69.6*60*(1382/(2208/1.4))</f>
        <v>3659.2956521739129</v>
      </c>
      <c r="K20" s="1" t="s">
        <v>302</v>
      </c>
      <c r="L20" s="50" t="s">
        <v>186</v>
      </c>
      <c r="M20" s="1" t="s">
        <v>185</v>
      </c>
    </row>
    <row r="21" spans="1:13" x14ac:dyDescent="0.3">
      <c r="A21" s="1" t="s">
        <v>23</v>
      </c>
      <c r="B21" s="35">
        <f t="shared" si="0"/>
        <v>481.26</v>
      </c>
      <c r="C21" s="38" t="s">
        <v>116</v>
      </c>
      <c r="D21" s="32">
        <v>0</v>
      </c>
      <c r="E21" s="1" t="s">
        <v>118</v>
      </c>
      <c r="F21" s="32">
        <v>0</v>
      </c>
      <c r="G21" s="1" t="s">
        <v>117</v>
      </c>
      <c r="H21" s="32">
        <v>376.26</v>
      </c>
      <c r="I21" s="1" t="s">
        <v>312</v>
      </c>
      <c r="J21" s="32">
        <f>70*1.5</f>
        <v>105</v>
      </c>
      <c r="K21" s="1" t="s">
        <v>192</v>
      </c>
      <c r="L21" s="1" t="s">
        <v>186</v>
      </c>
      <c r="M21" s="50" t="s">
        <v>186</v>
      </c>
    </row>
    <row r="22" spans="1:13" x14ac:dyDescent="0.3">
      <c r="A22" s="1" t="s">
        <v>24</v>
      </c>
      <c r="B22" s="35">
        <f t="shared" si="0"/>
        <v>174.99</v>
      </c>
      <c r="C22" s="38" t="s">
        <v>116</v>
      </c>
      <c r="D22" s="32">
        <v>0</v>
      </c>
      <c r="E22" s="1" t="s">
        <v>118</v>
      </c>
      <c r="F22" s="32">
        <v>0</v>
      </c>
      <c r="G22" s="1" t="s">
        <v>117</v>
      </c>
      <c r="H22" s="32">
        <v>69.989999999999995</v>
      </c>
      <c r="I22" s="1" t="s">
        <v>227</v>
      </c>
      <c r="J22" s="32">
        <f>70*1.5</f>
        <v>105</v>
      </c>
      <c r="K22" s="1" t="s">
        <v>192</v>
      </c>
      <c r="L22" s="1" t="s">
        <v>176</v>
      </c>
      <c r="M22" s="50" t="s">
        <v>186</v>
      </c>
    </row>
    <row r="23" spans="1:13" x14ac:dyDescent="0.3">
      <c r="A23" s="1" t="s">
        <v>25</v>
      </c>
      <c r="B23" s="35">
        <f t="shared" si="0"/>
        <v>274</v>
      </c>
      <c r="C23" s="38" t="s">
        <v>116</v>
      </c>
      <c r="D23" s="32">
        <v>0</v>
      </c>
      <c r="E23" s="1" t="s">
        <v>118</v>
      </c>
      <c r="F23" s="32">
        <v>0</v>
      </c>
      <c r="G23" s="1" t="s">
        <v>117</v>
      </c>
      <c r="H23" s="32">
        <v>169</v>
      </c>
      <c r="I23" s="1" t="s">
        <v>26</v>
      </c>
      <c r="J23" s="32">
        <f>70*1.5</f>
        <v>105</v>
      </c>
      <c r="K23" s="1" t="s">
        <v>192</v>
      </c>
      <c r="L23" s="1" t="s">
        <v>176</v>
      </c>
      <c r="M23" s="50" t="s">
        <v>186</v>
      </c>
    </row>
    <row r="24" spans="1:13" x14ac:dyDescent="0.3">
      <c r="A24" s="1" t="s">
        <v>24</v>
      </c>
      <c r="B24" s="35">
        <f t="shared" ref="B24:B25" si="1">(H24+J24)-(D24+F24)</f>
        <v>33</v>
      </c>
      <c r="C24" s="38" t="s">
        <v>116</v>
      </c>
      <c r="D24" s="32">
        <v>36.99</v>
      </c>
      <c r="E24" s="1" t="s">
        <v>298</v>
      </c>
      <c r="F24" s="32">
        <f>70*1.5</f>
        <v>105</v>
      </c>
      <c r="G24" s="1" t="s">
        <v>192</v>
      </c>
      <c r="H24" s="32">
        <v>69.989999999999995</v>
      </c>
      <c r="I24" s="1" t="s">
        <v>227</v>
      </c>
      <c r="J24" s="32">
        <f>70*1.5</f>
        <v>105</v>
      </c>
      <c r="K24" s="1" t="s">
        <v>192</v>
      </c>
      <c r="L24" s="1" t="s">
        <v>177</v>
      </c>
      <c r="M24" s="50" t="s">
        <v>186</v>
      </c>
    </row>
    <row r="25" spans="1:13" x14ac:dyDescent="0.3">
      <c r="A25" s="1" t="s">
        <v>25</v>
      </c>
      <c r="B25" s="35">
        <f t="shared" si="1"/>
        <v>132.01</v>
      </c>
      <c r="C25" s="38" t="s">
        <v>116</v>
      </c>
      <c r="D25" s="32">
        <v>36.99</v>
      </c>
      <c r="E25" s="1" t="s">
        <v>298</v>
      </c>
      <c r="F25" s="32">
        <f>70*1.5</f>
        <v>105</v>
      </c>
      <c r="G25" s="1" t="s">
        <v>192</v>
      </c>
      <c r="H25" s="32">
        <v>169</v>
      </c>
      <c r="I25" s="1" t="s">
        <v>26</v>
      </c>
      <c r="J25" s="32">
        <f>70*1.5</f>
        <v>105</v>
      </c>
      <c r="K25" s="1" t="s">
        <v>192</v>
      </c>
      <c r="L25" s="1" t="s">
        <v>177</v>
      </c>
      <c r="M25" s="50" t="s">
        <v>186</v>
      </c>
    </row>
    <row r="26" spans="1:13" x14ac:dyDescent="0.3">
      <c r="A26" s="1" t="s">
        <v>27</v>
      </c>
      <c r="B26" s="35">
        <f t="shared" si="0"/>
        <v>575</v>
      </c>
      <c r="C26" s="38" t="s">
        <v>116</v>
      </c>
      <c r="D26" s="32">
        <v>0</v>
      </c>
      <c r="E26" s="1" t="s">
        <v>118</v>
      </c>
      <c r="F26" s="32">
        <v>0</v>
      </c>
      <c r="G26" s="1" t="s">
        <v>117</v>
      </c>
      <c r="H26" s="32">
        <v>450</v>
      </c>
      <c r="I26" s="1" t="s">
        <v>229</v>
      </c>
      <c r="J26" s="32">
        <v>125</v>
      </c>
      <c r="K26" s="1" t="s">
        <v>229</v>
      </c>
      <c r="L26" s="50" t="s">
        <v>186</v>
      </c>
      <c r="M26" s="50" t="s">
        <v>186</v>
      </c>
    </row>
    <row r="27" spans="1:13" x14ac:dyDescent="0.3">
      <c r="A27" s="1" t="s">
        <v>28</v>
      </c>
      <c r="B27" s="35">
        <f t="shared" si="0"/>
        <v>29.95</v>
      </c>
      <c r="C27" s="38" t="s">
        <v>116</v>
      </c>
      <c r="D27" s="32">
        <v>0</v>
      </c>
      <c r="E27" s="1" t="s">
        <v>118</v>
      </c>
      <c r="F27" s="32">
        <v>0</v>
      </c>
      <c r="G27" s="1" t="s">
        <v>117</v>
      </c>
      <c r="H27" s="32">
        <v>29.95</v>
      </c>
      <c r="I27" s="1" t="s">
        <v>230</v>
      </c>
      <c r="J27" s="32">
        <v>0</v>
      </c>
      <c r="K27" s="1" t="s">
        <v>117</v>
      </c>
      <c r="L27" s="50" t="s">
        <v>186</v>
      </c>
      <c r="M27" s="50" t="s">
        <v>186</v>
      </c>
    </row>
    <row r="28" spans="1:13" x14ac:dyDescent="0.3">
      <c r="A28" s="1" t="s">
        <v>29</v>
      </c>
      <c r="B28" s="35">
        <f t="shared" si="0"/>
        <v>1.65</v>
      </c>
      <c r="C28" s="38" t="s">
        <v>116</v>
      </c>
      <c r="D28" s="32">
        <v>0</v>
      </c>
      <c r="E28" s="1" t="s">
        <v>118</v>
      </c>
      <c r="F28" s="32">
        <v>0</v>
      </c>
      <c r="G28" s="1" t="s">
        <v>117</v>
      </c>
      <c r="H28" s="32">
        <v>1.65</v>
      </c>
      <c r="I28" s="1" t="s">
        <v>228</v>
      </c>
      <c r="J28" s="32">
        <v>0</v>
      </c>
      <c r="K28" s="1" t="s">
        <v>117</v>
      </c>
      <c r="L28" s="50" t="s">
        <v>186</v>
      </c>
      <c r="M28" s="50" t="s">
        <v>186</v>
      </c>
    </row>
    <row r="29" spans="1:13" x14ac:dyDescent="0.3">
      <c r="A29" s="1" t="s">
        <v>31</v>
      </c>
      <c r="B29" s="35">
        <f t="shared" si="0"/>
        <v>18</v>
      </c>
      <c r="C29" s="38" t="s">
        <v>194</v>
      </c>
      <c r="D29" s="32">
        <v>0</v>
      </c>
      <c r="E29" s="1" t="s">
        <v>118</v>
      </c>
      <c r="F29" s="32">
        <v>0</v>
      </c>
      <c r="G29" s="1" t="s">
        <v>117</v>
      </c>
      <c r="H29" s="32">
        <f>3*6</f>
        <v>18</v>
      </c>
      <c r="I29" s="1" t="s">
        <v>193</v>
      </c>
      <c r="J29" s="32">
        <v>0</v>
      </c>
      <c r="K29" s="1" t="s">
        <v>117</v>
      </c>
      <c r="L29" s="50" t="s">
        <v>186</v>
      </c>
      <c r="M29" s="50" t="s">
        <v>186</v>
      </c>
    </row>
    <row r="30" spans="1:13" x14ac:dyDescent="0.3">
      <c r="A30" s="1" t="s">
        <v>32</v>
      </c>
      <c r="B30" s="35">
        <f t="shared" si="0"/>
        <v>10</v>
      </c>
      <c r="C30" s="38" t="s">
        <v>116</v>
      </c>
      <c r="D30" s="32">
        <v>0</v>
      </c>
      <c r="E30" s="1" t="s">
        <v>232</v>
      </c>
      <c r="F30" s="32"/>
      <c r="G30" s="1"/>
      <c r="H30" s="32">
        <v>10</v>
      </c>
      <c r="I30" s="1" t="s">
        <v>311</v>
      </c>
      <c r="J30" s="32">
        <v>0</v>
      </c>
      <c r="K30" s="1" t="s">
        <v>117</v>
      </c>
      <c r="L30" s="50" t="s">
        <v>186</v>
      </c>
      <c r="M30" s="50" t="s">
        <v>186</v>
      </c>
    </row>
    <row r="31" spans="1:13" x14ac:dyDescent="0.3">
      <c r="A31" s="1" t="s">
        <v>33</v>
      </c>
      <c r="B31" s="35">
        <f t="shared" si="0"/>
        <v>29.75</v>
      </c>
      <c r="C31" s="38" t="s">
        <v>116</v>
      </c>
      <c r="D31" s="32">
        <v>0</v>
      </c>
      <c r="E31" s="1" t="s">
        <v>232</v>
      </c>
      <c r="F31" s="32">
        <v>0</v>
      </c>
      <c r="G31" s="1" t="s">
        <v>117</v>
      </c>
      <c r="H31" s="32">
        <f>AVERAGE(48,45,5,21)</f>
        <v>29.75</v>
      </c>
      <c r="I31" s="1" t="s">
        <v>231</v>
      </c>
      <c r="J31" s="32">
        <v>0</v>
      </c>
      <c r="K31" s="1" t="s">
        <v>117</v>
      </c>
      <c r="L31" s="50" t="s">
        <v>186</v>
      </c>
      <c r="M31" s="50" t="s">
        <v>186</v>
      </c>
    </row>
    <row r="32" spans="1:13" x14ac:dyDescent="0.3">
      <c r="A32" s="1" t="s">
        <v>34</v>
      </c>
      <c r="B32" s="35">
        <f t="shared" si="0"/>
        <v>93.333333333333314</v>
      </c>
      <c r="C32" s="38" t="s">
        <v>116</v>
      </c>
      <c r="D32" s="32">
        <f>AVERAGE(350,400,450)</f>
        <v>400</v>
      </c>
      <c r="E32" s="1" t="s">
        <v>234</v>
      </c>
      <c r="F32" s="32">
        <v>0</v>
      </c>
      <c r="G32" s="1" t="s">
        <v>117</v>
      </c>
      <c r="H32" s="32">
        <f>AVERAGE(450,500,530)</f>
        <v>493.33333333333331</v>
      </c>
      <c r="I32" s="1" t="s">
        <v>233</v>
      </c>
      <c r="J32" s="32">
        <v>0</v>
      </c>
      <c r="K32" s="1" t="s">
        <v>117</v>
      </c>
      <c r="L32" s="50" t="s">
        <v>186</v>
      </c>
      <c r="M32" s="50" t="s">
        <v>186</v>
      </c>
    </row>
    <row r="33" spans="1:13" x14ac:dyDescent="0.3">
      <c r="A33" s="1" t="s">
        <v>35</v>
      </c>
      <c r="B33" s="35">
        <f t="shared" si="0"/>
        <v>0</v>
      </c>
      <c r="C33" s="38" t="s">
        <v>116</v>
      </c>
      <c r="D33" s="32">
        <v>49.99</v>
      </c>
      <c r="E33" s="1" t="s">
        <v>235</v>
      </c>
      <c r="F33" s="32">
        <v>0</v>
      </c>
      <c r="G33" s="1" t="s">
        <v>117</v>
      </c>
      <c r="H33" s="32">
        <v>49.99</v>
      </c>
      <c r="I33" s="1" t="s">
        <v>236</v>
      </c>
      <c r="J33" s="32">
        <v>0</v>
      </c>
      <c r="K33" s="1" t="s">
        <v>117</v>
      </c>
      <c r="L33" s="50" t="s">
        <v>186</v>
      </c>
      <c r="M33" s="50" t="s">
        <v>186</v>
      </c>
    </row>
    <row r="34" spans="1:13" x14ac:dyDescent="0.3">
      <c r="A34" s="1" t="s">
        <v>36</v>
      </c>
      <c r="B34" s="35">
        <f t="shared" si="0"/>
        <v>50</v>
      </c>
      <c r="C34" s="38" t="s">
        <v>116</v>
      </c>
      <c r="D34" s="32">
        <v>0</v>
      </c>
      <c r="E34" s="1" t="s">
        <v>118</v>
      </c>
      <c r="F34" s="32">
        <v>0</v>
      </c>
      <c r="G34" s="1" t="s">
        <v>117</v>
      </c>
      <c r="H34" s="32">
        <v>0</v>
      </c>
      <c r="I34" s="1" t="s">
        <v>118</v>
      </c>
      <c r="J34" s="32">
        <v>50</v>
      </c>
      <c r="K34" s="1" t="s">
        <v>37</v>
      </c>
      <c r="L34" s="50" t="s">
        <v>186</v>
      </c>
      <c r="M34" s="50" t="s">
        <v>186</v>
      </c>
    </row>
    <row r="35" spans="1:13" x14ac:dyDescent="0.3">
      <c r="A35" s="1" t="s">
        <v>38</v>
      </c>
      <c r="B35" s="35">
        <f t="shared" ref="B35:B66" si="2">(H35+J35)-(D35+F35)</f>
        <v>0</v>
      </c>
      <c r="C35" s="38" t="s">
        <v>116</v>
      </c>
      <c r="D35" s="32">
        <v>0</v>
      </c>
      <c r="E35" s="1" t="s">
        <v>232</v>
      </c>
      <c r="F35" s="32">
        <f>81.88*2</f>
        <v>163.76</v>
      </c>
      <c r="G35" s="1" t="s">
        <v>195</v>
      </c>
      <c r="H35" s="32">
        <v>0</v>
      </c>
      <c r="I35" s="1" t="s">
        <v>237</v>
      </c>
      <c r="J35" s="32">
        <f>81.88*2</f>
        <v>163.76</v>
      </c>
      <c r="K35" s="1" t="s">
        <v>195</v>
      </c>
      <c r="L35" s="50" t="s">
        <v>186</v>
      </c>
      <c r="M35" s="50" t="s">
        <v>186</v>
      </c>
    </row>
    <row r="36" spans="1:13" x14ac:dyDescent="0.3">
      <c r="A36" s="1" t="s">
        <v>39</v>
      </c>
      <c r="B36" s="35">
        <f t="shared" si="2"/>
        <v>90</v>
      </c>
      <c r="C36" s="38" t="s">
        <v>116</v>
      </c>
      <c r="D36" s="32">
        <v>494.99</v>
      </c>
      <c r="E36" s="1" t="s">
        <v>239</v>
      </c>
      <c r="F36" s="32">
        <f>83.26*2</f>
        <v>166.52</v>
      </c>
      <c r="G36" s="1" t="s">
        <v>190</v>
      </c>
      <c r="H36" s="32">
        <v>584.99</v>
      </c>
      <c r="I36" s="1" t="s">
        <v>239</v>
      </c>
      <c r="J36" s="32">
        <f>83.26*2</f>
        <v>166.52</v>
      </c>
      <c r="K36" s="1" t="s">
        <v>190</v>
      </c>
      <c r="L36" s="50" t="s">
        <v>186</v>
      </c>
      <c r="M36" s="50" t="s">
        <v>186</v>
      </c>
    </row>
    <row r="37" spans="1:13" x14ac:dyDescent="0.3">
      <c r="A37" s="1" t="s">
        <v>40</v>
      </c>
      <c r="B37" s="35">
        <f t="shared" si="2"/>
        <v>652.5</v>
      </c>
      <c r="C37" s="38" t="s">
        <v>116</v>
      </c>
      <c r="D37" s="32">
        <f>AVERAGE(765,1260,1170,900)</f>
        <v>1023.75</v>
      </c>
      <c r="E37" s="1" t="s">
        <v>240</v>
      </c>
      <c r="F37" s="32">
        <f>82.96*2</f>
        <v>165.92</v>
      </c>
      <c r="G37" s="1" t="s">
        <v>196</v>
      </c>
      <c r="H37" s="32">
        <f>AVERAGE(1710,1395,1800,1800)</f>
        <v>1676.25</v>
      </c>
      <c r="I37" s="1" t="s">
        <v>241</v>
      </c>
      <c r="J37" s="32">
        <f>82.96*2</f>
        <v>165.92</v>
      </c>
      <c r="K37" s="1" t="s">
        <v>196</v>
      </c>
      <c r="L37" s="50" t="s">
        <v>186</v>
      </c>
      <c r="M37" s="50" t="s">
        <v>186</v>
      </c>
    </row>
    <row r="38" spans="1:13" x14ac:dyDescent="0.3">
      <c r="A38" s="1" t="s">
        <v>41</v>
      </c>
      <c r="B38" s="35">
        <f t="shared" si="2"/>
        <v>226.5</v>
      </c>
      <c r="C38" s="38" t="s">
        <v>116</v>
      </c>
      <c r="D38" s="32">
        <f>AVERAGE(600,549,495,599)</f>
        <v>560.75</v>
      </c>
      <c r="E38" s="1" t="s">
        <v>243</v>
      </c>
      <c r="F38" s="32">
        <f>83.43*2.1</f>
        <v>175.20300000000003</v>
      </c>
      <c r="G38" s="1" t="s">
        <v>197</v>
      </c>
      <c r="H38" s="32">
        <f>AVERAGE(700,700,899,850)</f>
        <v>787.25</v>
      </c>
      <c r="I38" s="1" t="s">
        <v>242</v>
      </c>
      <c r="J38" s="32">
        <f>83.43*2.1</f>
        <v>175.20300000000003</v>
      </c>
      <c r="K38" s="1" t="s">
        <v>197</v>
      </c>
      <c r="L38" s="50" t="s">
        <v>186</v>
      </c>
      <c r="M38" s="50" t="s">
        <v>186</v>
      </c>
    </row>
    <row r="39" spans="1:13" x14ac:dyDescent="0.3">
      <c r="A39" s="1" t="s">
        <v>42</v>
      </c>
      <c r="B39" s="35">
        <f t="shared" si="2"/>
        <v>134.83999999999997</v>
      </c>
      <c r="C39" s="38" t="s">
        <v>116</v>
      </c>
      <c r="D39" s="32">
        <v>299.99</v>
      </c>
      <c r="E39" s="1" t="s">
        <v>43</v>
      </c>
      <c r="F39" s="32">
        <v>0</v>
      </c>
      <c r="G39" s="1" t="s">
        <v>117</v>
      </c>
      <c r="H39" s="32">
        <v>434.83</v>
      </c>
      <c r="I39" s="1" t="s">
        <v>44</v>
      </c>
      <c r="J39" s="32">
        <v>0</v>
      </c>
      <c r="K39" s="1" t="s">
        <v>117</v>
      </c>
      <c r="L39" s="50" t="s">
        <v>186</v>
      </c>
      <c r="M39" s="50" t="s">
        <v>186</v>
      </c>
    </row>
    <row r="40" spans="1:13" x14ac:dyDescent="0.3">
      <c r="A40" s="1" t="s">
        <v>45</v>
      </c>
      <c r="B40" s="35">
        <f t="shared" si="2"/>
        <v>329.04177777777772</v>
      </c>
      <c r="C40" s="38" t="s">
        <v>198</v>
      </c>
      <c r="D40" s="32">
        <v>0</v>
      </c>
      <c r="E40" s="1" t="s">
        <v>118</v>
      </c>
      <c r="F40" s="32">
        <v>0</v>
      </c>
      <c r="G40" s="1" t="s">
        <v>117</v>
      </c>
      <c r="H40" s="32">
        <f>129/(36*81/144)*21</f>
        <v>133.77777777777777</v>
      </c>
      <c r="I40" s="1" t="s">
        <v>46</v>
      </c>
      <c r="J40" s="32">
        <f>81.36*2.4</f>
        <v>195.26399999999998</v>
      </c>
      <c r="K40" s="1" t="s">
        <v>199</v>
      </c>
      <c r="L40" s="50" t="s">
        <v>186</v>
      </c>
      <c r="M40" s="50" t="s">
        <v>186</v>
      </c>
    </row>
    <row r="41" spans="1:13" x14ac:dyDescent="0.3">
      <c r="A41" s="1" t="s">
        <v>47</v>
      </c>
      <c r="B41" s="35">
        <f t="shared" si="2"/>
        <v>1014.0862556390978</v>
      </c>
      <c r="C41" s="38" t="s">
        <v>178</v>
      </c>
      <c r="D41" s="32">
        <v>0</v>
      </c>
      <c r="E41" s="1" t="s">
        <v>118</v>
      </c>
      <c r="F41" s="32">
        <v>0</v>
      </c>
      <c r="G41" s="1" t="s">
        <v>117</v>
      </c>
      <c r="H41" s="32">
        <f>2208/1.4*447.78/36/(60*19/36)</f>
        <v>619.48511278195485</v>
      </c>
      <c r="I41" s="1" t="s">
        <v>300</v>
      </c>
      <c r="J41" s="32">
        <f>50.04*10/2000*(2208/1.4)</f>
        <v>394.60114285714286</v>
      </c>
      <c r="K41" s="1" t="s">
        <v>299</v>
      </c>
      <c r="L41" s="50" t="s">
        <v>186</v>
      </c>
      <c r="M41" s="1" t="s">
        <v>179</v>
      </c>
    </row>
    <row r="42" spans="1:13" x14ac:dyDescent="0.3">
      <c r="A42" s="1" t="s">
        <v>47</v>
      </c>
      <c r="B42" s="35">
        <f t="shared" si="2"/>
        <v>842.31621052631567</v>
      </c>
      <c r="C42" s="38" t="s">
        <v>178</v>
      </c>
      <c r="D42" s="32">
        <v>0</v>
      </c>
      <c r="E42" s="1" t="s">
        <v>118</v>
      </c>
      <c r="F42" s="32">
        <v>0</v>
      </c>
      <c r="G42" s="1" t="s">
        <v>117</v>
      </c>
      <c r="H42" s="32">
        <f>1310*447.78/36/(60*19/36)</f>
        <v>514.55421052631573</v>
      </c>
      <c r="I42" s="1" t="s">
        <v>300</v>
      </c>
      <c r="J42" s="32">
        <f>50.04*10/2000*1310</f>
        <v>327.76199999999994</v>
      </c>
      <c r="K42" s="1" t="s">
        <v>292</v>
      </c>
      <c r="L42" s="50" t="s">
        <v>186</v>
      </c>
      <c r="M42" s="1" t="s">
        <v>184</v>
      </c>
    </row>
    <row r="43" spans="1:13" x14ac:dyDescent="0.3">
      <c r="A43" s="1" t="s">
        <v>47</v>
      </c>
      <c r="B43" s="35">
        <f t="shared" si="2"/>
        <v>888.6114526315788</v>
      </c>
      <c r="C43" s="38" t="s">
        <v>178</v>
      </c>
      <c r="D43" s="32">
        <v>0</v>
      </c>
      <c r="E43" s="1" t="s">
        <v>118</v>
      </c>
      <c r="F43" s="32">
        <v>0</v>
      </c>
      <c r="G43" s="1" t="s">
        <v>117</v>
      </c>
      <c r="H43" s="32">
        <f>1382*447.78/36/(60*19/36)</f>
        <v>542.83505263157883</v>
      </c>
      <c r="I43" s="1" t="s">
        <v>300</v>
      </c>
      <c r="J43" s="32">
        <f>50.04*10/2000*1382</f>
        <v>345.77639999999997</v>
      </c>
      <c r="K43" s="1" t="s">
        <v>292</v>
      </c>
      <c r="L43" s="50" t="s">
        <v>186</v>
      </c>
      <c r="M43" s="1" t="s">
        <v>185</v>
      </c>
    </row>
    <row r="44" spans="1:13" x14ac:dyDescent="0.3">
      <c r="A44" s="1" t="s">
        <v>108</v>
      </c>
      <c r="B44" s="35">
        <f t="shared" si="2"/>
        <v>842.00705764411032</v>
      </c>
      <c r="C44" s="38" t="s">
        <v>178</v>
      </c>
      <c r="D44" s="32">
        <v>0</v>
      </c>
      <c r="E44" s="1" t="s">
        <v>118</v>
      </c>
      <c r="F44" s="32">
        <v>0</v>
      </c>
      <c r="G44" s="1" t="s">
        <v>117</v>
      </c>
      <c r="H44" s="32">
        <f>2208/1.4*447.78/36/(60*19/26)</f>
        <v>447.4059147869674</v>
      </c>
      <c r="I44" s="1" t="s">
        <v>300</v>
      </c>
      <c r="J44" s="32">
        <f>50.04*10/2000*(2208/1.4)</f>
        <v>394.60114285714286</v>
      </c>
      <c r="K44" s="1" t="s">
        <v>292</v>
      </c>
      <c r="L44" s="50" t="s">
        <v>186</v>
      </c>
      <c r="M44" s="1" t="s">
        <v>179</v>
      </c>
    </row>
    <row r="45" spans="1:13" x14ac:dyDescent="0.3">
      <c r="A45" s="1" t="s">
        <v>108</v>
      </c>
      <c r="B45" s="35">
        <f t="shared" si="2"/>
        <v>699.38448538011687</v>
      </c>
      <c r="C45" s="38" t="s">
        <v>178</v>
      </c>
      <c r="D45" s="32">
        <v>0</v>
      </c>
      <c r="E45" s="1" t="s">
        <v>118</v>
      </c>
      <c r="F45" s="32">
        <v>0</v>
      </c>
      <c r="G45" s="1" t="s">
        <v>117</v>
      </c>
      <c r="H45" s="32">
        <f>1310*447.78/36/(60*19/26)</f>
        <v>371.62248538011693</v>
      </c>
      <c r="I45" s="1" t="s">
        <v>300</v>
      </c>
      <c r="J45" s="32">
        <f>50.04*10/2000*1310</f>
        <v>327.76199999999994</v>
      </c>
      <c r="K45" s="1" t="s">
        <v>292</v>
      </c>
      <c r="L45" s="50" t="s">
        <v>186</v>
      </c>
      <c r="M45" s="1" t="s">
        <v>184</v>
      </c>
    </row>
    <row r="46" spans="1:13" x14ac:dyDescent="0.3">
      <c r="A46" s="1" t="s">
        <v>108</v>
      </c>
      <c r="B46" s="35">
        <f t="shared" si="2"/>
        <v>737.82393801169587</v>
      </c>
      <c r="C46" s="38" t="s">
        <v>178</v>
      </c>
      <c r="D46" s="32">
        <v>0</v>
      </c>
      <c r="E46" s="1" t="s">
        <v>118</v>
      </c>
      <c r="F46" s="32">
        <v>0</v>
      </c>
      <c r="G46" s="1" t="s">
        <v>117</v>
      </c>
      <c r="H46" s="32">
        <f>1382*447.78/36/(60*19/26)</f>
        <v>392.04753801169585</v>
      </c>
      <c r="I46" s="1" t="s">
        <v>300</v>
      </c>
      <c r="J46" s="32">
        <f>50.04*10/2000*1382</f>
        <v>345.77639999999997</v>
      </c>
      <c r="K46" s="1" t="s">
        <v>292</v>
      </c>
      <c r="L46" s="50" t="s">
        <v>186</v>
      </c>
      <c r="M46" s="1" t="s">
        <v>185</v>
      </c>
    </row>
    <row r="47" spans="1:13" x14ac:dyDescent="0.3">
      <c r="A47" s="1" t="s">
        <v>48</v>
      </c>
      <c r="B47" s="35">
        <f t="shared" si="2"/>
        <v>721.55161904761906</v>
      </c>
      <c r="C47" s="38" t="s">
        <v>178</v>
      </c>
      <c r="D47" s="32">
        <v>0</v>
      </c>
      <c r="E47" s="1" t="s">
        <v>118</v>
      </c>
      <c r="F47" s="32">
        <v>0</v>
      </c>
      <c r="G47" s="1" t="s">
        <v>117</v>
      </c>
      <c r="H47" s="32">
        <f>2208/1.4*447.78/36/(60*19/19)</f>
        <v>326.95047619047619</v>
      </c>
      <c r="I47" s="1" t="s">
        <v>300</v>
      </c>
      <c r="J47" s="32">
        <f>50.04*10/2000*(2208/1.4)</f>
        <v>394.60114285714286</v>
      </c>
      <c r="K47" s="1" t="s">
        <v>292</v>
      </c>
      <c r="L47" s="50" t="s">
        <v>186</v>
      </c>
      <c r="M47" s="1" t="s">
        <v>179</v>
      </c>
    </row>
    <row r="48" spans="1:13" x14ac:dyDescent="0.3">
      <c r="A48" s="1" t="s">
        <v>48</v>
      </c>
      <c r="B48" s="35">
        <f t="shared" si="2"/>
        <v>599.33227777777768</v>
      </c>
      <c r="C48" s="38" t="s">
        <v>178</v>
      </c>
      <c r="D48" s="32">
        <v>0</v>
      </c>
      <c r="E48" s="1" t="s">
        <v>118</v>
      </c>
      <c r="F48" s="32">
        <v>0</v>
      </c>
      <c r="G48" s="1" t="s">
        <v>117</v>
      </c>
      <c r="H48" s="32">
        <f>1310*447.78/36/(60*19/19)</f>
        <v>271.57027777777773</v>
      </c>
      <c r="I48" s="1" t="s">
        <v>300</v>
      </c>
      <c r="J48" s="32">
        <f>50.04*10/2000*1310</f>
        <v>327.76199999999994</v>
      </c>
      <c r="K48" s="1" t="s">
        <v>292</v>
      </c>
      <c r="L48" s="50" t="s">
        <v>186</v>
      </c>
      <c r="M48" s="1" t="s">
        <v>184</v>
      </c>
    </row>
    <row r="49" spans="1:13" x14ac:dyDescent="0.3">
      <c r="A49" s="1" t="s">
        <v>48</v>
      </c>
      <c r="B49" s="35">
        <f t="shared" si="2"/>
        <v>632.27267777777774</v>
      </c>
      <c r="C49" s="38" t="s">
        <v>178</v>
      </c>
      <c r="D49" s="32">
        <v>0</v>
      </c>
      <c r="E49" s="1" t="s">
        <v>118</v>
      </c>
      <c r="F49" s="32">
        <v>0</v>
      </c>
      <c r="G49" s="1" t="s">
        <v>117</v>
      </c>
      <c r="H49" s="32">
        <f>1382*447.78/36/(60*19/19)</f>
        <v>286.49627777777772</v>
      </c>
      <c r="I49" s="1" t="s">
        <v>300</v>
      </c>
      <c r="J49" s="32">
        <f>50.04*10/2000*1382</f>
        <v>345.77639999999997</v>
      </c>
      <c r="K49" s="1" t="s">
        <v>292</v>
      </c>
      <c r="L49" s="50" t="s">
        <v>186</v>
      </c>
      <c r="M49" s="1" t="s">
        <v>185</v>
      </c>
    </row>
    <row r="50" spans="1:13" x14ac:dyDescent="0.3">
      <c r="A50" s="1" t="s">
        <v>49</v>
      </c>
      <c r="B50" s="35">
        <f t="shared" si="2"/>
        <v>532.26450125313283</v>
      </c>
      <c r="C50" s="38" t="s">
        <v>178</v>
      </c>
      <c r="D50" s="32">
        <v>0</v>
      </c>
      <c r="E50" s="1" t="s">
        <v>118</v>
      </c>
      <c r="F50" s="32">
        <v>0</v>
      </c>
      <c r="G50" s="1" t="s">
        <v>117</v>
      </c>
      <c r="H50" s="32">
        <f>2208/1.4*447.78/36/(60*19/8)</f>
        <v>137.66335839598997</v>
      </c>
      <c r="I50" s="1" t="s">
        <v>300</v>
      </c>
      <c r="J50" s="32">
        <f>50.04*10/2000*(2208/1.4)</f>
        <v>394.60114285714286</v>
      </c>
      <c r="K50" s="1" t="s">
        <v>292</v>
      </c>
      <c r="L50" s="50" t="s">
        <v>186</v>
      </c>
      <c r="M50" s="1" t="s">
        <v>179</v>
      </c>
    </row>
    <row r="51" spans="1:13" x14ac:dyDescent="0.3">
      <c r="A51" s="1" t="s">
        <v>49</v>
      </c>
      <c r="B51" s="35">
        <f t="shared" si="2"/>
        <v>442.10738011695901</v>
      </c>
      <c r="C51" s="38" t="s">
        <v>178</v>
      </c>
      <c r="D51" s="32">
        <v>0</v>
      </c>
      <c r="E51" s="1" t="s">
        <v>118</v>
      </c>
      <c r="F51" s="32">
        <v>0</v>
      </c>
      <c r="G51" s="1" t="s">
        <v>117</v>
      </c>
      <c r="H51" s="32">
        <f>1310*447.78/36/(60*19/8)</f>
        <v>114.34538011695905</v>
      </c>
      <c r="I51" s="1" t="s">
        <v>300</v>
      </c>
      <c r="J51" s="32">
        <f>50.04*10/2000*1310</f>
        <v>327.76199999999994</v>
      </c>
      <c r="K51" s="1" t="s">
        <v>292</v>
      </c>
      <c r="L51" s="50" t="s">
        <v>186</v>
      </c>
      <c r="M51" s="1" t="s">
        <v>184</v>
      </c>
    </row>
    <row r="52" spans="1:13" x14ac:dyDescent="0.3">
      <c r="A52" s="1" t="s">
        <v>49</v>
      </c>
      <c r="B52" s="35">
        <f t="shared" si="2"/>
        <v>466.4064116959064</v>
      </c>
      <c r="C52" s="38" t="s">
        <v>178</v>
      </c>
      <c r="D52" s="32">
        <v>0</v>
      </c>
      <c r="E52" s="1" t="s">
        <v>118</v>
      </c>
      <c r="F52" s="32">
        <v>0</v>
      </c>
      <c r="G52" s="1" t="s">
        <v>117</v>
      </c>
      <c r="H52" s="32">
        <f>1382*447.78/36/(60*19/8)</f>
        <v>120.63001169590642</v>
      </c>
      <c r="I52" s="1" t="s">
        <v>300</v>
      </c>
      <c r="J52" s="32">
        <f>50.04*10/2000*1382</f>
        <v>345.77639999999997</v>
      </c>
      <c r="K52" s="1" t="s">
        <v>292</v>
      </c>
      <c r="L52" s="50" t="s">
        <v>186</v>
      </c>
      <c r="M52" s="1" t="s">
        <v>185</v>
      </c>
    </row>
    <row r="53" spans="1:13" x14ac:dyDescent="0.3">
      <c r="A53" s="1" t="s">
        <v>50</v>
      </c>
      <c r="B53" s="35">
        <f t="shared" si="2"/>
        <v>1886.2620201733803</v>
      </c>
      <c r="C53" s="38" t="s">
        <v>178</v>
      </c>
      <c r="D53" s="32">
        <v>0</v>
      </c>
      <c r="E53" s="1" t="s">
        <v>118</v>
      </c>
      <c r="F53" s="32">
        <v>0</v>
      </c>
      <c r="G53" s="1" t="s">
        <v>117</v>
      </c>
      <c r="H53" s="32">
        <f>(0.4058*SQRT(2208/1.4)*9*4)*1.4</f>
        <v>812.22825987189583</v>
      </c>
      <c r="I53" s="1" t="s">
        <v>200</v>
      </c>
      <c r="J53" s="32">
        <f>(53.61*(10.7/1069)*SQRT(2208/1.4)*9*4)*1.4</f>
        <v>1074.0337603014843</v>
      </c>
      <c r="K53" s="1" t="s">
        <v>201</v>
      </c>
      <c r="L53" s="50" t="s">
        <v>186</v>
      </c>
      <c r="M53" s="1" t="s">
        <v>179</v>
      </c>
    </row>
    <row r="54" spans="1:13" x14ac:dyDescent="0.3">
      <c r="A54" s="1" t="s">
        <v>50</v>
      </c>
      <c r="B54" s="35">
        <f t="shared" si="2"/>
        <v>1227.9314303541532</v>
      </c>
      <c r="C54" s="38" t="s">
        <v>178</v>
      </c>
      <c r="D54" s="32">
        <v>0</v>
      </c>
      <c r="E54" s="1" t="s">
        <v>118</v>
      </c>
      <c r="F54" s="32">
        <v>0</v>
      </c>
      <c r="G54" s="1" t="s">
        <v>117</v>
      </c>
      <c r="H54" s="32">
        <f>0.4058*SQRT(1310)*9*4</f>
        <v>528.7497697837797</v>
      </c>
      <c r="I54" s="1" t="s">
        <v>200</v>
      </c>
      <c r="J54" s="32">
        <f>53.61*(10.7/1069)*SQRT(1310)*9*4</f>
        <v>699.18166057037342</v>
      </c>
      <c r="K54" s="1" t="s">
        <v>201</v>
      </c>
      <c r="L54" s="50" t="s">
        <v>186</v>
      </c>
      <c r="M54" s="1" t="s">
        <v>184</v>
      </c>
    </row>
    <row r="55" spans="1:13" x14ac:dyDescent="0.3">
      <c r="A55" s="1" t="s">
        <v>50</v>
      </c>
      <c r="B55" s="35">
        <f t="shared" si="2"/>
        <v>1261.2247639928355</v>
      </c>
      <c r="C55" s="38" t="s">
        <v>178</v>
      </c>
      <c r="D55" s="32">
        <v>0</v>
      </c>
      <c r="E55" s="1" t="s">
        <v>118</v>
      </c>
      <c r="F55" s="32">
        <v>0</v>
      </c>
      <c r="G55" s="1" t="s">
        <v>117</v>
      </c>
      <c r="H55" s="32">
        <f>0.4058*SQRT(1382)*9*4</f>
        <v>543.08594692008</v>
      </c>
      <c r="I55" s="1" t="s">
        <v>200</v>
      </c>
      <c r="J55" s="32">
        <f>53.61*(10.7/1069)*SQRT(1382)*9*4</f>
        <v>718.13881707275539</v>
      </c>
      <c r="K55" s="1" t="s">
        <v>201</v>
      </c>
      <c r="L55" s="50" t="s">
        <v>186</v>
      </c>
      <c r="M55" s="1" t="s">
        <v>185</v>
      </c>
    </row>
    <row r="56" spans="1:13" x14ac:dyDescent="0.3">
      <c r="A56" s="1" t="s">
        <v>51</v>
      </c>
      <c r="B56" s="35">
        <f t="shared" si="2"/>
        <v>5500</v>
      </c>
      <c r="C56" s="38" t="s">
        <v>178</v>
      </c>
      <c r="D56" s="32">
        <v>0</v>
      </c>
      <c r="E56" s="1" t="s">
        <v>118</v>
      </c>
      <c r="F56" s="32">
        <v>0</v>
      </c>
      <c r="G56" s="1" t="s">
        <v>117</v>
      </c>
      <c r="H56" s="32">
        <v>5500</v>
      </c>
      <c r="I56" s="1" t="s">
        <v>245</v>
      </c>
      <c r="J56" s="32">
        <v>0</v>
      </c>
      <c r="K56" s="1" t="s">
        <v>246</v>
      </c>
      <c r="L56" s="50" t="s">
        <v>186</v>
      </c>
      <c r="M56" s="1" t="s">
        <v>179</v>
      </c>
    </row>
    <row r="57" spans="1:13" x14ac:dyDescent="0.3">
      <c r="A57" s="1" t="s">
        <v>51</v>
      </c>
      <c r="B57" s="35">
        <f t="shared" si="2"/>
        <v>4568.38768115942</v>
      </c>
      <c r="C57" s="38" t="s">
        <v>178</v>
      </c>
      <c r="D57" s="32">
        <v>0</v>
      </c>
      <c r="E57" s="1" t="s">
        <v>118</v>
      </c>
      <c r="F57" s="32">
        <v>0</v>
      </c>
      <c r="G57" s="1" t="s">
        <v>117</v>
      </c>
      <c r="H57" s="32">
        <f>5500*1310/(2208/1.4)</f>
        <v>4568.38768115942</v>
      </c>
      <c r="I57" s="1" t="s">
        <v>245</v>
      </c>
      <c r="J57" s="32">
        <v>0</v>
      </c>
      <c r="K57" s="1" t="s">
        <v>246</v>
      </c>
      <c r="L57" s="50" t="s">
        <v>186</v>
      </c>
      <c r="M57" s="1" t="s">
        <v>184</v>
      </c>
    </row>
    <row r="58" spans="1:13" x14ac:dyDescent="0.3">
      <c r="A58" s="1" t="s">
        <v>51</v>
      </c>
      <c r="B58" s="35">
        <f t="shared" si="2"/>
        <v>4819.474637681159</v>
      </c>
      <c r="C58" s="38" t="s">
        <v>178</v>
      </c>
      <c r="D58" s="32">
        <v>0</v>
      </c>
      <c r="E58" s="1" t="s">
        <v>118</v>
      </c>
      <c r="F58" s="32">
        <v>0</v>
      </c>
      <c r="G58" s="1" t="s">
        <v>117</v>
      </c>
      <c r="H58" s="32">
        <f>5500*1382/(2208/1.4)</f>
        <v>4819.474637681159</v>
      </c>
      <c r="I58" s="1" t="s">
        <v>245</v>
      </c>
      <c r="J58" s="32">
        <v>0</v>
      </c>
      <c r="K58" s="1" t="s">
        <v>246</v>
      </c>
      <c r="L58" s="50" t="s">
        <v>186</v>
      </c>
      <c r="M58" s="1" t="s">
        <v>185</v>
      </c>
    </row>
    <row r="59" spans="1:13" x14ac:dyDescent="0.3">
      <c r="A59" s="1" t="s">
        <v>52</v>
      </c>
      <c r="B59" s="35">
        <f t="shared" si="2"/>
        <v>2201.3816063076306</v>
      </c>
      <c r="C59" s="38" t="s">
        <v>178</v>
      </c>
      <c r="D59" s="32">
        <v>0</v>
      </c>
      <c r="E59" s="1" t="s">
        <v>118</v>
      </c>
      <c r="F59" s="32">
        <v>0</v>
      </c>
      <c r="G59" s="1" t="s">
        <v>117</v>
      </c>
      <c r="H59" s="32">
        <f>0.73*2208/1.4</f>
        <v>1151.3142857142857</v>
      </c>
      <c r="I59" s="1" t="s">
        <v>202</v>
      </c>
      <c r="J59" s="32">
        <f>53.92*(13.2/1069)*(2208/1.4)</f>
        <v>1050.0673205933449</v>
      </c>
      <c r="K59" s="1" t="s">
        <v>205</v>
      </c>
      <c r="L59" s="50" t="s">
        <v>186</v>
      </c>
      <c r="M59" s="1" t="s">
        <v>179</v>
      </c>
    </row>
    <row r="60" spans="1:13" x14ac:dyDescent="0.3">
      <c r="A60" s="1" t="s">
        <v>52</v>
      </c>
      <c r="B60" s="35">
        <f t="shared" si="2"/>
        <v>1828.5026566884937</v>
      </c>
      <c r="C60" s="38" t="s">
        <v>178</v>
      </c>
      <c r="D60" s="32">
        <v>0</v>
      </c>
      <c r="E60" s="1" t="s">
        <v>118</v>
      </c>
      <c r="F60" s="32">
        <v>0</v>
      </c>
      <c r="G60" s="1" t="s">
        <v>117</v>
      </c>
      <c r="H60" s="32">
        <f>0.73*1310</f>
        <v>956.3</v>
      </c>
      <c r="I60" s="1" t="s">
        <v>203</v>
      </c>
      <c r="J60" s="32">
        <f>53.92*(13.2/1069)*1310</f>
        <v>872.20265668849379</v>
      </c>
      <c r="K60" s="1" t="s">
        <v>205</v>
      </c>
      <c r="L60" s="50" t="s">
        <v>186</v>
      </c>
      <c r="M60" s="1" t="s">
        <v>184</v>
      </c>
    </row>
    <row r="61" spans="1:13" x14ac:dyDescent="0.3">
      <c r="A61" s="1" t="s">
        <v>52</v>
      </c>
      <c r="B61" s="35">
        <f t="shared" si="2"/>
        <v>1929.0005126286246</v>
      </c>
      <c r="C61" s="38" t="s">
        <v>178</v>
      </c>
      <c r="D61" s="32">
        <v>0</v>
      </c>
      <c r="E61" s="1" t="s">
        <v>118</v>
      </c>
      <c r="F61" s="32">
        <v>0</v>
      </c>
      <c r="G61" s="1" t="s">
        <v>117</v>
      </c>
      <c r="H61" s="32">
        <f>0.73*1382</f>
        <v>1008.86</v>
      </c>
      <c r="I61" s="1" t="s">
        <v>204</v>
      </c>
      <c r="J61" s="32">
        <f>53.92*(13.2/1069)*1382</f>
        <v>920.14051262862472</v>
      </c>
      <c r="K61" s="1" t="s">
        <v>205</v>
      </c>
      <c r="L61" s="50" t="s">
        <v>186</v>
      </c>
      <c r="M61" s="1" t="s">
        <v>185</v>
      </c>
    </row>
    <row r="62" spans="1:13" x14ac:dyDescent="0.3">
      <c r="A62" s="1" t="s">
        <v>53</v>
      </c>
      <c r="B62" s="35">
        <f t="shared" si="2"/>
        <v>1413.5714285714287</v>
      </c>
      <c r="C62" s="38" t="s">
        <v>178</v>
      </c>
      <c r="D62" s="32">
        <v>0</v>
      </c>
      <c r="E62" s="1" t="s">
        <v>118</v>
      </c>
      <c r="F62" s="32">
        <v>0</v>
      </c>
      <c r="G62" s="1" t="s">
        <v>117</v>
      </c>
      <c r="H62" s="32">
        <f>AVERAGE(175,325)/500*(2208/1.4)</f>
        <v>788.57142857142867</v>
      </c>
      <c r="I62" s="1" t="s">
        <v>248</v>
      </c>
      <c r="J62" s="32">
        <f>625</f>
        <v>625</v>
      </c>
      <c r="K62" s="1" t="s">
        <v>247</v>
      </c>
      <c r="L62" s="50" t="s">
        <v>186</v>
      </c>
      <c r="M62" s="1" t="s">
        <v>179</v>
      </c>
    </row>
    <row r="63" spans="1:13" x14ac:dyDescent="0.3">
      <c r="A63" s="1" t="s">
        <v>53</v>
      </c>
      <c r="B63" s="35">
        <f t="shared" si="2"/>
        <v>1155</v>
      </c>
      <c r="C63" s="38" t="s">
        <v>178</v>
      </c>
      <c r="D63" s="32">
        <v>0</v>
      </c>
      <c r="E63" s="1" t="s">
        <v>118</v>
      </c>
      <c r="F63" s="32">
        <v>0</v>
      </c>
      <c r="G63" s="1" t="s">
        <v>117</v>
      </c>
      <c r="H63" s="32">
        <f>AVERAGE(175,325)/500*1310</f>
        <v>655</v>
      </c>
      <c r="I63" s="1" t="s">
        <v>249</v>
      </c>
      <c r="J63" s="32">
        <v>500</v>
      </c>
      <c r="K63" s="1" t="s">
        <v>251</v>
      </c>
      <c r="L63" s="50" t="s">
        <v>186</v>
      </c>
      <c r="M63" s="1" t="s">
        <v>184</v>
      </c>
    </row>
    <row r="64" spans="1:13" x14ac:dyDescent="0.3">
      <c r="A64" s="1" t="s">
        <v>53</v>
      </c>
      <c r="B64" s="35">
        <f t="shared" si="2"/>
        <v>1191</v>
      </c>
      <c r="C64" s="38" t="s">
        <v>178</v>
      </c>
      <c r="D64" s="32">
        <v>0</v>
      </c>
      <c r="E64" s="1" t="s">
        <v>118</v>
      </c>
      <c r="F64" s="32">
        <v>0</v>
      </c>
      <c r="G64" s="1" t="s">
        <v>117</v>
      </c>
      <c r="H64" s="32">
        <f>AVERAGE(175,325)/500*1382</f>
        <v>691</v>
      </c>
      <c r="I64" s="1" t="s">
        <v>250</v>
      </c>
      <c r="J64" s="32">
        <v>500</v>
      </c>
      <c r="K64" s="1" t="s">
        <v>251</v>
      </c>
      <c r="L64" s="50" t="s">
        <v>186</v>
      </c>
      <c r="M64" s="1" t="s">
        <v>185</v>
      </c>
    </row>
    <row r="65" spans="1:13" x14ac:dyDescent="0.3">
      <c r="A65" s="1" t="s">
        <v>54</v>
      </c>
      <c r="B65" s="35">
        <f t="shared" si="2"/>
        <v>578.49599999999998</v>
      </c>
      <c r="C65" s="38" t="s">
        <v>178</v>
      </c>
      <c r="D65" s="32">
        <v>0</v>
      </c>
      <c r="E65" s="1" t="s">
        <v>118</v>
      </c>
      <c r="F65" s="32">
        <v>0</v>
      </c>
      <c r="G65" s="1" t="s">
        <v>117</v>
      </c>
      <c r="H65" s="32">
        <f>(235/2500)*2208</f>
        <v>207.55199999999999</v>
      </c>
      <c r="I65" s="1" t="s">
        <v>206</v>
      </c>
      <c r="J65" s="32">
        <f>(150/1200)*2208+53.75*(2/2500)*2208</f>
        <v>370.94400000000002</v>
      </c>
      <c r="K65" s="1" t="s">
        <v>278</v>
      </c>
      <c r="L65" s="50" t="s">
        <v>186</v>
      </c>
      <c r="M65" s="1" t="s">
        <v>179</v>
      </c>
    </row>
    <row r="66" spans="1:13" x14ac:dyDescent="0.3">
      <c r="A66" s="1" t="s">
        <v>54</v>
      </c>
      <c r="B66" s="35">
        <f t="shared" si="2"/>
        <v>343.22</v>
      </c>
      <c r="C66" s="38" t="s">
        <v>178</v>
      </c>
      <c r="D66" s="32">
        <v>0</v>
      </c>
      <c r="E66" s="1" t="s">
        <v>118</v>
      </c>
      <c r="F66" s="32">
        <v>0</v>
      </c>
      <c r="G66" s="1" t="s">
        <v>117</v>
      </c>
      <c r="H66" s="32">
        <f>(235/2500)*1310</f>
        <v>123.14</v>
      </c>
      <c r="I66" s="1" t="s">
        <v>206</v>
      </c>
      <c r="J66" s="32">
        <f>(150/1200)*1310+53.75*(2/2500)*1310</f>
        <v>220.08</v>
      </c>
      <c r="K66" s="1" t="s">
        <v>278</v>
      </c>
      <c r="L66" s="50" t="s">
        <v>186</v>
      </c>
      <c r="M66" s="1" t="s">
        <v>184</v>
      </c>
    </row>
    <row r="67" spans="1:13" x14ac:dyDescent="0.3">
      <c r="A67" s="1" t="s">
        <v>54</v>
      </c>
      <c r="B67" s="35">
        <f t="shared" ref="B67:B97" si="3">(H67+J67)-(D67+F67)</f>
        <v>362.08399999999995</v>
      </c>
      <c r="C67" s="38" t="s">
        <v>178</v>
      </c>
      <c r="D67" s="32">
        <v>0</v>
      </c>
      <c r="E67" s="1" t="s">
        <v>118</v>
      </c>
      <c r="F67" s="32">
        <v>0</v>
      </c>
      <c r="G67" s="1" t="s">
        <v>117</v>
      </c>
      <c r="H67" s="32">
        <f>(235/2500)*1382</f>
        <v>129.90799999999999</v>
      </c>
      <c r="I67" s="1" t="s">
        <v>206</v>
      </c>
      <c r="J67" s="32">
        <f>(150/1200)*1382+53.75*(2/2500)*1382</f>
        <v>232.17599999999999</v>
      </c>
      <c r="K67" s="1" t="s">
        <v>278</v>
      </c>
      <c r="L67" s="50" t="s">
        <v>186</v>
      </c>
      <c r="M67" s="1" t="s">
        <v>185</v>
      </c>
    </row>
    <row r="68" spans="1:13" x14ac:dyDescent="0.3">
      <c r="A68" s="1" t="s">
        <v>55</v>
      </c>
      <c r="B68" s="35">
        <f t="shared" si="3"/>
        <v>1099.5839999999998</v>
      </c>
      <c r="C68" s="38" t="s">
        <v>178</v>
      </c>
      <c r="D68" s="32">
        <v>0</v>
      </c>
      <c r="E68" s="1" t="s">
        <v>118</v>
      </c>
      <c r="F68" s="32">
        <v>0</v>
      </c>
      <c r="G68" s="1" t="s">
        <v>117</v>
      </c>
      <c r="H68" s="51">
        <f>3.32*2208*0.15</f>
        <v>1099.5839999999998</v>
      </c>
      <c r="I68" s="1" t="s">
        <v>301</v>
      </c>
      <c r="J68" s="32"/>
      <c r="K68" s="1"/>
      <c r="L68" s="50" t="s">
        <v>186</v>
      </c>
      <c r="M68" s="1" t="s">
        <v>179</v>
      </c>
    </row>
    <row r="69" spans="1:13" x14ac:dyDescent="0.3">
      <c r="A69" s="1" t="s">
        <v>55</v>
      </c>
      <c r="B69" s="35">
        <f t="shared" ref="B69:B70" si="4">(H69+J69)-(D69+F69)</f>
        <v>652.38</v>
      </c>
      <c r="C69" s="38" t="s">
        <v>178</v>
      </c>
      <c r="D69" s="32">
        <v>0</v>
      </c>
      <c r="E69" s="1" t="s">
        <v>118</v>
      </c>
      <c r="F69" s="32">
        <v>0</v>
      </c>
      <c r="G69" s="1" t="s">
        <v>117</v>
      </c>
      <c r="H69" s="51">
        <f>3.32*1310*0.15</f>
        <v>652.38</v>
      </c>
      <c r="I69" s="1" t="s">
        <v>301</v>
      </c>
      <c r="J69" s="32"/>
      <c r="K69" s="1"/>
      <c r="L69" s="50" t="s">
        <v>186</v>
      </c>
      <c r="M69" s="1" t="s">
        <v>184</v>
      </c>
    </row>
    <row r="70" spans="1:13" x14ac:dyDescent="0.3">
      <c r="A70" s="1" t="s">
        <v>55</v>
      </c>
      <c r="B70" s="35">
        <f t="shared" si="4"/>
        <v>688.23599999999999</v>
      </c>
      <c r="C70" s="38" t="s">
        <v>178</v>
      </c>
      <c r="D70" s="32">
        <v>0</v>
      </c>
      <c r="E70" s="1" t="s">
        <v>118</v>
      </c>
      <c r="F70" s="32">
        <v>0</v>
      </c>
      <c r="G70" s="1" t="s">
        <v>117</v>
      </c>
      <c r="H70" s="51">
        <f>3.32*1382*0.15</f>
        <v>688.23599999999999</v>
      </c>
      <c r="I70" s="1" t="s">
        <v>301</v>
      </c>
      <c r="J70" s="32"/>
      <c r="K70" s="1"/>
      <c r="L70" s="50" t="s">
        <v>186</v>
      </c>
      <c r="M70" s="1" t="s">
        <v>185</v>
      </c>
    </row>
    <row r="71" spans="1:13" x14ac:dyDescent="0.3">
      <c r="A71" s="1" t="s">
        <v>59</v>
      </c>
      <c r="B71" s="35">
        <f t="shared" si="3"/>
        <v>287</v>
      </c>
      <c r="C71" s="38" t="s">
        <v>116</v>
      </c>
      <c r="D71" s="32">
        <v>0</v>
      </c>
      <c r="E71" s="1" t="s">
        <v>118</v>
      </c>
      <c r="F71" s="32">
        <v>0</v>
      </c>
      <c r="G71" s="1" t="s">
        <v>117</v>
      </c>
      <c r="H71" s="32">
        <v>287</v>
      </c>
      <c r="I71" s="1" t="s">
        <v>287</v>
      </c>
      <c r="J71" s="32"/>
      <c r="K71" s="1"/>
      <c r="L71" s="50" t="s">
        <v>186</v>
      </c>
      <c r="M71" s="50" t="s">
        <v>186</v>
      </c>
    </row>
    <row r="72" spans="1:13" x14ac:dyDescent="0.3">
      <c r="A72" s="1" t="s">
        <v>60</v>
      </c>
      <c r="B72" s="35">
        <f t="shared" si="3"/>
        <v>14639.526000000002</v>
      </c>
      <c r="C72" s="38" t="s">
        <v>208</v>
      </c>
      <c r="D72" s="32">
        <f>707.1*3</f>
        <v>2121.3000000000002</v>
      </c>
      <c r="E72" s="1" t="s">
        <v>210</v>
      </c>
      <c r="F72" s="32">
        <f t="shared" ref="F72:F74" si="5">85.08*14.8</f>
        <v>1259.184</v>
      </c>
      <c r="G72" s="1" t="s">
        <v>207</v>
      </c>
      <c r="H72" s="32">
        <f>1506.67*3</f>
        <v>4520.01</v>
      </c>
      <c r="I72" s="1" t="s">
        <v>254</v>
      </c>
      <c r="J72" s="32">
        <f>AVERAGE(7000,20000)</f>
        <v>13500</v>
      </c>
      <c r="K72" s="1" t="s">
        <v>294</v>
      </c>
      <c r="L72" s="50" t="s">
        <v>186</v>
      </c>
      <c r="M72" s="1" t="s">
        <v>179</v>
      </c>
    </row>
    <row r="73" spans="1:13" x14ac:dyDescent="0.3">
      <c r="A73" s="1" t="s">
        <v>60</v>
      </c>
      <c r="B73" s="35">
        <f t="shared" si="3"/>
        <v>13839.956</v>
      </c>
      <c r="C73" s="38" t="s">
        <v>209</v>
      </c>
      <c r="D73" s="32">
        <f>707.1*2</f>
        <v>1414.2</v>
      </c>
      <c r="E73" s="1" t="s">
        <v>210</v>
      </c>
      <c r="F73" s="32">
        <f t="shared" si="5"/>
        <v>1259.184</v>
      </c>
      <c r="G73" s="1" t="s">
        <v>207</v>
      </c>
      <c r="H73" s="32">
        <f>1506.67*2</f>
        <v>3013.34</v>
      </c>
      <c r="I73" s="1" t="s">
        <v>253</v>
      </c>
      <c r="J73" s="32">
        <f>AVERAGE(7000,20000)</f>
        <v>13500</v>
      </c>
      <c r="K73" s="1" t="s">
        <v>294</v>
      </c>
      <c r="L73" s="50" t="s">
        <v>186</v>
      </c>
      <c r="M73" s="1" t="s">
        <v>184</v>
      </c>
    </row>
    <row r="74" spans="1:13" x14ac:dyDescent="0.3">
      <c r="A74" s="1" t="s">
        <v>60</v>
      </c>
      <c r="B74" s="35">
        <f t="shared" si="3"/>
        <v>14639.526000000002</v>
      </c>
      <c r="C74" s="38" t="s">
        <v>208</v>
      </c>
      <c r="D74" s="32">
        <f>707.1*3</f>
        <v>2121.3000000000002</v>
      </c>
      <c r="E74" s="1" t="s">
        <v>210</v>
      </c>
      <c r="F74" s="32">
        <f t="shared" si="5"/>
        <v>1259.184</v>
      </c>
      <c r="G74" s="1" t="s">
        <v>207</v>
      </c>
      <c r="H74" s="32">
        <f>1506.67*3</f>
        <v>4520.01</v>
      </c>
      <c r="I74" s="1" t="s">
        <v>253</v>
      </c>
      <c r="J74" s="32">
        <f>AVERAGE(7000,20000)</f>
        <v>13500</v>
      </c>
      <c r="K74" s="1" t="s">
        <v>294</v>
      </c>
      <c r="L74" s="50" t="s">
        <v>186</v>
      </c>
      <c r="M74" s="1" t="s">
        <v>185</v>
      </c>
    </row>
    <row r="75" spans="1:13" x14ac:dyDescent="0.3">
      <c r="A75" s="1" t="s">
        <v>64</v>
      </c>
      <c r="B75" s="35">
        <f t="shared" si="3"/>
        <v>12.100000000000009</v>
      </c>
      <c r="C75" s="38" t="s">
        <v>116</v>
      </c>
      <c r="D75" s="32">
        <v>23.57</v>
      </c>
      <c r="E75" s="1" t="s">
        <v>256</v>
      </c>
      <c r="F75" s="32">
        <f>73.28*1</f>
        <v>73.28</v>
      </c>
      <c r="G75" s="1" t="s">
        <v>258</v>
      </c>
      <c r="H75" s="32">
        <v>35.67</v>
      </c>
      <c r="I75" s="1" t="s">
        <v>257</v>
      </c>
      <c r="J75" s="32">
        <f>73.28*1</f>
        <v>73.28</v>
      </c>
      <c r="K75" s="1" t="s">
        <v>258</v>
      </c>
      <c r="L75" s="50" t="s">
        <v>186</v>
      </c>
      <c r="M75" s="50" t="s">
        <v>186</v>
      </c>
    </row>
    <row r="76" spans="1:13" x14ac:dyDescent="0.3">
      <c r="A76" s="1" t="s">
        <v>69</v>
      </c>
      <c r="B76" s="35">
        <f t="shared" si="3"/>
        <v>0</v>
      </c>
      <c r="C76" s="38" t="s">
        <v>178</v>
      </c>
      <c r="D76" s="32">
        <f>24.79/33.33*2208/1.4</f>
        <v>1173.0384467018132</v>
      </c>
      <c r="E76" s="1" t="s">
        <v>277</v>
      </c>
      <c r="F76" s="32">
        <f>69.6*(43.7/1282)*(2208/1.4)</f>
        <v>3741.740673055494</v>
      </c>
      <c r="G76" s="1" t="s">
        <v>219</v>
      </c>
      <c r="H76" s="32">
        <f>24.79/33.33*2208/1.4</f>
        <v>1173.0384467018132</v>
      </c>
      <c r="I76" s="1" t="s">
        <v>281</v>
      </c>
      <c r="J76" s="32">
        <f>69.6*(43.7/1282)*(2208/1.4)</f>
        <v>3741.740673055494</v>
      </c>
      <c r="K76" s="1" t="s">
        <v>303</v>
      </c>
      <c r="L76" s="50" t="s">
        <v>186</v>
      </c>
      <c r="M76" s="1" t="s">
        <v>179</v>
      </c>
    </row>
    <row r="77" spans="1:13" x14ac:dyDescent="0.3">
      <c r="A77" s="1" t="s">
        <v>69</v>
      </c>
      <c r="B77" s="35">
        <f t="shared" si="3"/>
        <v>0</v>
      </c>
      <c r="C77" s="38" t="s">
        <v>178</v>
      </c>
      <c r="D77" s="32">
        <f>24.79/33.33*1310</f>
        <v>974.34443444344436</v>
      </c>
      <c r="E77" s="1" t="s">
        <v>277</v>
      </c>
      <c r="F77" s="32">
        <f>69.6*(43.7/1282)*1310</f>
        <v>3107.949453978159</v>
      </c>
      <c r="G77" s="1" t="s">
        <v>219</v>
      </c>
      <c r="H77" s="32">
        <f>24.79/33.33*1310</f>
        <v>974.34443444344436</v>
      </c>
      <c r="I77" s="1" t="s">
        <v>281</v>
      </c>
      <c r="J77" s="32">
        <f>69.6*(43.7/1282)*1310</f>
        <v>3107.949453978159</v>
      </c>
      <c r="K77" s="1" t="s">
        <v>303</v>
      </c>
      <c r="L77" s="50" t="s">
        <v>186</v>
      </c>
      <c r="M77" s="1" t="s">
        <v>184</v>
      </c>
    </row>
    <row r="78" spans="1:13" x14ac:dyDescent="0.3">
      <c r="A78" s="1" t="s">
        <v>69</v>
      </c>
      <c r="B78" s="35">
        <f t="shared" si="3"/>
        <v>0</v>
      </c>
      <c r="C78" s="38" t="s">
        <v>178</v>
      </c>
      <c r="D78" s="32">
        <f>24.79/33.33*1382</f>
        <v>1027.8961896189619</v>
      </c>
      <c r="E78" s="1" t="s">
        <v>277</v>
      </c>
      <c r="F78" s="32">
        <f>69.6*(43.7/1282)*1382</f>
        <v>3278.7680499219969</v>
      </c>
      <c r="G78" s="1" t="s">
        <v>219</v>
      </c>
      <c r="H78" s="32">
        <f>24.79/33.33*1382</f>
        <v>1027.8961896189619</v>
      </c>
      <c r="I78" s="1" t="s">
        <v>281</v>
      </c>
      <c r="J78" s="32">
        <f>69.6*(43.7/1282)*1382</f>
        <v>3278.7680499219969</v>
      </c>
      <c r="K78" s="1" t="s">
        <v>303</v>
      </c>
      <c r="L78" s="50" t="s">
        <v>186</v>
      </c>
      <c r="M78" s="1" t="s">
        <v>185</v>
      </c>
    </row>
    <row r="79" spans="1:13" x14ac:dyDescent="0.3">
      <c r="A79" s="1" t="s">
        <v>70</v>
      </c>
      <c r="B79" s="35">
        <f t="shared" si="3"/>
        <v>275</v>
      </c>
      <c r="C79" s="38" t="s">
        <v>178</v>
      </c>
      <c r="D79" s="32">
        <v>0</v>
      </c>
      <c r="E79" s="1" t="s">
        <v>118</v>
      </c>
      <c r="F79" s="32">
        <v>0</v>
      </c>
      <c r="G79" s="1" t="s">
        <v>117</v>
      </c>
      <c r="H79" s="32">
        <v>275</v>
      </c>
      <c r="I79" s="1" t="s">
        <v>276</v>
      </c>
      <c r="J79" s="32">
        <v>0</v>
      </c>
      <c r="K79" s="1" t="s">
        <v>261</v>
      </c>
      <c r="L79" s="50" t="s">
        <v>186</v>
      </c>
      <c r="M79" s="50" t="s">
        <v>186</v>
      </c>
    </row>
    <row r="80" spans="1:13" x14ac:dyDescent="0.3">
      <c r="A80" s="1" t="s">
        <v>71</v>
      </c>
      <c r="B80" s="35">
        <f t="shared" si="3"/>
        <v>175</v>
      </c>
      <c r="C80" s="38" t="s">
        <v>220</v>
      </c>
      <c r="D80" s="32">
        <v>0</v>
      </c>
      <c r="E80" s="1" t="s">
        <v>118</v>
      </c>
      <c r="F80" s="32">
        <v>0</v>
      </c>
      <c r="G80" s="1" t="s">
        <v>117</v>
      </c>
      <c r="H80" s="32">
        <v>0</v>
      </c>
      <c r="I80" s="1" t="s">
        <v>118</v>
      </c>
      <c r="J80" s="32">
        <v>175</v>
      </c>
      <c r="K80" s="1" t="s">
        <v>3</v>
      </c>
      <c r="L80" s="50" t="s">
        <v>186</v>
      </c>
      <c r="M80" s="50" t="s">
        <v>186</v>
      </c>
    </row>
    <row r="81" spans="1:13" x14ac:dyDescent="0.3">
      <c r="A81" s="1" t="s">
        <v>72</v>
      </c>
      <c r="B81" s="35">
        <f t="shared" si="3"/>
        <v>175</v>
      </c>
      <c r="C81" s="38" t="s">
        <v>220</v>
      </c>
      <c r="D81" s="32">
        <v>0</v>
      </c>
      <c r="E81" s="1" t="s">
        <v>118</v>
      </c>
      <c r="F81" s="32">
        <v>0</v>
      </c>
      <c r="G81" s="1" t="s">
        <v>117</v>
      </c>
      <c r="H81" s="32">
        <v>0</v>
      </c>
      <c r="I81" s="1" t="s">
        <v>118</v>
      </c>
      <c r="J81" s="32">
        <v>175</v>
      </c>
      <c r="K81" s="1" t="s">
        <v>3</v>
      </c>
      <c r="L81" s="50" t="s">
        <v>186</v>
      </c>
      <c r="M81" s="50" t="s">
        <v>186</v>
      </c>
    </row>
    <row r="82" spans="1:13" x14ac:dyDescent="0.3">
      <c r="A82" s="1" t="s">
        <v>73</v>
      </c>
      <c r="B82" s="35">
        <f t="shared" si="3"/>
        <v>371</v>
      </c>
      <c r="C82" s="38" t="s">
        <v>208</v>
      </c>
      <c r="D82" s="32">
        <v>0</v>
      </c>
      <c r="E82" s="1" t="s">
        <v>232</v>
      </c>
      <c r="F82" s="32">
        <v>0</v>
      </c>
      <c r="G82" s="1" t="s">
        <v>117</v>
      </c>
      <c r="H82" s="32">
        <v>371</v>
      </c>
      <c r="I82" s="1" t="s">
        <v>316</v>
      </c>
      <c r="J82" s="32">
        <v>0</v>
      </c>
      <c r="K82" s="1" t="s">
        <v>315</v>
      </c>
      <c r="L82" s="50" t="s">
        <v>186</v>
      </c>
      <c r="M82" s="1" t="s">
        <v>179</v>
      </c>
    </row>
    <row r="83" spans="1:13" x14ac:dyDescent="0.3">
      <c r="A83" s="1" t="s">
        <v>73</v>
      </c>
      <c r="B83" s="35">
        <f t="shared" si="3"/>
        <v>332</v>
      </c>
      <c r="C83" s="38" t="s">
        <v>209</v>
      </c>
      <c r="D83" s="32">
        <v>0</v>
      </c>
      <c r="E83" s="1" t="s">
        <v>232</v>
      </c>
      <c r="F83" s="32">
        <v>0</v>
      </c>
      <c r="G83" s="1" t="s">
        <v>117</v>
      </c>
      <c r="H83" s="32">
        <v>332</v>
      </c>
      <c r="I83" s="1" t="s">
        <v>317</v>
      </c>
      <c r="J83" s="32">
        <v>0</v>
      </c>
      <c r="K83" s="1" t="s">
        <v>315</v>
      </c>
      <c r="L83" s="50" t="s">
        <v>186</v>
      </c>
      <c r="M83" s="1" t="s">
        <v>184</v>
      </c>
    </row>
    <row r="84" spans="1:13" x14ac:dyDescent="0.3">
      <c r="A84" s="1" t="s">
        <v>73</v>
      </c>
      <c r="B84" s="35">
        <f t="shared" si="3"/>
        <v>371</v>
      </c>
      <c r="C84" s="38" t="s">
        <v>208</v>
      </c>
      <c r="D84" s="32">
        <v>0</v>
      </c>
      <c r="E84" s="1" t="s">
        <v>232</v>
      </c>
      <c r="F84" s="32">
        <v>0</v>
      </c>
      <c r="G84" s="1" t="s">
        <v>117</v>
      </c>
      <c r="H84" s="32">
        <v>371</v>
      </c>
      <c r="I84" s="1" t="s">
        <v>318</v>
      </c>
      <c r="J84" s="32">
        <v>0</v>
      </c>
      <c r="K84" s="1" t="s">
        <v>315</v>
      </c>
      <c r="L84" s="50" t="s">
        <v>186</v>
      </c>
      <c r="M84" s="1" t="s">
        <v>185</v>
      </c>
    </row>
    <row r="85" spans="1:13" x14ac:dyDescent="0.3">
      <c r="A85" s="1" t="s">
        <v>74</v>
      </c>
      <c r="B85" s="35">
        <f t="shared" si="3"/>
        <v>726</v>
      </c>
      <c r="C85" s="38" t="s">
        <v>208</v>
      </c>
      <c r="D85" s="32">
        <v>0</v>
      </c>
      <c r="E85" s="1" t="s">
        <v>232</v>
      </c>
      <c r="F85" s="32">
        <v>0</v>
      </c>
      <c r="G85" s="1" t="s">
        <v>117</v>
      </c>
      <c r="H85" s="32">
        <v>726</v>
      </c>
      <c r="I85" s="1" t="s">
        <v>316</v>
      </c>
      <c r="J85" s="32">
        <v>0</v>
      </c>
      <c r="K85" s="1" t="s">
        <v>315</v>
      </c>
      <c r="L85" s="50" t="s">
        <v>186</v>
      </c>
      <c r="M85" s="1" t="s">
        <v>179</v>
      </c>
    </row>
    <row r="86" spans="1:13" x14ac:dyDescent="0.3">
      <c r="A86" s="1" t="s">
        <v>74</v>
      </c>
      <c r="B86" s="35">
        <f t="shared" si="3"/>
        <v>649</v>
      </c>
      <c r="C86" s="38" t="s">
        <v>209</v>
      </c>
      <c r="D86" s="32">
        <v>0</v>
      </c>
      <c r="E86" s="1" t="s">
        <v>232</v>
      </c>
      <c r="F86" s="32">
        <v>0</v>
      </c>
      <c r="G86" s="1" t="s">
        <v>117</v>
      </c>
      <c r="H86" s="32">
        <v>649</v>
      </c>
      <c r="I86" s="1" t="s">
        <v>317</v>
      </c>
      <c r="J86" s="32">
        <v>0</v>
      </c>
      <c r="K86" s="1" t="s">
        <v>315</v>
      </c>
      <c r="L86" s="50" t="s">
        <v>186</v>
      </c>
      <c r="M86" s="1" t="s">
        <v>184</v>
      </c>
    </row>
    <row r="87" spans="1:13" x14ac:dyDescent="0.3">
      <c r="A87" s="1" t="s">
        <v>74</v>
      </c>
      <c r="B87" s="35">
        <f t="shared" si="3"/>
        <v>726</v>
      </c>
      <c r="C87" s="38" t="s">
        <v>208</v>
      </c>
      <c r="D87" s="32">
        <v>0</v>
      </c>
      <c r="E87" s="1" t="s">
        <v>232</v>
      </c>
      <c r="F87" s="32">
        <v>0</v>
      </c>
      <c r="G87" s="1" t="s">
        <v>117</v>
      </c>
      <c r="H87" s="32">
        <v>726</v>
      </c>
      <c r="I87" s="1" t="s">
        <v>318</v>
      </c>
      <c r="J87" s="32">
        <v>0</v>
      </c>
      <c r="K87" s="1" t="s">
        <v>315</v>
      </c>
      <c r="L87" s="50" t="s">
        <v>186</v>
      </c>
      <c r="M87" s="1" t="s">
        <v>185</v>
      </c>
    </row>
    <row r="88" spans="1:13" x14ac:dyDescent="0.3">
      <c r="A88" s="1" t="s">
        <v>75</v>
      </c>
      <c r="B88" s="35">
        <f t="shared" si="3"/>
        <v>2350</v>
      </c>
      <c r="C88" s="38" t="s">
        <v>208</v>
      </c>
      <c r="D88" s="32">
        <v>0</v>
      </c>
      <c r="E88" s="1" t="s">
        <v>232</v>
      </c>
      <c r="F88" s="32">
        <v>0</v>
      </c>
      <c r="G88" s="1" t="s">
        <v>117</v>
      </c>
      <c r="H88" s="32">
        <v>2350</v>
      </c>
      <c r="I88" s="1" t="s">
        <v>316</v>
      </c>
      <c r="J88" s="32">
        <v>0</v>
      </c>
      <c r="K88" s="1" t="s">
        <v>315</v>
      </c>
      <c r="L88" s="50" t="s">
        <v>186</v>
      </c>
      <c r="M88" s="1" t="s">
        <v>179</v>
      </c>
    </row>
    <row r="89" spans="1:13" x14ac:dyDescent="0.3">
      <c r="A89" s="1" t="s">
        <v>75</v>
      </c>
      <c r="B89" s="35">
        <f t="shared" si="3"/>
        <v>1565</v>
      </c>
      <c r="C89" s="38" t="s">
        <v>209</v>
      </c>
      <c r="D89" s="32">
        <v>0</v>
      </c>
      <c r="E89" s="1" t="s">
        <v>232</v>
      </c>
      <c r="F89" s="32">
        <v>0</v>
      </c>
      <c r="G89" s="1" t="s">
        <v>117</v>
      </c>
      <c r="H89" s="32">
        <v>1565</v>
      </c>
      <c r="I89" s="1" t="s">
        <v>317</v>
      </c>
      <c r="J89" s="32">
        <v>0</v>
      </c>
      <c r="K89" s="1" t="s">
        <v>315</v>
      </c>
      <c r="L89" s="50" t="s">
        <v>186</v>
      </c>
      <c r="M89" s="1" t="s">
        <v>184</v>
      </c>
    </row>
    <row r="90" spans="1:13" x14ac:dyDescent="0.3">
      <c r="A90" s="1" t="s">
        <v>75</v>
      </c>
      <c r="B90" s="35">
        <f t="shared" si="3"/>
        <v>2350</v>
      </c>
      <c r="C90" s="38" t="s">
        <v>208</v>
      </c>
      <c r="D90" s="32">
        <v>0</v>
      </c>
      <c r="E90" s="1" t="s">
        <v>232</v>
      </c>
      <c r="F90" s="32">
        <v>0</v>
      </c>
      <c r="G90" s="1" t="s">
        <v>117</v>
      </c>
      <c r="H90" s="32">
        <v>2350</v>
      </c>
      <c r="I90" s="1" t="s">
        <v>318</v>
      </c>
      <c r="J90" s="32">
        <v>0</v>
      </c>
      <c r="K90" s="1" t="s">
        <v>315</v>
      </c>
      <c r="L90" s="50" t="s">
        <v>186</v>
      </c>
      <c r="M90" s="1" t="s">
        <v>185</v>
      </c>
    </row>
    <row r="91" spans="1:13" x14ac:dyDescent="0.3">
      <c r="A91" s="1" t="s">
        <v>76</v>
      </c>
      <c r="B91" s="35">
        <f t="shared" si="3"/>
        <v>3333</v>
      </c>
      <c r="C91" s="38" t="s">
        <v>208</v>
      </c>
      <c r="D91" s="32">
        <v>0</v>
      </c>
      <c r="E91" s="1" t="s">
        <v>232</v>
      </c>
      <c r="F91" s="32">
        <v>0</v>
      </c>
      <c r="G91" s="1" t="s">
        <v>117</v>
      </c>
      <c r="H91" s="32">
        <v>3333</v>
      </c>
      <c r="I91" s="1" t="s">
        <v>316</v>
      </c>
      <c r="J91" s="32">
        <v>0</v>
      </c>
      <c r="K91" s="1" t="s">
        <v>315</v>
      </c>
      <c r="L91" s="50" t="s">
        <v>186</v>
      </c>
      <c r="M91" s="1" t="s">
        <v>179</v>
      </c>
    </row>
    <row r="92" spans="1:13" x14ac:dyDescent="0.3">
      <c r="A92" s="1" t="s">
        <v>76</v>
      </c>
      <c r="B92" s="35">
        <f t="shared" si="3"/>
        <v>2426</v>
      </c>
      <c r="C92" s="38" t="s">
        <v>209</v>
      </c>
      <c r="D92" s="32">
        <v>0</v>
      </c>
      <c r="E92" s="1" t="s">
        <v>232</v>
      </c>
      <c r="F92" s="32">
        <v>0</v>
      </c>
      <c r="G92" s="1" t="s">
        <v>117</v>
      </c>
      <c r="H92" s="32">
        <v>2426</v>
      </c>
      <c r="I92" s="1" t="s">
        <v>317</v>
      </c>
      <c r="J92" s="32">
        <v>0</v>
      </c>
      <c r="K92" s="1" t="s">
        <v>315</v>
      </c>
      <c r="L92" s="50" t="s">
        <v>186</v>
      </c>
      <c r="M92" s="1" t="s">
        <v>184</v>
      </c>
    </row>
    <row r="93" spans="1:13" x14ac:dyDescent="0.3">
      <c r="A93" s="1" t="s">
        <v>76</v>
      </c>
      <c r="B93" s="35">
        <f t="shared" si="3"/>
        <v>3333</v>
      </c>
      <c r="C93" s="38" t="s">
        <v>208</v>
      </c>
      <c r="D93" s="32">
        <v>0</v>
      </c>
      <c r="E93" s="1" t="s">
        <v>232</v>
      </c>
      <c r="F93" s="32">
        <v>0</v>
      </c>
      <c r="G93" s="1" t="s">
        <v>117</v>
      </c>
      <c r="H93" s="32">
        <v>3333</v>
      </c>
      <c r="I93" s="1" t="s">
        <v>318</v>
      </c>
      <c r="J93" s="32">
        <v>0</v>
      </c>
      <c r="K93" s="1" t="s">
        <v>315</v>
      </c>
      <c r="L93" s="50" t="s">
        <v>186</v>
      </c>
      <c r="M93" s="1" t="s">
        <v>185</v>
      </c>
    </row>
    <row r="94" spans="1:13" x14ac:dyDescent="0.3">
      <c r="A94" s="1" t="s">
        <v>77</v>
      </c>
      <c r="B94" s="35">
        <f t="shared" si="3"/>
        <v>5194</v>
      </c>
      <c r="C94" s="38" t="s">
        <v>208</v>
      </c>
      <c r="D94" s="32">
        <v>0</v>
      </c>
      <c r="E94" s="1" t="s">
        <v>232</v>
      </c>
      <c r="F94" s="32">
        <v>0</v>
      </c>
      <c r="G94" s="1" t="s">
        <v>117</v>
      </c>
      <c r="H94" s="32">
        <v>5194</v>
      </c>
      <c r="I94" s="1" t="s">
        <v>316</v>
      </c>
      <c r="J94" s="32">
        <v>0</v>
      </c>
      <c r="K94" s="1" t="s">
        <v>315</v>
      </c>
      <c r="L94" s="50" t="s">
        <v>186</v>
      </c>
      <c r="M94" s="1" t="s">
        <v>179</v>
      </c>
    </row>
    <row r="95" spans="1:13" x14ac:dyDescent="0.3">
      <c r="A95" s="1" t="s">
        <v>77</v>
      </c>
      <c r="B95" s="35">
        <f t="shared" si="3"/>
        <v>4217</v>
      </c>
      <c r="C95" s="38" t="s">
        <v>209</v>
      </c>
      <c r="D95" s="32">
        <v>0</v>
      </c>
      <c r="E95" s="1" t="s">
        <v>232</v>
      </c>
      <c r="F95" s="32">
        <v>0</v>
      </c>
      <c r="G95" s="1" t="s">
        <v>117</v>
      </c>
      <c r="H95" s="32">
        <v>4217</v>
      </c>
      <c r="I95" s="1" t="s">
        <v>317</v>
      </c>
      <c r="J95" s="32">
        <v>0</v>
      </c>
      <c r="K95" s="1" t="s">
        <v>315</v>
      </c>
      <c r="L95" s="50" t="s">
        <v>186</v>
      </c>
      <c r="M95" s="1" t="s">
        <v>184</v>
      </c>
    </row>
    <row r="96" spans="1:13" x14ac:dyDescent="0.3">
      <c r="A96" s="1" t="s">
        <v>77</v>
      </c>
      <c r="B96" s="35">
        <f t="shared" si="3"/>
        <v>5194</v>
      </c>
      <c r="C96" s="38" t="s">
        <v>208</v>
      </c>
      <c r="D96" s="32">
        <v>0</v>
      </c>
      <c r="E96" s="1" t="s">
        <v>232</v>
      </c>
      <c r="F96" s="32">
        <v>0</v>
      </c>
      <c r="G96" s="1" t="s">
        <v>117</v>
      </c>
      <c r="H96" s="32">
        <v>5194</v>
      </c>
      <c r="I96" s="1" t="s">
        <v>318</v>
      </c>
      <c r="J96" s="32">
        <v>0</v>
      </c>
      <c r="K96" s="1" t="s">
        <v>315</v>
      </c>
      <c r="L96" s="50" t="s">
        <v>186</v>
      </c>
      <c r="M96" s="1" t="s">
        <v>185</v>
      </c>
    </row>
    <row r="97" spans="1:13" x14ac:dyDescent="0.3">
      <c r="A97" s="1" t="s">
        <v>78</v>
      </c>
      <c r="B97" s="35">
        <f t="shared" si="3"/>
        <v>474</v>
      </c>
      <c r="C97" s="38" t="s">
        <v>208</v>
      </c>
      <c r="D97" s="32">
        <v>0</v>
      </c>
      <c r="E97" s="1" t="s">
        <v>232</v>
      </c>
      <c r="F97" s="32">
        <v>0</v>
      </c>
      <c r="G97" s="1" t="s">
        <v>117</v>
      </c>
      <c r="H97" s="32">
        <v>474</v>
      </c>
      <c r="I97" s="1" t="s">
        <v>316</v>
      </c>
      <c r="J97" s="32">
        <v>0</v>
      </c>
      <c r="K97" s="1" t="s">
        <v>315</v>
      </c>
      <c r="L97" s="50" t="s">
        <v>186</v>
      </c>
      <c r="M97" s="1" t="s">
        <v>179</v>
      </c>
    </row>
    <row r="98" spans="1:13" x14ac:dyDescent="0.3">
      <c r="A98" s="1" t="s">
        <v>78</v>
      </c>
      <c r="B98" s="35">
        <f t="shared" ref="B98:B132" si="6">(H98+J98)-(D98+F98)</f>
        <v>447</v>
      </c>
      <c r="C98" s="38" t="s">
        <v>209</v>
      </c>
      <c r="D98" s="32">
        <v>0</v>
      </c>
      <c r="E98" s="1" t="s">
        <v>232</v>
      </c>
      <c r="F98" s="32">
        <v>0</v>
      </c>
      <c r="G98" s="1" t="s">
        <v>117</v>
      </c>
      <c r="H98" s="32">
        <v>447</v>
      </c>
      <c r="I98" s="1" t="s">
        <v>317</v>
      </c>
      <c r="J98" s="32">
        <v>0</v>
      </c>
      <c r="K98" s="1" t="s">
        <v>315</v>
      </c>
      <c r="L98" s="50" t="s">
        <v>186</v>
      </c>
      <c r="M98" s="1" t="s">
        <v>184</v>
      </c>
    </row>
    <row r="99" spans="1:13" x14ac:dyDescent="0.3">
      <c r="A99" s="1" t="s">
        <v>78</v>
      </c>
      <c r="B99" s="35">
        <f t="shared" si="6"/>
        <v>474</v>
      </c>
      <c r="C99" s="38" t="s">
        <v>208</v>
      </c>
      <c r="D99" s="32">
        <v>0</v>
      </c>
      <c r="E99" s="1" t="s">
        <v>232</v>
      </c>
      <c r="F99" s="32">
        <v>0</v>
      </c>
      <c r="G99" s="1" t="s">
        <v>117</v>
      </c>
      <c r="H99" s="32">
        <v>474</v>
      </c>
      <c r="I99" s="1" t="s">
        <v>318</v>
      </c>
      <c r="J99" s="32">
        <v>0</v>
      </c>
      <c r="K99" s="1" t="s">
        <v>315</v>
      </c>
      <c r="L99" s="50" t="s">
        <v>186</v>
      </c>
      <c r="M99" s="1" t="s">
        <v>185</v>
      </c>
    </row>
    <row r="100" spans="1:13" x14ac:dyDescent="0.3">
      <c r="A100" s="1" t="s">
        <v>79</v>
      </c>
      <c r="B100" s="35">
        <f t="shared" si="6"/>
        <v>469.29000000000087</v>
      </c>
      <c r="C100" s="38" t="s">
        <v>208</v>
      </c>
      <c r="D100" s="32">
        <f>550.67*3</f>
        <v>1652.0099999999998</v>
      </c>
      <c r="E100" s="1" t="s">
        <v>212</v>
      </c>
      <c r="F100" s="32">
        <f t="shared" ref="F100:F102" si="7">85.08*14.8</f>
        <v>1259.184</v>
      </c>
      <c r="G100" s="1" t="s">
        <v>207</v>
      </c>
      <c r="H100" s="32">
        <f>707.1*3</f>
        <v>2121.3000000000002</v>
      </c>
      <c r="I100" s="1" t="s">
        <v>210</v>
      </c>
      <c r="J100" s="32">
        <f t="shared" ref="J100:J102" si="8">85.08*14.8</f>
        <v>1259.184</v>
      </c>
      <c r="K100" s="1" t="s">
        <v>207</v>
      </c>
      <c r="L100" s="50" t="s">
        <v>186</v>
      </c>
      <c r="M100" s="1" t="s">
        <v>179</v>
      </c>
    </row>
    <row r="101" spans="1:13" x14ac:dyDescent="0.3">
      <c r="A101" s="1" t="s">
        <v>79</v>
      </c>
      <c r="B101" s="35">
        <f t="shared" si="6"/>
        <v>312.86000000000013</v>
      </c>
      <c r="C101" s="38" t="s">
        <v>209</v>
      </c>
      <c r="D101" s="32">
        <f>550.67*2</f>
        <v>1101.3399999999999</v>
      </c>
      <c r="E101" s="1" t="s">
        <v>212</v>
      </c>
      <c r="F101" s="32">
        <f t="shared" si="7"/>
        <v>1259.184</v>
      </c>
      <c r="G101" s="1" t="s">
        <v>207</v>
      </c>
      <c r="H101" s="32">
        <f>707.1*2</f>
        <v>1414.2</v>
      </c>
      <c r="I101" s="1" t="s">
        <v>210</v>
      </c>
      <c r="J101" s="32">
        <f t="shared" si="8"/>
        <v>1259.184</v>
      </c>
      <c r="K101" s="1" t="s">
        <v>207</v>
      </c>
      <c r="L101" s="50" t="s">
        <v>186</v>
      </c>
      <c r="M101" s="1" t="s">
        <v>184</v>
      </c>
    </row>
    <row r="102" spans="1:13" x14ac:dyDescent="0.3">
      <c r="A102" s="1" t="s">
        <v>79</v>
      </c>
      <c r="B102" s="35">
        <f t="shared" si="6"/>
        <v>469.29000000000087</v>
      </c>
      <c r="C102" s="38" t="s">
        <v>208</v>
      </c>
      <c r="D102" s="32">
        <f>550.67*3</f>
        <v>1652.0099999999998</v>
      </c>
      <c r="E102" s="1" t="s">
        <v>212</v>
      </c>
      <c r="F102" s="32">
        <f t="shared" si="7"/>
        <v>1259.184</v>
      </c>
      <c r="G102" s="1" t="s">
        <v>207</v>
      </c>
      <c r="H102" s="32">
        <f>707.1*3</f>
        <v>2121.3000000000002</v>
      </c>
      <c r="I102" s="1" t="s">
        <v>210</v>
      </c>
      <c r="J102" s="32">
        <f t="shared" si="8"/>
        <v>1259.184</v>
      </c>
      <c r="K102" s="1" t="s">
        <v>207</v>
      </c>
      <c r="L102" s="50" t="s">
        <v>186</v>
      </c>
      <c r="M102" s="1" t="s">
        <v>185</v>
      </c>
    </row>
    <row r="103" spans="1:13" x14ac:dyDescent="0.3">
      <c r="A103" s="1" t="s">
        <v>80</v>
      </c>
      <c r="B103" s="35">
        <f t="shared" si="6"/>
        <v>5209.29</v>
      </c>
      <c r="C103" s="38" t="s">
        <v>208</v>
      </c>
      <c r="D103" s="32">
        <v>0</v>
      </c>
      <c r="E103" s="1" t="s">
        <v>232</v>
      </c>
      <c r="F103" s="32">
        <v>0</v>
      </c>
      <c r="G103" s="1" t="s">
        <v>117</v>
      </c>
      <c r="H103" s="32">
        <f>4740+(2121.3-1652.01)</f>
        <v>5209.29</v>
      </c>
      <c r="I103" s="1" t="s">
        <v>319</v>
      </c>
      <c r="J103" s="32">
        <v>0</v>
      </c>
      <c r="K103" s="1" t="s">
        <v>315</v>
      </c>
      <c r="L103" s="50" t="s">
        <v>186</v>
      </c>
      <c r="M103" s="1" t="s">
        <v>179</v>
      </c>
    </row>
    <row r="104" spans="1:13" x14ac:dyDescent="0.3">
      <c r="A104" s="1" t="s">
        <v>80</v>
      </c>
      <c r="B104" s="35">
        <f t="shared" si="6"/>
        <v>4851.8600000000006</v>
      </c>
      <c r="C104" s="38" t="s">
        <v>209</v>
      </c>
      <c r="D104" s="32">
        <v>0</v>
      </c>
      <c r="E104" s="1" t="s">
        <v>232</v>
      </c>
      <c r="F104" s="32">
        <v>0</v>
      </c>
      <c r="G104" s="1" t="s">
        <v>117</v>
      </c>
      <c r="H104" s="32">
        <f>4539+(1414.2-1101.34)</f>
        <v>4851.8600000000006</v>
      </c>
      <c r="I104" s="1" t="s">
        <v>320</v>
      </c>
      <c r="J104" s="32">
        <v>0</v>
      </c>
      <c r="K104" s="1" t="s">
        <v>315</v>
      </c>
      <c r="L104" s="50" t="s">
        <v>186</v>
      </c>
      <c r="M104" s="1" t="s">
        <v>184</v>
      </c>
    </row>
    <row r="105" spans="1:13" x14ac:dyDescent="0.3">
      <c r="A105" s="1" t="s">
        <v>80</v>
      </c>
      <c r="B105" s="35">
        <f t="shared" si="6"/>
        <v>5209.29</v>
      </c>
      <c r="C105" s="38" t="s">
        <v>208</v>
      </c>
      <c r="D105" s="32">
        <v>0</v>
      </c>
      <c r="E105" s="1" t="s">
        <v>232</v>
      </c>
      <c r="F105" s="32">
        <v>0</v>
      </c>
      <c r="G105" s="1" t="s">
        <v>117</v>
      </c>
      <c r="H105" s="32">
        <f>4740+(2121.3-1652.01)</f>
        <v>5209.29</v>
      </c>
      <c r="I105" s="1" t="s">
        <v>321</v>
      </c>
      <c r="J105" s="32">
        <v>0</v>
      </c>
      <c r="K105" s="1" t="s">
        <v>315</v>
      </c>
      <c r="L105" s="50" t="s">
        <v>186</v>
      </c>
      <c r="M105" s="1" t="s">
        <v>185</v>
      </c>
    </row>
    <row r="106" spans="1:13" x14ac:dyDescent="0.3">
      <c r="A106" s="1" t="s">
        <v>81</v>
      </c>
      <c r="B106" s="35">
        <f t="shared" si="6"/>
        <v>1385</v>
      </c>
      <c r="C106" s="38" t="s">
        <v>208</v>
      </c>
      <c r="D106" s="32">
        <v>0</v>
      </c>
      <c r="E106" s="1" t="s">
        <v>232</v>
      </c>
      <c r="F106" s="32">
        <v>0</v>
      </c>
      <c r="G106" s="1" t="s">
        <v>117</v>
      </c>
      <c r="H106" s="32">
        <v>1385</v>
      </c>
      <c r="I106" s="1" t="s">
        <v>316</v>
      </c>
      <c r="J106" s="32">
        <v>0</v>
      </c>
      <c r="K106" s="1" t="s">
        <v>315</v>
      </c>
      <c r="L106" s="50" t="s">
        <v>186</v>
      </c>
      <c r="M106" s="1" t="s">
        <v>179</v>
      </c>
    </row>
    <row r="107" spans="1:13" x14ac:dyDescent="0.3">
      <c r="A107" s="1" t="s">
        <v>81</v>
      </c>
      <c r="B107" s="35">
        <f t="shared" si="6"/>
        <v>1148</v>
      </c>
      <c r="C107" s="38" t="s">
        <v>209</v>
      </c>
      <c r="D107" s="32">
        <v>0</v>
      </c>
      <c r="E107" s="1" t="s">
        <v>232</v>
      </c>
      <c r="F107" s="32">
        <v>0</v>
      </c>
      <c r="G107" s="1" t="s">
        <v>117</v>
      </c>
      <c r="H107" s="32">
        <v>1148</v>
      </c>
      <c r="I107" s="1" t="s">
        <v>317</v>
      </c>
      <c r="J107" s="32">
        <v>0</v>
      </c>
      <c r="K107" s="1" t="s">
        <v>315</v>
      </c>
      <c r="L107" s="50" t="s">
        <v>186</v>
      </c>
      <c r="M107" s="1" t="s">
        <v>184</v>
      </c>
    </row>
    <row r="108" spans="1:13" x14ac:dyDescent="0.3">
      <c r="A108" s="1" t="s">
        <v>81</v>
      </c>
      <c r="B108" s="35">
        <f t="shared" si="6"/>
        <v>1385</v>
      </c>
      <c r="C108" s="38" t="s">
        <v>208</v>
      </c>
      <c r="D108" s="32">
        <v>0</v>
      </c>
      <c r="E108" s="1" t="s">
        <v>232</v>
      </c>
      <c r="F108" s="32">
        <v>0</v>
      </c>
      <c r="G108" s="1" t="s">
        <v>117</v>
      </c>
      <c r="H108" s="32">
        <v>1385</v>
      </c>
      <c r="I108" s="1" t="s">
        <v>318</v>
      </c>
      <c r="J108" s="32">
        <v>0</v>
      </c>
      <c r="K108" s="1" t="s">
        <v>315</v>
      </c>
      <c r="L108" s="50" t="s">
        <v>186</v>
      </c>
      <c r="M108" s="1" t="s">
        <v>185</v>
      </c>
    </row>
    <row r="109" spans="1:13" x14ac:dyDescent="0.3">
      <c r="A109" s="1" t="s">
        <v>82</v>
      </c>
      <c r="B109" s="35">
        <f t="shared" si="6"/>
        <v>2250</v>
      </c>
      <c r="C109" s="38" t="s">
        <v>208</v>
      </c>
      <c r="D109" s="32">
        <v>0</v>
      </c>
      <c r="E109" s="1" t="s">
        <v>232</v>
      </c>
      <c r="F109" s="32">
        <v>0</v>
      </c>
      <c r="G109" s="1" t="s">
        <v>117</v>
      </c>
      <c r="H109" s="32">
        <v>2250</v>
      </c>
      <c r="I109" s="1" t="s">
        <v>316</v>
      </c>
      <c r="J109" s="32">
        <v>0</v>
      </c>
      <c r="K109" s="1" t="s">
        <v>315</v>
      </c>
      <c r="L109" s="50" t="s">
        <v>186</v>
      </c>
      <c r="M109" s="1" t="s">
        <v>179</v>
      </c>
    </row>
    <row r="110" spans="1:13" x14ac:dyDescent="0.3">
      <c r="A110" s="1" t="s">
        <v>82</v>
      </c>
      <c r="B110" s="35">
        <f t="shared" si="6"/>
        <v>1837</v>
      </c>
      <c r="C110" s="38" t="s">
        <v>209</v>
      </c>
      <c r="D110" s="32">
        <v>0</v>
      </c>
      <c r="E110" s="1" t="s">
        <v>232</v>
      </c>
      <c r="F110" s="32">
        <v>0</v>
      </c>
      <c r="G110" s="1" t="s">
        <v>117</v>
      </c>
      <c r="H110" s="32">
        <v>1837</v>
      </c>
      <c r="I110" s="1" t="s">
        <v>317</v>
      </c>
      <c r="J110" s="32">
        <v>0</v>
      </c>
      <c r="K110" s="1" t="s">
        <v>315</v>
      </c>
      <c r="L110" s="50" t="s">
        <v>186</v>
      </c>
      <c r="M110" s="1" t="s">
        <v>184</v>
      </c>
    </row>
    <row r="111" spans="1:13" x14ac:dyDescent="0.3">
      <c r="A111" s="1" t="s">
        <v>82</v>
      </c>
      <c r="B111" s="35">
        <f t="shared" si="6"/>
        <v>2250</v>
      </c>
      <c r="C111" s="38" t="s">
        <v>208</v>
      </c>
      <c r="D111" s="32">
        <v>0</v>
      </c>
      <c r="E111" s="1" t="s">
        <v>232</v>
      </c>
      <c r="F111" s="32">
        <v>0</v>
      </c>
      <c r="G111" s="1" t="s">
        <v>117</v>
      </c>
      <c r="H111" s="32">
        <v>2250</v>
      </c>
      <c r="I111" s="1" t="s">
        <v>318</v>
      </c>
      <c r="J111" s="32">
        <v>0</v>
      </c>
      <c r="K111" s="1" t="s">
        <v>315</v>
      </c>
      <c r="L111" s="50" t="s">
        <v>186</v>
      </c>
      <c r="M111" s="1" t="s">
        <v>185</v>
      </c>
    </row>
    <row r="112" spans="1:13" x14ac:dyDescent="0.3">
      <c r="A112" s="1" t="s">
        <v>56</v>
      </c>
      <c r="B112" s="35">
        <f t="shared" si="6"/>
        <v>3013</v>
      </c>
      <c r="C112" s="38" t="s">
        <v>208</v>
      </c>
      <c r="D112" s="32">
        <v>0</v>
      </c>
      <c r="E112" s="1" t="s">
        <v>232</v>
      </c>
      <c r="F112" s="32">
        <v>0</v>
      </c>
      <c r="G112" s="1" t="s">
        <v>117</v>
      </c>
      <c r="H112" s="32">
        <v>3013</v>
      </c>
      <c r="I112" s="1" t="s">
        <v>316</v>
      </c>
      <c r="J112" s="32">
        <v>0</v>
      </c>
      <c r="K112" s="1" t="s">
        <v>315</v>
      </c>
      <c r="L112" s="50" t="s">
        <v>186</v>
      </c>
      <c r="M112" s="1" t="s">
        <v>179</v>
      </c>
    </row>
    <row r="113" spans="1:15" x14ac:dyDescent="0.3">
      <c r="A113" s="1" t="s">
        <v>56</v>
      </c>
      <c r="B113" s="35">
        <f t="shared" si="6"/>
        <v>2733</v>
      </c>
      <c r="C113" s="38" t="s">
        <v>209</v>
      </c>
      <c r="D113" s="32">
        <v>0</v>
      </c>
      <c r="E113" s="1" t="s">
        <v>232</v>
      </c>
      <c r="F113" s="32">
        <v>0</v>
      </c>
      <c r="G113" s="1" t="s">
        <v>117</v>
      </c>
      <c r="H113" s="32">
        <v>2733</v>
      </c>
      <c r="I113" s="1" t="s">
        <v>317</v>
      </c>
      <c r="J113" s="32">
        <v>0</v>
      </c>
      <c r="K113" s="1" t="s">
        <v>315</v>
      </c>
      <c r="L113" s="50" t="s">
        <v>186</v>
      </c>
      <c r="M113" s="1" t="s">
        <v>184</v>
      </c>
    </row>
    <row r="114" spans="1:15" x14ac:dyDescent="0.3">
      <c r="A114" s="1" t="s">
        <v>56</v>
      </c>
      <c r="B114" s="35">
        <f t="shared" si="6"/>
        <v>3013</v>
      </c>
      <c r="C114" s="38" t="s">
        <v>208</v>
      </c>
      <c r="D114" s="32">
        <v>0</v>
      </c>
      <c r="E114" s="1" t="s">
        <v>232</v>
      </c>
      <c r="F114" s="32">
        <v>0</v>
      </c>
      <c r="G114" s="1" t="s">
        <v>117</v>
      </c>
      <c r="H114" s="32">
        <v>3013</v>
      </c>
      <c r="I114" s="1" t="s">
        <v>318</v>
      </c>
      <c r="J114" s="32">
        <v>0</v>
      </c>
      <c r="K114" s="1" t="s">
        <v>315</v>
      </c>
      <c r="L114" s="50" t="s">
        <v>186</v>
      </c>
      <c r="M114" s="1" t="s">
        <v>185</v>
      </c>
    </row>
    <row r="115" spans="1:15" x14ac:dyDescent="0.3">
      <c r="A115" s="1" t="s">
        <v>57</v>
      </c>
      <c r="B115" s="35">
        <f t="shared" si="6"/>
        <v>4740</v>
      </c>
      <c r="C115" s="38" t="s">
        <v>208</v>
      </c>
      <c r="D115" s="32">
        <v>0</v>
      </c>
      <c r="E115" s="1" t="s">
        <v>232</v>
      </c>
      <c r="F115" s="32">
        <v>0</v>
      </c>
      <c r="G115" s="1" t="s">
        <v>117</v>
      </c>
      <c r="H115" s="32">
        <v>4740</v>
      </c>
      <c r="I115" s="1" t="s">
        <v>316</v>
      </c>
      <c r="J115" s="32">
        <v>0</v>
      </c>
      <c r="K115" s="1" t="s">
        <v>315</v>
      </c>
      <c r="L115" s="50" t="s">
        <v>186</v>
      </c>
      <c r="M115" s="1" t="s">
        <v>179</v>
      </c>
    </row>
    <row r="116" spans="1:15" x14ac:dyDescent="0.3">
      <c r="A116" s="1" t="s">
        <v>57</v>
      </c>
      <c r="B116" s="35">
        <f t="shared" si="6"/>
        <v>4539</v>
      </c>
      <c r="C116" s="38" t="s">
        <v>209</v>
      </c>
      <c r="D116" s="32">
        <v>0</v>
      </c>
      <c r="E116" s="1" t="s">
        <v>232</v>
      </c>
      <c r="F116" s="32">
        <v>0</v>
      </c>
      <c r="G116" s="1" t="s">
        <v>117</v>
      </c>
      <c r="H116" s="32">
        <v>4539</v>
      </c>
      <c r="I116" s="1" t="s">
        <v>317</v>
      </c>
      <c r="J116" s="32">
        <v>0</v>
      </c>
      <c r="K116" s="1" t="s">
        <v>315</v>
      </c>
      <c r="L116" s="50" t="s">
        <v>186</v>
      </c>
      <c r="M116" s="1" t="s">
        <v>184</v>
      </c>
    </row>
    <row r="117" spans="1:15" x14ac:dyDescent="0.3">
      <c r="A117" s="1" t="s">
        <v>57</v>
      </c>
      <c r="B117" s="35">
        <f t="shared" si="6"/>
        <v>4740</v>
      </c>
      <c r="C117" s="38" t="s">
        <v>208</v>
      </c>
      <c r="D117" s="32">
        <v>0</v>
      </c>
      <c r="E117" s="1" t="s">
        <v>232</v>
      </c>
      <c r="F117" s="32">
        <v>0</v>
      </c>
      <c r="G117" s="1" t="s">
        <v>117</v>
      </c>
      <c r="H117" s="32">
        <v>4740</v>
      </c>
      <c r="I117" s="1" t="s">
        <v>318</v>
      </c>
      <c r="J117" s="32">
        <v>0</v>
      </c>
      <c r="K117" s="1" t="s">
        <v>315</v>
      </c>
      <c r="L117" s="50" t="s">
        <v>186</v>
      </c>
      <c r="M117" s="1" t="s">
        <v>185</v>
      </c>
    </row>
    <row r="118" spans="1:15" x14ac:dyDescent="0.3">
      <c r="A118" s="1" t="s">
        <v>58</v>
      </c>
      <c r="B118" s="35">
        <f t="shared" si="6"/>
        <v>3207.3719999999994</v>
      </c>
      <c r="C118" s="38" t="s">
        <v>208</v>
      </c>
      <c r="D118" s="32">
        <f>707.1*3</f>
        <v>2121.3000000000002</v>
      </c>
      <c r="E118" s="1" t="s">
        <v>210</v>
      </c>
      <c r="F118" s="32">
        <f t="shared" ref="F118:F123" si="9">85.08*14.8</f>
        <v>1259.184</v>
      </c>
      <c r="G118" s="1" t="s">
        <v>207</v>
      </c>
      <c r="H118" s="32">
        <f>1268.58*3</f>
        <v>3805.74</v>
      </c>
      <c r="I118" s="1" t="s">
        <v>211</v>
      </c>
      <c r="J118" s="32">
        <f>85.08*(24.7+8)</f>
        <v>2782.116</v>
      </c>
      <c r="K118" s="1" t="s">
        <v>323</v>
      </c>
      <c r="L118" s="50" t="s">
        <v>176</v>
      </c>
      <c r="M118" s="1" t="s">
        <v>179</v>
      </c>
      <c r="O118" s="41"/>
    </row>
    <row r="119" spans="1:15" x14ac:dyDescent="0.3">
      <c r="A119" s="1" t="s">
        <v>58</v>
      </c>
      <c r="B119" s="35">
        <f t="shared" si="6"/>
        <v>2645.8919999999998</v>
      </c>
      <c r="C119" s="38" t="s">
        <v>209</v>
      </c>
      <c r="D119" s="32">
        <f>707.1*2</f>
        <v>1414.2</v>
      </c>
      <c r="E119" s="1" t="s">
        <v>210</v>
      </c>
      <c r="F119" s="32">
        <f t="shared" si="9"/>
        <v>1259.184</v>
      </c>
      <c r="G119" s="1" t="s">
        <v>207</v>
      </c>
      <c r="H119" s="32">
        <f>1268.58*2</f>
        <v>2537.16</v>
      </c>
      <c r="I119" s="1" t="s">
        <v>211</v>
      </c>
      <c r="J119" s="32">
        <f>85.08*(24.7+8)</f>
        <v>2782.116</v>
      </c>
      <c r="K119" s="1" t="s">
        <v>323</v>
      </c>
      <c r="L119" s="50" t="s">
        <v>176</v>
      </c>
      <c r="M119" s="1" t="s">
        <v>184</v>
      </c>
    </row>
    <row r="120" spans="1:15" x14ac:dyDescent="0.3">
      <c r="A120" s="1" t="s">
        <v>58</v>
      </c>
      <c r="B120" s="35">
        <f t="shared" si="6"/>
        <v>3207.3719999999994</v>
      </c>
      <c r="C120" s="38" t="s">
        <v>208</v>
      </c>
      <c r="D120" s="32">
        <f>707.1*3</f>
        <v>2121.3000000000002</v>
      </c>
      <c r="E120" s="1" t="s">
        <v>210</v>
      </c>
      <c r="F120" s="32">
        <f t="shared" si="9"/>
        <v>1259.184</v>
      </c>
      <c r="G120" s="1" t="s">
        <v>207</v>
      </c>
      <c r="H120" s="32">
        <f>1268.58*3</f>
        <v>3805.74</v>
      </c>
      <c r="I120" s="1" t="s">
        <v>211</v>
      </c>
      <c r="J120" s="32">
        <f>85.08*(24.7+8)</f>
        <v>2782.116</v>
      </c>
      <c r="K120" s="1" t="s">
        <v>323</v>
      </c>
      <c r="L120" s="50" t="s">
        <v>176</v>
      </c>
      <c r="M120" s="1" t="s">
        <v>185</v>
      </c>
    </row>
    <row r="121" spans="1:15" x14ac:dyDescent="0.3">
      <c r="A121" s="1" t="s">
        <v>58</v>
      </c>
      <c r="B121" s="35">
        <f t="shared" ref="B121:B123" si="10">(H121+J121)-(D121+F121)</f>
        <v>2526.732</v>
      </c>
      <c r="C121" s="38" t="s">
        <v>208</v>
      </c>
      <c r="D121" s="32">
        <f>707.1*3</f>
        <v>2121.3000000000002</v>
      </c>
      <c r="E121" s="1" t="s">
        <v>210</v>
      </c>
      <c r="F121" s="32">
        <f t="shared" si="9"/>
        <v>1259.184</v>
      </c>
      <c r="G121" s="1" t="s">
        <v>207</v>
      </c>
      <c r="H121" s="32">
        <f>1268.58*3</f>
        <v>3805.74</v>
      </c>
      <c r="I121" s="1" t="s">
        <v>211</v>
      </c>
      <c r="J121" s="32">
        <f>85.08*(24.7)</f>
        <v>2101.4760000000001</v>
      </c>
      <c r="K121" s="1" t="s">
        <v>322</v>
      </c>
      <c r="L121" s="50" t="s">
        <v>177</v>
      </c>
      <c r="M121" s="1" t="s">
        <v>179</v>
      </c>
      <c r="O121" s="41"/>
    </row>
    <row r="122" spans="1:15" x14ac:dyDescent="0.3">
      <c r="A122" s="1" t="s">
        <v>58</v>
      </c>
      <c r="B122" s="35">
        <f t="shared" si="10"/>
        <v>1965.2520000000004</v>
      </c>
      <c r="C122" s="38" t="s">
        <v>209</v>
      </c>
      <c r="D122" s="32">
        <f>707.1*2</f>
        <v>1414.2</v>
      </c>
      <c r="E122" s="1" t="s">
        <v>210</v>
      </c>
      <c r="F122" s="32">
        <f t="shared" si="9"/>
        <v>1259.184</v>
      </c>
      <c r="G122" s="1" t="s">
        <v>207</v>
      </c>
      <c r="H122" s="32">
        <f>1268.58*2</f>
        <v>2537.16</v>
      </c>
      <c r="I122" s="1" t="s">
        <v>211</v>
      </c>
      <c r="J122" s="32">
        <f>85.08*(24.7)</f>
        <v>2101.4760000000001</v>
      </c>
      <c r="K122" s="1" t="s">
        <v>322</v>
      </c>
      <c r="L122" s="50" t="s">
        <v>177</v>
      </c>
      <c r="M122" s="1" t="s">
        <v>184</v>
      </c>
    </row>
    <row r="123" spans="1:15" x14ac:dyDescent="0.3">
      <c r="A123" s="1" t="s">
        <v>58</v>
      </c>
      <c r="B123" s="35">
        <f t="shared" si="10"/>
        <v>2526.732</v>
      </c>
      <c r="C123" s="38" t="s">
        <v>208</v>
      </c>
      <c r="D123" s="32">
        <f>707.1*3</f>
        <v>2121.3000000000002</v>
      </c>
      <c r="E123" s="1" t="s">
        <v>210</v>
      </c>
      <c r="F123" s="32">
        <f t="shared" si="9"/>
        <v>1259.184</v>
      </c>
      <c r="G123" s="1" t="s">
        <v>207</v>
      </c>
      <c r="H123" s="32">
        <f>1268.58*3</f>
        <v>3805.74</v>
      </c>
      <c r="I123" s="1" t="s">
        <v>211</v>
      </c>
      <c r="J123" s="32">
        <f>85.08*(24.7)</f>
        <v>2101.4760000000001</v>
      </c>
      <c r="K123" s="1" t="s">
        <v>322</v>
      </c>
      <c r="L123" s="50" t="s">
        <v>177</v>
      </c>
      <c r="M123" s="1" t="s">
        <v>185</v>
      </c>
    </row>
    <row r="124" spans="1:15" x14ac:dyDescent="0.3">
      <c r="A124" s="1" t="s">
        <v>83</v>
      </c>
      <c r="B124" s="35">
        <f t="shared" si="6"/>
        <v>18.670000000000073</v>
      </c>
      <c r="C124" s="38" t="s">
        <v>213</v>
      </c>
      <c r="D124" s="32">
        <v>310.33</v>
      </c>
      <c r="E124" s="1" t="s">
        <v>262</v>
      </c>
      <c r="F124" s="32">
        <f>69.22*3.8</f>
        <v>263.036</v>
      </c>
      <c r="G124" s="1" t="s">
        <v>214</v>
      </c>
      <c r="H124" s="32">
        <v>329</v>
      </c>
      <c r="I124" s="1" t="s">
        <v>262</v>
      </c>
      <c r="J124" s="32">
        <f>69.22*3.8</f>
        <v>263.036</v>
      </c>
      <c r="K124" s="1" t="s">
        <v>214</v>
      </c>
      <c r="L124" s="50" t="s">
        <v>186</v>
      </c>
      <c r="M124" s="50" t="s">
        <v>186</v>
      </c>
    </row>
    <row r="125" spans="1:15" x14ac:dyDescent="0.3">
      <c r="A125" s="1" t="s">
        <v>84</v>
      </c>
      <c r="B125" s="35">
        <f t="shared" si="6"/>
        <v>52.349598662207356</v>
      </c>
      <c r="C125" s="38" t="s">
        <v>267</v>
      </c>
      <c r="D125" s="32">
        <v>0</v>
      </c>
      <c r="E125" s="1" t="s">
        <v>118</v>
      </c>
      <c r="F125" s="32">
        <v>0</v>
      </c>
      <c r="G125" s="1" t="s">
        <v>117</v>
      </c>
      <c r="H125" s="32">
        <v>10.97</v>
      </c>
      <c r="I125" s="1" t="s">
        <v>4</v>
      </c>
      <c r="J125" s="32">
        <f>AVERAGE(2237,2712)/29.9*0.5</f>
        <v>41.379598662207357</v>
      </c>
      <c r="K125" s="1" t="s">
        <v>282</v>
      </c>
      <c r="L125" s="50" t="s">
        <v>186</v>
      </c>
      <c r="M125" s="50" t="s">
        <v>186</v>
      </c>
    </row>
    <row r="126" spans="1:15" x14ac:dyDescent="0.3">
      <c r="A126" s="1" t="s">
        <v>85</v>
      </c>
      <c r="B126" s="35">
        <f t="shared" si="6"/>
        <v>63.539598662207354</v>
      </c>
      <c r="C126" s="38" t="s">
        <v>267</v>
      </c>
      <c r="D126" s="32">
        <v>0</v>
      </c>
      <c r="E126" s="1" t="s">
        <v>118</v>
      </c>
      <c r="F126" s="32">
        <v>0</v>
      </c>
      <c r="G126" s="1" t="s">
        <v>117</v>
      </c>
      <c r="H126" s="32">
        <v>22.16</v>
      </c>
      <c r="I126" s="1" t="s">
        <v>86</v>
      </c>
      <c r="J126" s="32">
        <f>AVERAGE(2237,2712)/29.9*0.5</f>
        <v>41.379598662207357</v>
      </c>
      <c r="K126" s="1" t="s">
        <v>282</v>
      </c>
      <c r="L126" s="50" t="s">
        <v>186</v>
      </c>
      <c r="M126" s="50" t="s">
        <v>186</v>
      </c>
    </row>
    <row r="127" spans="1:15" x14ac:dyDescent="0.3">
      <c r="A127" s="1" t="s">
        <v>87</v>
      </c>
      <c r="B127" s="35">
        <f t="shared" si="6"/>
        <v>1.3200000000000003</v>
      </c>
      <c r="C127" s="38" t="s">
        <v>116</v>
      </c>
      <c r="D127" s="32">
        <v>1.17</v>
      </c>
      <c r="E127" s="1" t="s">
        <v>263</v>
      </c>
      <c r="F127" s="32">
        <v>0</v>
      </c>
      <c r="G127" s="1" t="s">
        <v>117</v>
      </c>
      <c r="H127" s="32">
        <v>2.4900000000000002</v>
      </c>
      <c r="I127" s="1" t="s">
        <v>115</v>
      </c>
      <c r="J127" s="32">
        <v>0</v>
      </c>
      <c r="K127" s="1" t="s">
        <v>117</v>
      </c>
      <c r="L127" s="50" t="s">
        <v>186</v>
      </c>
      <c r="M127" s="50" t="s">
        <v>186</v>
      </c>
    </row>
    <row r="128" spans="1:15" x14ac:dyDescent="0.3">
      <c r="A128" s="1" t="s">
        <v>88</v>
      </c>
      <c r="B128" s="35">
        <f t="shared" si="6"/>
        <v>3.9199999999999995</v>
      </c>
      <c r="C128" s="38" t="s">
        <v>116</v>
      </c>
      <c r="D128" s="32">
        <v>1.85</v>
      </c>
      <c r="E128" s="1" t="s">
        <v>89</v>
      </c>
      <c r="F128" s="32">
        <v>0</v>
      </c>
      <c r="G128" s="1" t="s">
        <v>117</v>
      </c>
      <c r="H128" s="32">
        <v>5.77</v>
      </c>
      <c r="I128" s="1" t="s">
        <v>265</v>
      </c>
      <c r="J128" s="32">
        <v>0</v>
      </c>
      <c r="K128" s="1" t="s">
        <v>117</v>
      </c>
      <c r="L128" s="50" t="s">
        <v>186</v>
      </c>
      <c r="M128" s="50" t="s">
        <v>186</v>
      </c>
    </row>
    <row r="129" spans="1:13" x14ac:dyDescent="0.3">
      <c r="A129" s="1" t="s">
        <v>90</v>
      </c>
      <c r="B129" s="35">
        <f t="shared" si="6"/>
        <v>0.84999999999999987</v>
      </c>
      <c r="C129" s="38" t="s">
        <v>116</v>
      </c>
      <c r="D129" s="32">
        <v>1.49</v>
      </c>
      <c r="E129" s="1" t="s">
        <v>268</v>
      </c>
      <c r="F129" s="32">
        <v>0</v>
      </c>
      <c r="G129" s="1" t="s">
        <v>117</v>
      </c>
      <c r="H129" s="32">
        <v>2.34</v>
      </c>
      <c r="I129" s="1" t="s">
        <v>91</v>
      </c>
      <c r="J129" s="32">
        <v>0</v>
      </c>
      <c r="K129" s="1" t="s">
        <v>117</v>
      </c>
      <c r="L129" s="50" t="s">
        <v>186</v>
      </c>
      <c r="M129" s="50" t="s">
        <v>186</v>
      </c>
    </row>
    <row r="130" spans="1:13" x14ac:dyDescent="0.3">
      <c r="A130" s="1" t="s">
        <v>93</v>
      </c>
      <c r="B130" s="35">
        <f t="shared" si="6"/>
        <v>1.8800000000000001</v>
      </c>
      <c r="C130" s="38" t="s">
        <v>116</v>
      </c>
      <c r="D130" s="32">
        <v>1.49</v>
      </c>
      <c r="E130" s="1" t="s">
        <v>268</v>
      </c>
      <c r="F130" s="32">
        <v>0</v>
      </c>
      <c r="G130" s="1" t="s">
        <v>117</v>
      </c>
      <c r="H130" s="32">
        <v>3.37</v>
      </c>
      <c r="I130" s="1" t="s">
        <v>269</v>
      </c>
      <c r="J130" s="32">
        <v>0</v>
      </c>
      <c r="K130" s="1" t="s">
        <v>117</v>
      </c>
      <c r="L130" s="50" t="s">
        <v>186</v>
      </c>
      <c r="M130" s="50" t="s">
        <v>186</v>
      </c>
    </row>
    <row r="131" spans="1:13" x14ac:dyDescent="0.3">
      <c r="A131" s="1" t="s">
        <v>94</v>
      </c>
      <c r="B131" s="35">
        <f t="shared" si="6"/>
        <v>1.97</v>
      </c>
      <c r="C131" s="38" t="s">
        <v>116</v>
      </c>
      <c r="D131" s="32">
        <v>0.99</v>
      </c>
      <c r="E131" s="1" t="s">
        <v>270</v>
      </c>
      <c r="F131" s="32">
        <v>0</v>
      </c>
      <c r="G131" s="1" t="s">
        <v>117</v>
      </c>
      <c r="H131" s="32">
        <v>2.96</v>
      </c>
      <c r="I131" s="1" t="s">
        <v>271</v>
      </c>
      <c r="J131" s="32">
        <v>0</v>
      </c>
      <c r="K131" s="1" t="s">
        <v>117</v>
      </c>
      <c r="L131" s="50" t="s">
        <v>186</v>
      </c>
      <c r="M131" s="50" t="s">
        <v>186</v>
      </c>
    </row>
    <row r="132" spans="1:13" x14ac:dyDescent="0.3">
      <c r="A132" s="1" t="s">
        <v>95</v>
      </c>
      <c r="B132" s="35">
        <f t="shared" si="6"/>
        <v>3.9199999999999995</v>
      </c>
      <c r="C132" s="38" t="s">
        <v>116</v>
      </c>
      <c r="D132" s="32">
        <v>1.85</v>
      </c>
      <c r="E132" s="1" t="s">
        <v>89</v>
      </c>
      <c r="F132" s="32">
        <v>0</v>
      </c>
      <c r="G132" s="1" t="s">
        <v>117</v>
      </c>
      <c r="H132" s="32">
        <v>5.77</v>
      </c>
      <c r="I132" s="1" t="s">
        <v>265</v>
      </c>
      <c r="J132" s="32">
        <v>0</v>
      </c>
      <c r="K132" s="1" t="s">
        <v>117</v>
      </c>
      <c r="L132" s="50" t="s">
        <v>186</v>
      </c>
      <c r="M132" s="50" t="s">
        <v>186</v>
      </c>
    </row>
    <row r="133" spans="1:13" x14ac:dyDescent="0.3">
      <c r="A133" s="1" t="s">
        <v>96</v>
      </c>
      <c r="B133" s="35">
        <f t="shared" ref="B133:B165" si="11">(H133+J133)-(D133+F133)</f>
        <v>3.14</v>
      </c>
      <c r="C133" s="38" t="s">
        <v>116</v>
      </c>
      <c r="D133" s="32">
        <v>1.85</v>
      </c>
      <c r="E133" s="1" t="s">
        <v>89</v>
      </c>
      <c r="F133" s="32">
        <v>0</v>
      </c>
      <c r="G133" s="1" t="s">
        <v>117</v>
      </c>
      <c r="H133" s="32">
        <v>4.99</v>
      </c>
      <c r="I133" s="1" t="s">
        <v>266</v>
      </c>
      <c r="J133" s="32">
        <v>0</v>
      </c>
      <c r="K133" s="1" t="s">
        <v>117</v>
      </c>
      <c r="L133" s="50" t="s">
        <v>186</v>
      </c>
      <c r="M133" s="50" t="s">
        <v>186</v>
      </c>
    </row>
    <row r="134" spans="1:13" x14ac:dyDescent="0.3">
      <c r="A134" s="1" t="s">
        <v>92</v>
      </c>
      <c r="B134" s="35">
        <f t="shared" si="11"/>
        <v>0.43999999999999995</v>
      </c>
      <c r="C134" s="38" t="s">
        <v>116</v>
      </c>
      <c r="D134" s="32">
        <v>2.85</v>
      </c>
      <c r="E134" s="1" t="s">
        <v>284</v>
      </c>
      <c r="F134" s="32">
        <v>0</v>
      </c>
      <c r="G134" s="1" t="s">
        <v>117</v>
      </c>
      <c r="H134" s="32">
        <v>3.29</v>
      </c>
      <c r="I134" s="1" t="s">
        <v>285</v>
      </c>
      <c r="J134" s="32">
        <v>0</v>
      </c>
      <c r="K134" s="1" t="s">
        <v>117</v>
      </c>
      <c r="L134" s="50" t="s">
        <v>186</v>
      </c>
      <c r="M134" s="50" t="s">
        <v>186</v>
      </c>
    </row>
    <row r="135" spans="1:13" x14ac:dyDescent="0.3">
      <c r="A135" s="1" t="s">
        <v>61</v>
      </c>
      <c r="B135" s="35">
        <f t="shared" si="11"/>
        <v>2.15</v>
      </c>
      <c r="C135" s="38" t="s">
        <v>116</v>
      </c>
      <c r="D135" s="32">
        <v>2.85</v>
      </c>
      <c r="E135" s="1" t="s">
        <v>284</v>
      </c>
      <c r="F135" s="32">
        <v>0</v>
      </c>
      <c r="G135" s="1" t="s">
        <v>117</v>
      </c>
      <c r="H135" s="32">
        <v>5</v>
      </c>
      <c r="I135" s="1" t="s">
        <v>283</v>
      </c>
      <c r="J135" s="32">
        <v>0</v>
      </c>
      <c r="K135" s="1" t="s">
        <v>117</v>
      </c>
      <c r="L135" s="50" t="s">
        <v>186</v>
      </c>
      <c r="M135" s="50" t="s">
        <v>186</v>
      </c>
    </row>
    <row r="136" spans="1:13" x14ac:dyDescent="0.3">
      <c r="A136" s="1" t="s">
        <v>62</v>
      </c>
      <c r="B136" s="35">
        <f t="shared" si="11"/>
        <v>1.2000000000000002</v>
      </c>
      <c r="C136" s="38" t="s">
        <v>116</v>
      </c>
      <c r="D136" s="32">
        <v>1.17</v>
      </c>
      <c r="E136" s="1" t="s">
        <v>263</v>
      </c>
      <c r="F136" s="32">
        <v>0</v>
      </c>
      <c r="G136" s="1" t="s">
        <v>117</v>
      </c>
      <c r="H136" s="32">
        <v>2.37</v>
      </c>
      <c r="I136" s="1" t="s">
        <v>264</v>
      </c>
      <c r="J136" s="32">
        <v>0</v>
      </c>
      <c r="K136" s="1" t="s">
        <v>117</v>
      </c>
      <c r="L136" s="50" t="s">
        <v>186</v>
      </c>
      <c r="M136" s="50" t="s">
        <v>186</v>
      </c>
    </row>
    <row r="137" spans="1:13" x14ac:dyDescent="0.3">
      <c r="A137" s="1" t="s">
        <v>63</v>
      </c>
      <c r="B137" s="35">
        <f t="shared" si="11"/>
        <v>3.14</v>
      </c>
      <c r="C137" s="38" t="s">
        <v>116</v>
      </c>
      <c r="D137" s="32">
        <v>1.85</v>
      </c>
      <c r="E137" s="1" t="s">
        <v>89</v>
      </c>
      <c r="F137" s="32">
        <v>0</v>
      </c>
      <c r="G137" s="1" t="s">
        <v>117</v>
      </c>
      <c r="H137" s="32">
        <v>4.99</v>
      </c>
      <c r="I137" s="1" t="s">
        <v>266</v>
      </c>
      <c r="J137" s="32">
        <v>0</v>
      </c>
      <c r="K137" s="1" t="s">
        <v>117</v>
      </c>
      <c r="L137" s="50" t="s">
        <v>186</v>
      </c>
      <c r="M137" s="50" t="s">
        <v>186</v>
      </c>
    </row>
    <row r="138" spans="1:13" x14ac:dyDescent="0.3">
      <c r="A138" s="1" t="s">
        <v>67</v>
      </c>
      <c r="B138" s="35">
        <f t="shared" si="11"/>
        <v>6767</v>
      </c>
      <c r="C138" s="38" t="s">
        <v>218</v>
      </c>
      <c r="D138" s="32">
        <v>419</v>
      </c>
      <c r="E138" s="1" t="s">
        <v>272</v>
      </c>
      <c r="F138" s="32">
        <f>105*6.8</f>
        <v>714</v>
      </c>
      <c r="G138" s="1" t="s">
        <v>289</v>
      </c>
      <c r="H138" s="32">
        <v>7900</v>
      </c>
      <c r="I138" s="1" t="s">
        <v>309</v>
      </c>
      <c r="J138" s="32">
        <v>0</v>
      </c>
      <c r="K138" s="1" t="s">
        <v>255</v>
      </c>
      <c r="L138" s="50" t="s">
        <v>186</v>
      </c>
      <c r="M138" s="50" t="s">
        <v>186</v>
      </c>
    </row>
    <row r="139" spans="1:13" x14ac:dyDescent="0.3">
      <c r="A139" s="1" t="s">
        <v>68</v>
      </c>
      <c r="B139" s="35">
        <f t="shared" si="11"/>
        <v>2380.91</v>
      </c>
      <c r="C139" s="38" t="s">
        <v>178</v>
      </c>
      <c r="D139" s="32">
        <v>349</v>
      </c>
      <c r="E139" s="1" t="s">
        <v>273</v>
      </c>
      <c r="F139" s="32">
        <f>105*6.8</f>
        <v>714</v>
      </c>
      <c r="G139" s="1" t="s">
        <v>289</v>
      </c>
      <c r="H139" s="32">
        <f>(271+99.97)*3</f>
        <v>1112.9100000000001</v>
      </c>
      <c r="I139" s="1" t="s">
        <v>308</v>
      </c>
      <c r="J139" s="32">
        <f>105*(11.1+11.1*0.5+11.1*0.5)</f>
        <v>2331</v>
      </c>
      <c r="K139" s="1" t="s">
        <v>307</v>
      </c>
      <c r="L139" s="50" t="s">
        <v>186</v>
      </c>
      <c r="M139" s="50" t="s">
        <v>186</v>
      </c>
    </row>
    <row r="140" spans="1:13" x14ac:dyDescent="0.3">
      <c r="A140" s="1" t="s">
        <v>97</v>
      </c>
      <c r="B140" s="35">
        <f t="shared" si="11"/>
        <v>1006</v>
      </c>
      <c r="C140" s="38" t="s">
        <v>116</v>
      </c>
      <c r="D140" s="32">
        <f>419</f>
        <v>419</v>
      </c>
      <c r="E140" s="1" t="s">
        <v>272</v>
      </c>
      <c r="F140" s="32">
        <f>105*6.8</f>
        <v>714</v>
      </c>
      <c r="G140" s="1" t="s">
        <v>289</v>
      </c>
      <c r="H140" s="32">
        <v>1299</v>
      </c>
      <c r="I140" s="1" t="s">
        <v>293</v>
      </c>
      <c r="J140" s="32">
        <f>105*8</f>
        <v>840</v>
      </c>
      <c r="K140" s="1" t="s">
        <v>306</v>
      </c>
      <c r="L140" s="50" t="s">
        <v>186</v>
      </c>
      <c r="M140" s="50" t="s">
        <v>186</v>
      </c>
    </row>
    <row r="141" spans="1:13" x14ac:dyDescent="0.3">
      <c r="A141" s="1" t="s">
        <v>100</v>
      </c>
      <c r="B141" s="35">
        <f t="shared" si="11"/>
        <v>116.77</v>
      </c>
      <c r="C141" s="38" t="s">
        <v>116</v>
      </c>
      <c r="D141" s="32">
        <v>0</v>
      </c>
      <c r="E141" s="1" t="s">
        <v>118</v>
      </c>
      <c r="F141" s="32">
        <v>0</v>
      </c>
      <c r="G141" s="1" t="s">
        <v>117</v>
      </c>
      <c r="H141" s="32">
        <v>11.77</v>
      </c>
      <c r="I141" s="1" t="s">
        <v>221</v>
      </c>
      <c r="J141" s="32">
        <f>105</f>
        <v>105</v>
      </c>
      <c r="K141" s="1" t="s">
        <v>288</v>
      </c>
      <c r="L141" s="50" t="s">
        <v>186</v>
      </c>
      <c r="M141" s="50" t="s">
        <v>186</v>
      </c>
    </row>
    <row r="142" spans="1:13" x14ac:dyDescent="0.3">
      <c r="A142" s="1" t="s">
        <v>101</v>
      </c>
      <c r="B142" s="35">
        <f t="shared" si="11"/>
        <v>7</v>
      </c>
      <c r="C142" s="38" t="s">
        <v>116</v>
      </c>
      <c r="D142" s="32">
        <v>0</v>
      </c>
      <c r="E142" s="1" t="s">
        <v>232</v>
      </c>
      <c r="F142" s="32">
        <v>0</v>
      </c>
      <c r="G142" s="1" t="s">
        <v>117</v>
      </c>
      <c r="H142" s="32">
        <v>7</v>
      </c>
      <c r="I142" s="1" t="s">
        <v>274</v>
      </c>
      <c r="J142" s="32">
        <v>0</v>
      </c>
      <c r="K142" s="1" t="s">
        <v>117</v>
      </c>
      <c r="L142" s="50" t="s">
        <v>186</v>
      </c>
      <c r="M142" s="50" t="s">
        <v>186</v>
      </c>
    </row>
    <row r="143" spans="1:13" x14ac:dyDescent="0.3">
      <c r="A143" s="1" t="s">
        <v>102</v>
      </c>
      <c r="B143" s="35">
        <f t="shared" si="11"/>
        <v>3</v>
      </c>
      <c r="C143" s="38" t="s">
        <v>178</v>
      </c>
      <c r="D143" s="32">
        <v>0</v>
      </c>
      <c r="E143" s="1" t="s">
        <v>118</v>
      </c>
      <c r="F143" s="32">
        <v>0</v>
      </c>
      <c r="G143" s="1" t="s">
        <v>117</v>
      </c>
      <c r="H143" s="32">
        <v>3</v>
      </c>
      <c r="I143" s="1" t="s">
        <v>275</v>
      </c>
      <c r="J143" s="32">
        <v>0</v>
      </c>
      <c r="K143" s="1" t="s">
        <v>117</v>
      </c>
      <c r="L143" s="50" t="s">
        <v>186</v>
      </c>
      <c r="M143" s="50" t="s">
        <v>186</v>
      </c>
    </row>
    <row r="144" spans="1:13" x14ac:dyDescent="0.3">
      <c r="A144" s="1" t="s">
        <v>103</v>
      </c>
      <c r="B144" s="35">
        <f t="shared" si="11"/>
        <v>143.33000000000001</v>
      </c>
      <c r="C144" s="38" t="s">
        <v>116</v>
      </c>
      <c r="D144" s="32">
        <v>0</v>
      </c>
      <c r="E144" s="1" t="s">
        <v>118</v>
      </c>
      <c r="F144" s="32">
        <v>0</v>
      </c>
      <c r="G144" s="1" t="s">
        <v>117</v>
      </c>
      <c r="H144" s="32">
        <v>59.99</v>
      </c>
      <c r="I144" s="1" t="s">
        <v>290</v>
      </c>
      <c r="J144" s="32">
        <v>83.34</v>
      </c>
      <c r="K144" s="1" t="s">
        <v>291</v>
      </c>
      <c r="L144" s="50" t="s">
        <v>186</v>
      </c>
      <c r="M144" s="50" t="s">
        <v>186</v>
      </c>
    </row>
    <row r="145" spans="1:13" x14ac:dyDescent="0.3">
      <c r="A145" s="1" t="s">
        <v>104</v>
      </c>
      <c r="B145" s="35">
        <f t="shared" ref="B145" si="12">(H145+J145)-(D145+F145)</f>
        <v>167.92000000000002</v>
      </c>
      <c r="C145" s="38" t="s">
        <v>116</v>
      </c>
      <c r="D145" s="32">
        <v>0</v>
      </c>
      <c r="E145" s="1" t="s">
        <v>118</v>
      </c>
      <c r="F145" s="32">
        <v>0</v>
      </c>
      <c r="G145" s="1" t="s">
        <v>117</v>
      </c>
      <c r="H145" s="32">
        <v>27.92</v>
      </c>
      <c r="I145" s="1" t="s">
        <v>2</v>
      </c>
      <c r="J145" s="32">
        <v>140</v>
      </c>
      <c r="K145" s="1" t="s">
        <v>310</v>
      </c>
      <c r="L145" s="50" t="s">
        <v>186</v>
      </c>
      <c r="M145" s="50" t="s">
        <v>186</v>
      </c>
    </row>
    <row r="146" spans="1:13" x14ac:dyDescent="0.3">
      <c r="A146" s="1" t="s">
        <v>21</v>
      </c>
      <c r="B146" s="35">
        <f>(H146+J146)-(D146+F146)</f>
        <v>906.94999999999982</v>
      </c>
      <c r="C146" s="38" t="s">
        <v>116</v>
      </c>
      <c r="D146" s="32">
        <v>949</v>
      </c>
      <c r="E146" s="1" t="s">
        <v>305</v>
      </c>
      <c r="F146" s="32">
        <f>AVERAGE(519,629)</f>
        <v>574</v>
      </c>
      <c r="G146" s="1" t="s">
        <v>226</v>
      </c>
      <c r="H146" s="32">
        <f>1639.95+216</f>
        <v>1855.95</v>
      </c>
      <c r="I146" s="1" t="s">
        <v>22</v>
      </c>
      <c r="J146" s="32">
        <f>AVERAGE(519,629)</f>
        <v>574</v>
      </c>
      <c r="K146" s="1" t="s">
        <v>226</v>
      </c>
      <c r="L146" s="50" t="s">
        <v>186</v>
      </c>
      <c r="M146" s="50" t="s">
        <v>186</v>
      </c>
    </row>
    <row r="147" spans="1:13" x14ac:dyDescent="0.3">
      <c r="A147" s="1" t="s">
        <v>99</v>
      </c>
      <c r="B147" s="35">
        <f t="shared" si="11"/>
        <v>3477</v>
      </c>
      <c r="C147" s="38" t="s">
        <v>116</v>
      </c>
      <c r="D147" s="32">
        <v>949</v>
      </c>
      <c r="E147" s="1" t="s">
        <v>305</v>
      </c>
      <c r="F147" s="32">
        <f>AVERAGE(519,629)</f>
        <v>574</v>
      </c>
      <c r="G147" s="1" t="s">
        <v>226</v>
      </c>
      <c r="H147" s="51">
        <f>AVERAGE(5500,5000,4500)</f>
        <v>5000</v>
      </c>
      <c r="I147" s="1" t="s">
        <v>313</v>
      </c>
      <c r="J147" s="32">
        <v>0</v>
      </c>
      <c r="K147" s="1" t="s">
        <v>255</v>
      </c>
      <c r="L147" s="50" t="s">
        <v>186</v>
      </c>
      <c r="M147" s="50" t="s">
        <v>186</v>
      </c>
    </row>
    <row r="148" spans="1:13" ht="17.25" customHeight="1" x14ac:dyDescent="0.3">
      <c r="A148" s="1" t="s">
        <v>98</v>
      </c>
      <c r="B148" s="35">
        <f t="shared" si="11"/>
        <v>2259.0100000000002</v>
      </c>
      <c r="C148" s="38" t="s">
        <v>116</v>
      </c>
      <c r="D148" s="32">
        <v>179.99</v>
      </c>
      <c r="E148" s="1" t="s">
        <v>216</v>
      </c>
      <c r="F148" s="32">
        <v>150</v>
      </c>
      <c r="G148" s="1" t="s">
        <v>217</v>
      </c>
      <c r="H148" s="32">
        <f>1599+90</f>
        <v>1689</v>
      </c>
      <c r="I148" s="1" t="s">
        <v>260</v>
      </c>
      <c r="J148" s="32">
        <f>150+750</f>
        <v>900</v>
      </c>
      <c r="K148" s="1" t="s">
        <v>286</v>
      </c>
      <c r="L148" s="50" t="s">
        <v>186</v>
      </c>
      <c r="M148" s="50" t="s">
        <v>186</v>
      </c>
    </row>
    <row r="149" spans="1:13" x14ac:dyDescent="0.3">
      <c r="A149" s="1" t="s">
        <v>65</v>
      </c>
      <c r="B149" s="35">
        <f t="shared" si="11"/>
        <v>1085.01</v>
      </c>
      <c r="C149" s="38" t="s">
        <v>215</v>
      </c>
      <c r="D149" s="32">
        <v>179.99</v>
      </c>
      <c r="E149" s="1" t="s">
        <v>216</v>
      </c>
      <c r="F149" s="32">
        <v>150</v>
      </c>
      <c r="G149" s="1" t="s">
        <v>217</v>
      </c>
      <c r="H149" s="32">
        <v>1265</v>
      </c>
      <c r="I149" s="1" t="s">
        <v>295</v>
      </c>
      <c r="J149" s="32">
        <v>150</v>
      </c>
      <c r="K149" s="1" t="s">
        <v>217</v>
      </c>
      <c r="L149" s="50" t="s">
        <v>186</v>
      </c>
      <c r="M149" s="50" t="s">
        <v>186</v>
      </c>
    </row>
    <row r="150" spans="1:13" x14ac:dyDescent="0.3">
      <c r="A150" s="1" t="s">
        <v>66</v>
      </c>
      <c r="B150" s="35">
        <f t="shared" si="11"/>
        <v>359.01</v>
      </c>
      <c r="C150" s="38" t="s">
        <v>215</v>
      </c>
      <c r="D150" s="32">
        <v>179.99</v>
      </c>
      <c r="E150" s="1" t="s">
        <v>216</v>
      </c>
      <c r="F150" s="32">
        <v>150</v>
      </c>
      <c r="G150" s="1" t="s">
        <v>217</v>
      </c>
      <c r="H150" s="32">
        <v>539</v>
      </c>
      <c r="I150" s="1" t="s">
        <v>259</v>
      </c>
      <c r="J150" s="32">
        <v>150</v>
      </c>
      <c r="K150" s="1" t="s">
        <v>217</v>
      </c>
      <c r="L150" s="50" t="s">
        <v>186</v>
      </c>
      <c r="M150" s="50" t="s">
        <v>186</v>
      </c>
    </row>
    <row r="151" spans="1:13" x14ac:dyDescent="0.3">
      <c r="A151" s="1" t="s">
        <v>105</v>
      </c>
      <c r="B151" s="35">
        <f t="shared" si="11"/>
        <v>5204.5714285714294</v>
      </c>
      <c r="C151" s="38" t="s">
        <v>178</v>
      </c>
      <c r="D151" s="32">
        <v>0</v>
      </c>
      <c r="E151" s="1" t="s">
        <v>118</v>
      </c>
      <c r="F151" s="32">
        <v>0</v>
      </c>
      <c r="G151" s="1" t="s">
        <v>117</v>
      </c>
      <c r="H151" s="32">
        <f>1.1*(2208/1.4)*3</f>
        <v>5204.5714285714294</v>
      </c>
      <c r="I151" s="1" t="s">
        <v>244</v>
      </c>
      <c r="J151" s="32">
        <v>0</v>
      </c>
      <c r="K151" s="1" t="s">
        <v>255</v>
      </c>
      <c r="L151" s="52" t="s">
        <v>176</v>
      </c>
      <c r="M151" s="52" t="s">
        <v>179</v>
      </c>
    </row>
    <row r="152" spans="1:13" x14ac:dyDescent="0.3">
      <c r="A152" s="1" t="s">
        <v>105</v>
      </c>
      <c r="B152" s="35">
        <f t="shared" si="11"/>
        <v>4323.0000000000009</v>
      </c>
      <c r="C152" s="38" t="s">
        <v>178</v>
      </c>
      <c r="D152" s="32">
        <v>0</v>
      </c>
      <c r="E152" s="1" t="s">
        <v>118</v>
      </c>
      <c r="F152" s="32">
        <v>0</v>
      </c>
      <c r="G152" s="1" t="s">
        <v>117</v>
      </c>
      <c r="H152" s="32">
        <f>1.1*1310*3</f>
        <v>4323.0000000000009</v>
      </c>
      <c r="I152" s="1" t="s">
        <v>244</v>
      </c>
      <c r="J152" s="32">
        <v>0</v>
      </c>
      <c r="K152" s="1" t="s">
        <v>255</v>
      </c>
      <c r="L152" s="52" t="s">
        <v>176</v>
      </c>
      <c r="M152" s="52" t="s">
        <v>184</v>
      </c>
    </row>
    <row r="153" spans="1:13" x14ac:dyDescent="0.3">
      <c r="A153" s="1" t="s">
        <v>105</v>
      </c>
      <c r="B153" s="35">
        <f t="shared" si="11"/>
        <v>4560.6000000000004</v>
      </c>
      <c r="C153" s="38" t="s">
        <v>178</v>
      </c>
      <c r="D153" s="32">
        <v>0</v>
      </c>
      <c r="E153" s="1" t="s">
        <v>118</v>
      </c>
      <c r="F153" s="32">
        <v>0</v>
      </c>
      <c r="G153" s="1" t="s">
        <v>117</v>
      </c>
      <c r="H153" s="32">
        <f>1.1*1382*3</f>
        <v>4560.6000000000004</v>
      </c>
      <c r="I153" s="1" t="s">
        <v>244</v>
      </c>
      <c r="J153" s="32">
        <v>0</v>
      </c>
      <c r="K153" s="1" t="s">
        <v>255</v>
      </c>
      <c r="L153" s="52" t="s">
        <v>176</v>
      </c>
      <c r="M153" s="52" t="s">
        <v>185</v>
      </c>
    </row>
    <row r="154" spans="1:13" x14ac:dyDescent="0.3">
      <c r="A154" s="1" t="s">
        <v>106</v>
      </c>
      <c r="B154" s="35">
        <f t="shared" si="11"/>
        <v>5204.5714285714294</v>
      </c>
      <c r="C154" s="38" t="s">
        <v>178</v>
      </c>
      <c r="D154" s="32">
        <v>0</v>
      </c>
      <c r="E154" s="1" t="s">
        <v>118</v>
      </c>
      <c r="F154" s="32">
        <v>0</v>
      </c>
      <c r="G154" s="1" t="s">
        <v>117</v>
      </c>
      <c r="H154" s="32">
        <f>1.1*(2208/1.4)*3</f>
        <v>5204.5714285714294</v>
      </c>
      <c r="I154" s="1" t="s">
        <v>244</v>
      </c>
      <c r="J154" s="32">
        <v>0</v>
      </c>
      <c r="K154" s="1" t="s">
        <v>255</v>
      </c>
      <c r="L154" s="52" t="s">
        <v>176</v>
      </c>
      <c r="M154" s="52" t="s">
        <v>179</v>
      </c>
    </row>
    <row r="155" spans="1:13" x14ac:dyDescent="0.3">
      <c r="A155" s="1" t="s">
        <v>106</v>
      </c>
      <c r="B155" s="35">
        <f t="shared" si="11"/>
        <v>4323.0000000000009</v>
      </c>
      <c r="C155" s="38" t="s">
        <v>178</v>
      </c>
      <c r="D155" s="32">
        <v>0</v>
      </c>
      <c r="E155" s="1" t="s">
        <v>118</v>
      </c>
      <c r="F155" s="32">
        <v>0</v>
      </c>
      <c r="G155" s="1" t="s">
        <v>117</v>
      </c>
      <c r="H155" s="32">
        <f>1.1*1310*3</f>
        <v>4323.0000000000009</v>
      </c>
      <c r="I155" s="1" t="s">
        <v>244</v>
      </c>
      <c r="J155" s="32">
        <v>0</v>
      </c>
      <c r="K155" s="1" t="s">
        <v>255</v>
      </c>
      <c r="L155" s="52" t="s">
        <v>176</v>
      </c>
      <c r="M155" s="52" t="s">
        <v>184</v>
      </c>
    </row>
    <row r="156" spans="1:13" x14ac:dyDescent="0.3">
      <c r="A156" s="1" t="s">
        <v>106</v>
      </c>
      <c r="B156" s="35">
        <f t="shared" si="11"/>
        <v>4560.6000000000004</v>
      </c>
      <c r="C156" s="38" t="s">
        <v>178</v>
      </c>
      <c r="D156" s="32">
        <v>0</v>
      </c>
      <c r="E156" s="1" t="s">
        <v>118</v>
      </c>
      <c r="F156" s="32">
        <v>0</v>
      </c>
      <c r="G156" s="1" t="s">
        <v>117</v>
      </c>
      <c r="H156" s="32">
        <f>1.1*1382*3</f>
        <v>4560.6000000000004</v>
      </c>
      <c r="I156" s="1" t="s">
        <v>244</v>
      </c>
      <c r="J156" s="32">
        <v>0</v>
      </c>
      <c r="K156" s="1" t="s">
        <v>255</v>
      </c>
      <c r="L156" s="52" t="s">
        <v>176</v>
      </c>
      <c r="M156" s="52" t="s">
        <v>185</v>
      </c>
    </row>
    <row r="157" spans="1:13" x14ac:dyDescent="0.3">
      <c r="A157" s="1" t="s">
        <v>107</v>
      </c>
      <c r="B157" s="35">
        <f t="shared" si="11"/>
        <v>5204.5714285714294</v>
      </c>
      <c r="C157" s="38" t="s">
        <v>178</v>
      </c>
      <c r="D157" s="32">
        <v>0</v>
      </c>
      <c r="E157" s="1" t="s">
        <v>118</v>
      </c>
      <c r="F157" s="32">
        <v>0</v>
      </c>
      <c r="G157" s="1" t="s">
        <v>117</v>
      </c>
      <c r="H157" s="32">
        <f>1.1*(2208/1.4)*3</f>
        <v>5204.5714285714294</v>
      </c>
      <c r="I157" s="1" t="s">
        <v>244</v>
      </c>
      <c r="J157" s="32">
        <v>0</v>
      </c>
      <c r="K157" s="1" t="s">
        <v>255</v>
      </c>
      <c r="L157" s="52" t="s">
        <v>176</v>
      </c>
      <c r="M157" s="52" t="s">
        <v>179</v>
      </c>
    </row>
    <row r="158" spans="1:13" x14ac:dyDescent="0.3">
      <c r="A158" s="1" t="s">
        <v>107</v>
      </c>
      <c r="B158" s="35">
        <f t="shared" si="11"/>
        <v>4323.0000000000009</v>
      </c>
      <c r="C158" s="38" t="s">
        <v>178</v>
      </c>
      <c r="D158" s="32">
        <v>0</v>
      </c>
      <c r="E158" s="1" t="s">
        <v>118</v>
      </c>
      <c r="F158" s="32">
        <v>0</v>
      </c>
      <c r="G158" s="1" t="s">
        <v>117</v>
      </c>
      <c r="H158" s="32">
        <f>1.1*1310*3</f>
        <v>4323.0000000000009</v>
      </c>
      <c r="I158" s="1" t="s">
        <v>244</v>
      </c>
      <c r="J158" s="32">
        <v>0</v>
      </c>
      <c r="K158" s="1" t="s">
        <v>255</v>
      </c>
      <c r="L158" s="52" t="s">
        <v>176</v>
      </c>
      <c r="M158" s="52" t="s">
        <v>184</v>
      </c>
    </row>
    <row r="159" spans="1:13" x14ac:dyDescent="0.3">
      <c r="A159" s="1" t="s">
        <v>107</v>
      </c>
      <c r="B159" s="35">
        <f t="shared" si="11"/>
        <v>4560.6000000000004</v>
      </c>
      <c r="C159" s="38" t="s">
        <v>178</v>
      </c>
      <c r="D159" s="32">
        <v>0</v>
      </c>
      <c r="E159" s="1" t="s">
        <v>118</v>
      </c>
      <c r="F159" s="32">
        <v>0</v>
      </c>
      <c r="G159" s="1" t="s">
        <v>117</v>
      </c>
      <c r="H159" s="32">
        <f>1.1*1382*3</f>
        <v>4560.6000000000004</v>
      </c>
      <c r="I159" s="1" t="s">
        <v>244</v>
      </c>
      <c r="J159" s="32">
        <v>0</v>
      </c>
      <c r="K159" s="1" t="s">
        <v>255</v>
      </c>
      <c r="L159" s="52" t="s">
        <v>176</v>
      </c>
      <c r="M159" s="52" t="s">
        <v>185</v>
      </c>
    </row>
    <row r="160" spans="1:13" x14ac:dyDescent="0.3">
      <c r="A160" s="1" t="s">
        <v>107</v>
      </c>
      <c r="B160" s="35">
        <f t="shared" si="11"/>
        <v>4293.732691729324</v>
      </c>
      <c r="C160" s="38" t="s">
        <v>178</v>
      </c>
      <c r="D160" s="32">
        <f>2208/1.4*447.78/36/(60*19/30)</f>
        <v>516.23759398496236</v>
      </c>
      <c r="E160" s="1" t="s">
        <v>300</v>
      </c>
      <c r="F160" s="32">
        <f>50.04*10/2000*(2208/1.4)</f>
        <v>394.60114285714286</v>
      </c>
      <c r="G160" s="1" t="s">
        <v>292</v>
      </c>
      <c r="H160" s="32">
        <f>1.1*(2208/1.4)*3</f>
        <v>5204.5714285714294</v>
      </c>
      <c r="I160" s="1" t="s">
        <v>244</v>
      </c>
      <c r="J160" s="32">
        <v>0</v>
      </c>
      <c r="K160" s="1" t="s">
        <v>255</v>
      </c>
      <c r="L160" s="52" t="s">
        <v>177</v>
      </c>
      <c r="M160" s="52" t="s">
        <v>179</v>
      </c>
    </row>
    <row r="161" spans="1:13" x14ac:dyDescent="0.3">
      <c r="A161" s="1" t="s">
        <v>107</v>
      </c>
      <c r="B161" s="35">
        <f t="shared" si="11"/>
        <v>3566.4428245614044</v>
      </c>
      <c r="C161" s="38" t="s">
        <v>178</v>
      </c>
      <c r="D161" s="32">
        <f>1310*447.78/36/(60*19/30)</f>
        <v>428.79517543859646</v>
      </c>
      <c r="E161" s="1" t="s">
        <v>300</v>
      </c>
      <c r="F161" s="32">
        <f>50.04*10/2000*1310</f>
        <v>327.76199999999994</v>
      </c>
      <c r="G161" s="1" t="s">
        <v>292</v>
      </c>
      <c r="H161" s="32">
        <f>1.1*1310*3</f>
        <v>4323.0000000000009</v>
      </c>
      <c r="I161" s="1" t="s">
        <v>244</v>
      </c>
      <c r="J161" s="32">
        <v>0</v>
      </c>
      <c r="K161" s="1" t="s">
        <v>255</v>
      </c>
      <c r="L161" s="52" t="s">
        <v>177</v>
      </c>
      <c r="M161" s="52" t="s">
        <v>184</v>
      </c>
    </row>
    <row r="162" spans="1:13" x14ac:dyDescent="0.3">
      <c r="A162" s="1" t="s">
        <v>107</v>
      </c>
      <c r="B162" s="35">
        <f t="shared" si="11"/>
        <v>3762.4610561403515</v>
      </c>
      <c r="C162" s="38" t="s">
        <v>178</v>
      </c>
      <c r="D162" s="32">
        <f>1382*447.78/36/(60*19/30)</f>
        <v>452.36254385964907</v>
      </c>
      <c r="E162" s="1" t="s">
        <v>300</v>
      </c>
      <c r="F162" s="32">
        <f>50.04*10/2000*1382</f>
        <v>345.77639999999997</v>
      </c>
      <c r="G162" s="1" t="s">
        <v>292</v>
      </c>
      <c r="H162" s="32">
        <f>1.1*1382*3</f>
        <v>4560.6000000000004</v>
      </c>
      <c r="I162" s="1" t="s">
        <v>244</v>
      </c>
      <c r="J162" s="32">
        <v>0</v>
      </c>
      <c r="K162" s="1" t="s">
        <v>255</v>
      </c>
      <c r="L162" s="52" t="s">
        <v>177</v>
      </c>
      <c r="M162" s="52" t="s">
        <v>185</v>
      </c>
    </row>
    <row r="163" spans="1:13" x14ac:dyDescent="0.3">
      <c r="A163" s="1" t="s">
        <v>109</v>
      </c>
      <c r="B163" s="35">
        <f t="shared" si="11"/>
        <v>5204.5714285714294</v>
      </c>
      <c r="C163" s="38" t="s">
        <v>178</v>
      </c>
      <c r="D163" s="32">
        <v>0</v>
      </c>
      <c r="E163" s="1" t="s">
        <v>118</v>
      </c>
      <c r="F163" s="32">
        <v>0</v>
      </c>
      <c r="G163" s="1" t="s">
        <v>117</v>
      </c>
      <c r="H163" s="32">
        <f>1.1*(2208/1.4)*3</f>
        <v>5204.5714285714294</v>
      </c>
      <c r="I163" s="1" t="s">
        <v>244</v>
      </c>
      <c r="J163" s="32">
        <v>0</v>
      </c>
      <c r="K163" s="1" t="s">
        <v>255</v>
      </c>
      <c r="L163" s="52" t="s">
        <v>176</v>
      </c>
      <c r="M163" s="52" t="s">
        <v>179</v>
      </c>
    </row>
    <row r="164" spans="1:13" x14ac:dyDescent="0.3">
      <c r="A164" s="1" t="s">
        <v>109</v>
      </c>
      <c r="B164" s="35">
        <f t="shared" si="11"/>
        <v>4323.0000000000009</v>
      </c>
      <c r="C164" s="38" t="s">
        <v>178</v>
      </c>
      <c r="D164" s="32">
        <v>0</v>
      </c>
      <c r="E164" s="1" t="s">
        <v>118</v>
      </c>
      <c r="F164" s="32">
        <v>0</v>
      </c>
      <c r="G164" s="1" t="s">
        <v>117</v>
      </c>
      <c r="H164" s="32">
        <f>1.1*1310*3</f>
        <v>4323.0000000000009</v>
      </c>
      <c r="I164" s="1" t="s">
        <v>244</v>
      </c>
      <c r="J164" s="32">
        <v>0</v>
      </c>
      <c r="K164" s="1" t="s">
        <v>255</v>
      </c>
      <c r="L164" s="52" t="s">
        <v>176</v>
      </c>
      <c r="M164" s="52" t="s">
        <v>184</v>
      </c>
    </row>
    <row r="165" spans="1:13" x14ac:dyDescent="0.3">
      <c r="A165" s="1" t="s">
        <v>109</v>
      </c>
      <c r="B165" s="35">
        <f t="shared" si="11"/>
        <v>4560.6000000000004</v>
      </c>
      <c r="C165" s="38" t="s">
        <v>178</v>
      </c>
      <c r="D165" s="32">
        <v>0</v>
      </c>
      <c r="E165" s="1" t="s">
        <v>118</v>
      </c>
      <c r="F165" s="32">
        <v>0</v>
      </c>
      <c r="G165" s="1" t="s">
        <v>117</v>
      </c>
      <c r="H165" s="32">
        <f>1.1*1382*3</f>
        <v>4560.6000000000004</v>
      </c>
      <c r="I165" s="1" t="s">
        <v>244</v>
      </c>
      <c r="J165" s="32">
        <v>0</v>
      </c>
      <c r="K165" s="1" t="s">
        <v>255</v>
      </c>
      <c r="L165" s="52" t="s">
        <v>176</v>
      </c>
      <c r="M165" s="52" t="s">
        <v>185</v>
      </c>
    </row>
    <row r="169" spans="1:13" x14ac:dyDescent="0.3">
      <c r="D169" s="36"/>
      <c r="F169" s="36"/>
      <c r="G169" s="36"/>
      <c r="H169" s="36"/>
      <c r="J169" s="36"/>
    </row>
    <row r="170" spans="1:13" x14ac:dyDescent="0.3">
      <c r="D170" s="40"/>
      <c r="H170" s="36"/>
      <c r="J170" s="36"/>
    </row>
    <row r="171" spans="1:13" x14ac:dyDescent="0.3">
      <c r="H171" s="36"/>
      <c r="J171" s="3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24" sqref="D24"/>
    </sheetView>
  </sheetViews>
  <sheetFormatPr defaultRowHeight="14.4" x14ac:dyDescent="0.3"/>
  <cols>
    <col min="2" max="2" width="18.6640625" customWidth="1"/>
    <col min="3" max="3" width="33" customWidth="1"/>
    <col min="4" max="4" width="37.109375" customWidth="1"/>
    <col min="5" max="5" width="43" customWidth="1"/>
    <col min="6" max="6" width="130.5546875" customWidth="1"/>
  </cols>
  <sheetData>
    <row r="1" spans="1:6" x14ac:dyDescent="0.3">
      <c r="A1" s="2" t="s">
        <v>119</v>
      </c>
    </row>
    <row r="3" spans="1:6" x14ac:dyDescent="0.3">
      <c r="B3" s="3" t="s">
        <v>120</v>
      </c>
      <c r="C3" s="4" t="s">
        <v>121</v>
      </c>
      <c r="D3" s="4" t="s">
        <v>122</v>
      </c>
      <c r="E3" s="4" t="s">
        <v>123</v>
      </c>
      <c r="F3" s="5" t="s">
        <v>124</v>
      </c>
    </row>
    <row r="4" spans="1:6" x14ac:dyDescent="0.3">
      <c r="B4" s="6" t="s">
        <v>125</v>
      </c>
      <c r="C4" s="7" t="s">
        <v>126</v>
      </c>
      <c r="D4" s="8" t="s">
        <v>127</v>
      </c>
      <c r="E4" s="9">
        <f>60.7/1.143</f>
        <v>53.105861767279094</v>
      </c>
      <c r="F4" s="10" t="s">
        <v>128</v>
      </c>
    </row>
    <row r="5" spans="1:6" x14ac:dyDescent="0.3">
      <c r="B5" s="42" t="s">
        <v>129</v>
      </c>
      <c r="C5" s="11" t="s">
        <v>130</v>
      </c>
      <c r="D5" s="12" t="s">
        <v>127</v>
      </c>
      <c r="E5" s="13">
        <v>38.74</v>
      </c>
      <c r="F5" s="14" t="s">
        <v>131</v>
      </c>
    </row>
    <row r="6" spans="1:6" x14ac:dyDescent="0.3">
      <c r="B6" s="43"/>
      <c r="C6" s="15" t="s">
        <v>132</v>
      </c>
      <c r="D6" s="16" t="s">
        <v>133</v>
      </c>
      <c r="E6" s="17">
        <f>1.24/0.036</f>
        <v>34.44444444444445</v>
      </c>
      <c r="F6" s="18" t="s">
        <v>134</v>
      </c>
    </row>
    <row r="7" spans="1:6" x14ac:dyDescent="0.3">
      <c r="B7" s="43"/>
      <c r="C7" s="15" t="s">
        <v>135</v>
      </c>
      <c r="D7" s="16" t="s">
        <v>136</v>
      </c>
      <c r="E7" s="17">
        <f>26.79/0.727</f>
        <v>36.850068775790923</v>
      </c>
      <c r="F7" s="18" t="s">
        <v>137</v>
      </c>
    </row>
    <row r="8" spans="1:6" x14ac:dyDescent="0.3">
      <c r="B8" s="43"/>
      <c r="C8" s="15" t="s">
        <v>138</v>
      </c>
      <c r="D8" s="16" t="s">
        <v>127</v>
      </c>
      <c r="E8" s="17">
        <f>1274.45/32</f>
        <v>39.826562500000001</v>
      </c>
      <c r="F8" s="18" t="s">
        <v>139</v>
      </c>
    </row>
    <row r="9" spans="1:6" x14ac:dyDescent="0.3">
      <c r="B9" s="43"/>
      <c r="C9" s="15" t="s">
        <v>140</v>
      </c>
      <c r="D9" s="16" t="s">
        <v>133</v>
      </c>
      <c r="E9" s="17">
        <f>5.08/0.145</f>
        <v>35.03448275862069</v>
      </c>
      <c r="F9" s="18" t="s">
        <v>141</v>
      </c>
    </row>
    <row r="10" spans="1:6" x14ac:dyDescent="0.3">
      <c r="B10" s="44"/>
      <c r="C10" s="19" t="s">
        <v>142</v>
      </c>
      <c r="D10" s="20" t="s">
        <v>143</v>
      </c>
      <c r="E10" s="21">
        <f>47.94/1.096</f>
        <v>43.740875912408754</v>
      </c>
      <c r="F10" s="22" t="s">
        <v>144</v>
      </c>
    </row>
    <row r="11" spans="1:6" x14ac:dyDescent="0.3">
      <c r="B11" s="6" t="s">
        <v>145</v>
      </c>
      <c r="C11" s="7" t="s">
        <v>146</v>
      </c>
      <c r="D11" s="8" t="s">
        <v>147</v>
      </c>
      <c r="E11" s="9">
        <f>275.5/6.723</f>
        <v>40.978729733749816</v>
      </c>
      <c r="F11" s="10" t="s">
        <v>148</v>
      </c>
    </row>
    <row r="12" spans="1:6" x14ac:dyDescent="0.3">
      <c r="B12" s="42" t="s">
        <v>149</v>
      </c>
      <c r="C12" s="11" t="s">
        <v>150</v>
      </c>
      <c r="D12" s="12" t="s">
        <v>147</v>
      </c>
      <c r="E12" s="13">
        <f>65.61/1.6</f>
        <v>41.006249999999994</v>
      </c>
      <c r="F12" s="14" t="s">
        <v>151</v>
      </c>
    </row>
    <row r="13" spans="1:6" x14ac:dyDescent="0.3">
      <c r="B13" s="44"/>
      <c r="C13" s="19" t="s">
        <v>152</v>
      </c>
      <c r="D13" s="20" t="s">
        <v>147</v>
      </c>
      <c r="E13" s="21">
        <f>93.53/2.286</f>
        <v>40.914260717410322</v>
      </c>
      <c r="F13" s="22" t="s">
        <v>153</v>
      </c>
    </row>
    <row r="14" spans="1:6" x14ac:dyDescent="0.3">
      <c r="B14" s="45" t="s">
        <v>154</v>
      </c>
      <c r="C14" s="23" t="s">
        <v>155</v>
      </c>
      <c r="D14" s="24" t="s">
        <v>156</v>
      </c>
      <c r="E14" s="25">
        <f>0.92/0.027</f>
        <v>34.074074074074076</v>
      </c>
      <c r="F14" s="26" t="s">
        <v>157</v>
      </c>
    </row>
    <row r="15" spans="1:6" x14ac:dyDescent="0.3">
      <c r="B15" s="46"/>
      <c r="C15" s="27" t="s">
        <v>132</v>
      </c>
      <c r="D15" s="28" t="s">
        <v>133</v>
      </c>
      <c r="E15" s="29">
        <f>1.24/0.036</f>
        <v>34.44444444444445</v>
      </c>
      <c r="F15" s="30" t="s">
        <v>158</v>
      </c>
    </row>
    <row r="16" spans="1:6" s="31" customFormat="1" x14ac:dyDescent="0.3">
      <c r="B16" s="47"/>
      <c r="C16" s="27" t="s">
        <v>159</v>
      </c>
      <c r="D16" s="28" t="s">
        <v>160</v>
      </c>
      <c r="E16" s="29">
        <f>0.13/0.003</f>
        <v>43.333333333333336</v>
      </c>
      <c r="F16" s="30" t="s">
        <v>161</v>
      </c>
    </row>
    <row r="17" spans="2:6" x14ac:dyDescent="0.3">
      <c r="B17" s="42" t="s">
        <v>162</v>
      </c>
      <c r="C17" s="11" t="s">
        <v>163</v>
      </c>
      <c r="D17" s="12" t="s">
        <v>136</v>
      </c>
      <c r="E17" s="13">
        <f>37.7/1</f>
        <v>37.700000000000003</v>
      </c>
      <c r="F17" s="14" t="s">
        <v>164</v>
      </c>
    </row>
    <row r="18" spans="2:6" x14ac:dyDescent="0.3">
      <c r="B18" s="44"/>
      <c r="C18" s="19" t="s">
        <v>165</v>
      </c>
      <c r="D18" s="20" t="s">
        <v>166</v>
      </c>
      <c r="E18" s="21">
        <f>1.97/0.07</f>
        <v>28.142857142857139</v>
      </c>
      <c r="F18" s="22" t="s">
        <v>167</v>
      </c>
    </row>
    <row r="19" spans="2:6" x14ac:dyDescent="0.3">
      <c r="B19" s="46" t="s">
        <v>168</v>
      </c>
      <c r="C19" s="27" t="s">
        <v>169</v>
      </c>
      <c r="D19" s="28" t="s">
        <v>127</v>
      </c>
      <c r="E19" s="29">
        <v>43.71</v>
      </c>
      <c r="F19" s="30" t="s">
        <v>170</v>
      </c>
    </row>
    <row r="20" spans="2:6" x14ac:dyDescent="0.3">
      <c r="B20" s="47"/>
      <c r="C20" s="7" t="s">
        <v>171</v>
      </c>
      <c r="D20" s="8" t="s">
        <v>172</v>
      </c>
      <c r="E20" s="9">
        <f>162.83/3.2</f>
        <v>50.884374999999999</v>
      </c>
      <c r="F20" s="10" t="s">
        <v>173</v>
      </c>
    </row>
  </sheetData>
  <mergeCells count="5">
    <mergeCell ref="B5:B10"/>
    <mergeCell ref="B12:B13"/>
    <mergeCell ref="B14:B16"/>
    <mergeCell ref="B17:B18"/>
    <mergeCell ref="B19:B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68" sqref="K6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 Costs_extract</vt:lpstr>
      <vt:lpstr>LaborCostReference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Zhu, Wenjia</dc:creator>
  <cp:lastModifiedBy>Zhu, Wenjia</cp:lastModifiedBy>
  <dcterms:created xsi:type="dcterms:W3CDTF">2018-06-21T13:34:50Z</dcterms:created>
  <dcterms:modified xsi:type="dcterms:W3CDTF">2019-04-24T17:50:58Z</dcterms:modified>
</cp:coreProperties>
</file>