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505" yWindow="-15" windowWidth="14340" windowHeight="14190" tabRatio="927"/>
  </bookViews>
  <sheets>
    <sheet name="C-1 " sheetId="5" r:id="rId1"/>
    <sheet name="C-2 1 of 3" sheetId="6" r:id="rId2"/>
    <sheet name="C-2 2 of 3" sheetId="7" r:id="rId3"/>
    <sheet name="C-2 3 of 3" sheetId="8" r:id="rId4"/>
    <sheet name="C-3 1 of 5" sheetId="9" r:id="rId5"/>
    <sheet name="C-3 1A of 5" sheetId="10" r:id="rId6"/>
    <sheet name="C-3 2 of 5" sheetId="11" r:id="rId7"/>
    <sheet name="C-3 3 of 5" sheetId="12" r:id="rId8"/>
    <sheet name="C-3 4 of 5" sheetId="13" r:id="rId9"/>
    <sheet name="C-3 5 of 5" sheetId="14" r:id="rId10"/>
    <sheet name="C-4 " sheetId="15" r:id="rId11"/>
    <sheet name="Module1" sheetId="23" state="veryHidden" r:id="rId12"/>
  </sheets>
  <definedNames>
    <definedName name="\0">#REF!</definedName>
    <definedName name="\M">#REF!</definedName>
    <definedName name="\Z">#REF!</definedName>
    <definedName name="_2MTHCOST">#REF!</definedName>
    <definedName name="_C1P1">'C-1 '!$A$2:$L$67</definedName>
    <definedName name="_C2P1">'C-2 1 of 3'!$A$3:$P$56</definedName>
    <definedName name="_C2P2">'C-2 2 of 3'!$A$2:$Q$44</definedName>
    <definedName name="_C2P3">'C-2 3 of 3'!$A$2:$R$52</definedName>
    <definedName name="_C3ALL">#REF!</definedName>
    <definedName name="_C4P1">#REF!</definedName>
    <definedName name="_C5P1">#REF!</definedName>
    <definedName name="ANSWER">#REF!</definedName>
    <definedName name="C_">#REF!</definedName>
    <definedName name="CHGROUND">#REF!</definedName>
    <definedName name="COUNTER">#REF!</definedName>
    <definedName name="CROUND">#REF!</definedName>
    <definedName name="CSCHED">#REF!</definedName>
    <definedName name="CT">#REF!</definedName>
    <definedName name="CT1P1">#REF!</definedName>
    <definedName name="CT2P1">#REF!</definedName>
    <definedName name="CT2P23">#REF!</definedName>
    <definedName name="CT3ALL">#REF!</definedName>
    <definedName name="CT4P1">#REF!</definedName>
    <definedName name="CT5P1">#REF!</definedName>
    <definedName name="CT6P1">#REF!</definedName>
    <definedName name="CTSCHED">#REF!</definedName>
    <definedName name="FBTRUEUP">#REF!</definedName>
    <definedName name="IMPORTTB">#REF!</definedName>
    <definedName name="INITIAL">#REF!</definedName>
    <definedName name="INPUT">#REF!</definedName>
    <definedName name="MACROS">#REF!</definedName>
    <definedName name="_xlnm.Print_Area" localSheetId="1">'C-2 1 of 3'!$A$1:$P$50</definedName>
    <definedName name="_xlnm.Recorder">#REF!</definedName>
    <definedName name="TABLES">#REF!</definedName>
  </definedNames>
  <calcPr calcId="152511"/>
</workbook>
</file>

<file path=xl/calcChain.xml><?xml version="1.0" encoding="utf-8"?>
<calcChain xmlns="http://schemas.openxmlformats.org/spreadsheetml/2006/main">
  <c r="D14" i="6" l="1"/>
  <c r="D15" i="6"/>
  <c r="D17" i="6"/>
  <c r="D19" i="6"/>
  <c r="D20" i="6"/>
  <c r="D21" i="6"/>
  <c r="D22" i="6"/>
  <c r="D23" i="6"/>
  <c r="D25" i="6"/>
  <c r="D26" i="6"/>
  <c r="D27" i="6"/>
  <c r="E13" i="6"/>
  <c r="F13" i="6"/>
  <c r="G13" i="6"/>
  <c r="H13" i="6"/>
  <c r="I13" i="6"/>
  <c r="J13" i="6"/>
  <c r="K13" i="6"/>
  <c r="L13" i="6"/>
  <c r="M13" i="6"/>
  <c r="N13" i="6"/>
  <c r="O13" i="6"/>
  <c r="E14" i="6"/>
  <c r="F14" i="6"/>
  <c r="G14" i="6"/>
  <c r="H14" i="6"/>
  <c r="I14" i="6"/>
  <c r="J14" i="6"/>
  <c r="K14" i="6"/>
  <c r="L14" i="6"/>
  <c r="M14" i="6"/>
  <c r="N14" i="6"/>
  <c r="O14" i="6"/>
  <c r="E15" i="6"/>
  <c r="F15" i="6"/>
  <c r="G15" i="6"/>
  <c r="H15" i="6"/>
  <c r="I15" i="6"/>
  <c r="J15" i="6"/>
  <c r="K15" i="6"/>
  <c r="L15" i="6"/>
  <c r="M15" i="6"/>
  <c r="N15" i="6"/>
  <c r="O15" i="6"/>
  <c r="E17" i="6"/>
  <c r="F17" i="6"/>
  <c r="G17" i="6"/>
  <c r="H17" i="6"/>
  <c r="I17" i="6"/>
  <c r="J17" i="6"/>
  <c r="K17" i="6"/>
  <c r="L17" i="6"/>
  <c r="M17" i="6"/>
  <c r="N17" i="6"/>
  <c r="O17" i="6"/>
  <c r="E19" i="6"/>
  <c r="F19" i="6"/>
  <c r="G19" i="6"/>
  <c r="H19" i="6"/>
  <c r="I19" i="6"/>
  <c r="J19" i="6"/>
  <c r="K19" i="6"/>
  <c r="L19" i="6"/>
  <c r="M19" i="6"/>
  <c r="N19" i="6"/>
  <c r="O19" i="6"/>
  <c r="E20" i="6"/>
  <c r="F20" i="6"/>
  <c r="G20" i="6"/>
  <c r="H20" i="6"/>
  <c r="I20" i="6"/>
  <c r="J20" i="6"/>
  <c r="K20" i="6"/>
  <c r="L20" i="6"/>
  <c r="M20" i="6"/>
  <c r="N20" i="6"/>
  <c r="O20" i="6"/>
  <c r="E21" i="6"/>
  <c r="F21" i="6"/>
  <c r="G21" i="6"/>
  <c r="H21" i="6"/>
  <c r="I21" i="6"/>
  <c r="J21" i="6"/>
  <c r="K21" i="6"/>
  <c r="L21" i="6"/>
  <c r="M21" i="6"/>
  <c r="N21" i="6"/>
  <c r="O21" i="6"/>
  <c r="E22" i="6"/>
  <c r="F22" i="6"/>
  <c r="G22" i="6"/>
  <c r="H22" i="6"/>
  <c r="I22" i="6"/>
  <c r="J22" i="6"/>
  <c r="K22" i="6"/>
  <c r="L22" i="6"/>
  <c r="M22" i="6"/>
  <c r="N22" i="6"/>
  <c r="O22" i="6"/>
  <c r="E23" i="6"/>
  <c r="F23" i="6"/>
  <c r="G23" i="6"/>
  <c r="H23" i="6"/>
  <c r="I23" i="6"/>
  <c r="J23" i="6"/>
  <c r="K23" i="6"/>
  <c r="L23" i="6"/>
  <c r="M23" i="6"/>
  <c r="N23" i="6"/>
  <c r="O23" i="6"/>
  <c r="E25" i="6"/>
  <c r="F25" i="6"/>
  <c r="G25" i="6"/>
  <c r="H25" i="6"/>
  <c r="I25" i="6"/>
  <c r="J25" i="6"/>
  <c r="K25" i="6"/>
  <c r="L25" i="6"/>
  <c r="M25" i="6"/>
  <c r="N25" i="6"/>
  <c r="O25" i="6"/>
  <c r="E26" i="6"/>
  <c r="F26" i="6"/>
  <c r="G26" i="6"/>
  <c r="H26" i="6"/>
  <c r="I26" i="6"/>
  <c r="J26" i="6"/>
  <c r="K26" i="6"/>
  <c r="L26" i="6"/>
  <c r="M26" i="6"/>
  <c r="N26" i="6"/>
  <c r="O26" i="6"/>
  <c r="E27" i="6"/>
  <c r="F27" i="6"/>
  <c r="G27" i="6"/>
  <c r="H27" i="6"/>
  <c r="I27" i="6"/>
  <c r="J27" i="6"/>
  <c r="K27" i="6"/>
  <c r="L27" i="6"/>
  <c r="M27" i="6"/>
  <c r="N27" i="6"/>
  <c r="O27" i="6"/>
  <c r="D13" i="6"/>
  <c r="N46" i="9" l="1"/>
  <c r="K18" i="12" l="1"/>
  <c r="K27" i="12"/>
  <c r="K30" i="12"/>
  <c r="K31" i="12"/>
  <c r="S31" i="12" s="1"/>
  <c r="K32" i="12"/>
  <c r="R30" i="12"/>
  <c r="R31" i="12"/>
  <c r="R32" i="12"/>
  <c r="S32" i="12" s="1"/>
  <c r="O50" i="9"/>
  <c r="O51" i="9"/>
  <c r="K28" i="12" l="1"/>
  <c r="K29" i="12"/>
  <c r="S30" i="12"/>
  <c r="B49" i="10"/>
  <c r="B44" i="10"/>
  <c r="B39" i="10"/>
  <c r="B34" i="10"/>
  <c r="B29" i="10"/>
  <c r="B24" i="10"/>
  <c r="B19" i="10"/>
  <c r="B14" i="10"/>
  <c r="B44" i="9"/>
  <c r="B39" i="9"/>
  <c r="B34" i="9"/>
  <c r="B29" i="9"/>
  <c r="B24" i="9"/>
  <c r="B19" i="9"/>
  <c r="P23" i="7"/>
  <c r="P27" i="7"/>
  <c r="P24" i="7" l="1"/>
  <c r="E18" i="6"/>
  <c r="I18" i="6"/>
  <c r="M18" i="6"/>
  <c r="F18" i="6"/>
  <c r="J18" i="6"/>
  <c r="N18" i="6"/>
  <c r="D18" i="6"/>
  <c r="G18" i="6"/>
  <c r="K18" i="6"/>
  <c r="O18" i="6"/>
  <c r="H18" i="6"/>
  <c r="L18" i="6"/>
  <c r="F52" i="10"/>
  <c r="K52" i="10"/>
  <c r="J52" i="10"/>
  <c r="N40" i="10"/>
  <c r="N36" i="10"/>
  <c r="N46" i="10"/>
  <c r="P46" i="10" s="1"/>
  <c r="M52" i="10"/>
  <c r="I52" i="10"/>
  <c r="E52" i="10"/>
  <c r="N31" i="10"/>
  <c r="N30" i="10"/>
  <c r="N26" i="10"/>
  <c r="N25" i="10"/>
  <c r="N35" i="10"/>
  <c r="N45" i="10"/>
  <c r="P45" i="10" s="1"/>
  <c r="N41" i="10"/>
  <c r="P41" i="10" s="1"/>
  <c r="N25" i="9"/>
  <c r="H42" i="10"/>
  <c r="N51" i="10"/>
  <c r="P51" i="10" s="1"/>
  <c r="N26" i="9"/>
  <c r="N50" i="10"/>
  <c r="P50" i="10" s="1"/>
  <c r="D52" i="10"/>
  <c r="N36" i="9"/>
  <c r="N35" i="9"/>
  <c r="G52" i="10"/>
  <c r="H52" i="10"/>
  <c r="L52" i="10"/>
  <c r="L47" i="10"/>
  <c r="H47" i="10"/>
  <c r="L42" i="10"/>
  <c r="D42" i="10"/>
  <c r="P26" i="7"/>
  <c r="G42" i="10"/>
  <c r="K42" i="10"/>
  <c r="G47" i="10"/>
  <c r="K47" i="10"/>
  <c r="P22" i="7"/>
  <c r="P25" i="7"/>
  <c r="P21" i="7"/>
  <c r="P17" i="7"/>
  <c r="P14" i="7"/>
  <c r="E42" i="10"/>
  <c r="I42" i="10"/>
  <c r="M42" i="10"/>
  <c r="E47" i="10"/>
  <c r="I47" i="10"/>
  <c r="M47" i="10"/>
  <c r="F42" i="10"/>
  <c r="J42" i="10"/>
  <c r="F47" i="10"/>
  <c r="J47" i="10"/>
  <c r="D47" i="10"/>
  <c r="K21" i="13"/>
  <c r="Q39" i="13"/>
  <c r="O55" i="10"/>
  <c r="O54" i="10"/>
  <c r="O23" i="13"/>
  <c r="O37" i="13" s="1"/>
  <c r="P20" i="7"/>
  <c r="F21" i="13"/>
  <c r="N58" i="10"/>
  <c r="P58" i="10" s="1"/>
  <c r="N55" i="9"/>
  <c r="P55" i="9" s="1"/>
  <c r="L21" i="13"/>
  <c r="I15" i="15"/>
  <c r="I16" i="15" s="1"/>
  <c r="I17" i="15" s="1"/>
  <c r="I18" i="15" s="1"/>
  <c r="I19" i="15" s="1"/>
  <c r="G21" i="13"/>
  <c r="H21" i="13"/>
  <c r="I21" i="13"/>
  <c r="J21" i="13"/>
  <c r="M21" i="13"/>
  <c r="N21" i="13"/>
  <c r="O21" i="13"/>
  <c r="P21" i="13"/>
  <c r="F23" i="14"/>
  <c r="G23" i="14"/>
  <c r="H23" i="14"/>
  <c r="I23" i="14"/>
  <c r="J23" i="14"/>
  <c r="K23" i="14"/>
  <c r="M47" i="6"/>
  <c r="N41" i="7" s="1"/>
  <c r="P49" i="8" s="1"/>
  <c r="N64" i="9" s="1"/>
  <c r="N67" i="10" s="1"/>
  <c r="M49" i="6"/>
  <c r="N43" i="7" s="1"/>
  <c r="P51" i="8" s="1"/>
  <c r="N66" i="9" s="1"/>
  <c r="N69" i="10" s="1"/>
  <c r="P46" i="11" s="1"/>
  <c r="R49" i="12" s="1"/>
  <c r="O49" i="13" s="1"/>
  <c r="O39" i="14" s="1"/>
  <c r="I64" i="15" s="1"/>
  <c r="B3" i="9"/>
  <c r="B3" i="10" s="1"/>
  <c r="B3" i="11" s="1"/>
  <c r="C3" i="12" s="1"/>
  <c r="B3" i="13" s="1"/>
  <c r="B3" i="14" s="1"/>
  <c r="D6" i="10"/>
  <c r="D6" i="11" s="1"/>
  <c r="E6" i="12" s="1"/>
  <c r="D8" i="13" s="1"/>
  <c r="D7" i="14" s="1"/>
  <c r="F6" i="10"/>
  <c r="F6" i="11" s="1"/>
  <c r="G6" i="12" s="1"/>
  <c r="F8" i="13" s="1"/>
  <c r="F7" i="14" s="1"/>
  <c r="D7" i="10"/>
  <c r="D7" i="11" s="1"/>
  <c r="E7" i="12" s="1"/>
  <c r="D9" i="13" s="1"/>
  <c r="D8" i="14" s="1"/>
  <c r="F7" i="10"/>
  <c r="F7" i="11" s="1"/>
  <c r="G7" i="12" s="1"/>
  <c r="F9" i="13" s="1"/>
  <c r="F8" i="14" s="1"/>
  <c r="D10" i="9"/>
  <c r="D10" i="10" s="1"/>
  <c r="I10" i="9"/>
  <c r="I10" i="10" s="1"/>
  <c r="K10" i="9"/>
  <c r="K10" i="10"/>
  <c r="D11" i="9"/>
  <c r="D11" i="10" s="1"/>
  <c r="G11" i="9"/>
  <c r="G11" i="10" s="1"/>
  <c r="H11" i="9"/>
  <c r="H11" i="10" s="1"/>
  <c r="I11" i="9"/>
  <c r="I11" i="10" s="1"/>
  <c r="K11" i="9"/>
  <c r="K11" i="10" s="1"/>
  <c r="N11" i="9"/>
  <c r="N11" i="10" s="1"/>
  <c r="O11" i="9"/>
  <c r="O11" i="10" s="1"/>
  <c r="D12" i="9"/>
  <c r="D12" i="10"/>
  <c r="E12" i="9"/>
  <c r="E12" i="10" s="1"/>
  <c r="F12" i="9"/>
  <c r="F12" i="10" s="1"/>
  <c r="G12" i="9"/>
  <c r="G12" i="10" s="1"/>
  <c r="H12" i="9"/>
  <c r="H12" i="10" s="1"/>
  <c r="I12" i="9"/>
  <c r="I12" i="10" s="1"/>
  <c r="J12" i="9"/>
  <c r="J12" i="10" s="1"/>
  <c r="K12" i="9"/>
  <c r="K12" i="10" s="1"/>
  <c r="L12" i="9"/>
  <c r="L12" i="10" s="1"/>
  <c r="M12" i="9"/>
  <c r="M12" i="10" s="1"/>
  <c r="N12" i="9"/>
  <c r="N12" i="10" s="1"/>
  <c r="O12" i="9"/>
  <c r="O12" i="10" s="1"/>
  <c r="P12" i="9"/>
  <c r="P12" i="10" s="1"/>
  <c r="B2" i="8"/>
  <c r="B14" i="9"/>
  <c r="G24" i="6" l="1"/>
  <c r="K24" i="6"/>
  <c r="O24" i="6"/>
  <c r="H24" i="6"/>
  <c r="L24" i="6"/>
  <c r="E24" i="6"/>
  <c r="I24" i="6"/>
  <c r="M24" i="6"/>
  <c r="D24" i="6"/>
  <c r="F24" i="6"/>
  <c r="J24" i="6"/>
  <c r="N24" i="6"/>
  <c r="G16" i="6"/>
  <c r="G30" i="6" s="1"/>
  <c r="K16" i="6"/>
  <c r="O16" i="6"/>
  <c r="D16" i="6"/>
  <c r="H16" i="6"/>
  <c r="L16" i="6"/>
  <c r="E16" i="6"/>
  <c r="E30" i="6" s="1"/>
  <c r="I16" i="6"/>
  <c r="M16" i="6"/>
  <c r="F16" i="6"/>
  <c r="F30" i="6" s="1"/>
  <c r="J16" i="6"/>
  <c r="N16" i="6"/>
  <c r="N30" i="6" s="1"/>
  <c r="P30" i="6"/>
  <c r="R22" i="6"/>
  <c r="R26" i="6"/>
  <c r="F51" i="9"/>
  <c r="F55" i="10" s="1"/>
  <c r="N32" i="10"/>
  <c r="H51" i="9"/>
  <c r="H55" i="10" s="1"/>
  <c r="N27" i="10"/>
  <c r="D50" i="9"/>
  <c r="D54" i="10" s="1"/>
  <c r="J51" i="9"/>
  <c r="J55" i="10" s="1"/>
  <c r="N52" i="10"/>
  <c r="P52" i="10" s="1"/>
  <c r="N42" i="10"/>
  <c r="P42" i="10" s="1"/>
  <c r="N47" i="10"/>
  <c r="P47" i="10" s="1"/>
  <c r="N37" i="10"/>
  <c r="P40" i="10"/>
  <c r="K51" i="9"/>
  <c r="K55" i="10" s="1"/>
  <c r="L50" i="9"/>
  <c r="L54" i="10" s="1"/>
  <c r="D51" i="9"/>
  <c r="D55" i="10" s="1"/>
  <c r="M51" i="9"/>
  <c r="M55" i="10" s="1"/>
  <c r="K50" i="9"/>
  <c r="K54" i="10" s="1"/>
  <c r="G50" i="9"/>
  <c r="G54" i="10" s="1"/>
  <c r="J50" i="9"/>
  <c r="J54" i="10" s="1"/>
  <c r="F50" i="9"/>
  <c r="F54" i="10" s="1"/>
  <c r="I50" i="9"/>
  <c r="I54" i="10" s="1"/>
  <c r="G51" i="9"/>
  <c r="G55" i="10" s="1"/>
  <c r="E50" i="9"/>
  <c r="E54" i="10" s="1"/>
  <c r="M50" i="9"/>
  <c r="M54" i="10" s="1"/>
  <c r="H50" i="9"/>
  <c r="H54" i="10" s="1"/>
  <c r="L51" i="9"/>
  <c r="L55" i="10" s="1"/>
  <c r="P13" i="7"/>
  <c r="P44" i="11"/>
  <c r="R47" i="12" s="1"/>
  <c r="O47" i="13" s="1"/>
  <c r="O37" i="14" s="1"/>
  <c r="I62" i="15" s="1"/>
  <c r="O62" i="10"/>
  <c r="P18" i="7"/>
  <c r="N16" i="10"/>
  <c r="P46" i="9"/>
  <c r="D37" i="9"/>
  <c r="I51" i="9"/>
  <c r="I55" i="10" s="1"/>
  <c r="N31" i="9"/>
  <c r="P31" i="9" s="1"/>
  <c r="L23" i="14"/>
  <c r="P16" i="7"/>
  <c r="P19" i="7"/>
  <c r="M35" i="12"/>
  <c r="M41" i="12" s="1"/>
  <c r="L28" i="13" s="1"/>
  <c r="E22" i="9"/>
  <c r="P15" i="7"/>
  <c r="N21" i="10"/>
  <c r="P21" i="10" s="1"/>
  <c r="J17" i="9"/>
  <c r="M17" i="10"/>
  <c r="I17" i="10"/>
  <c r="G17" i="9"/>
  <c r="H23" i="13"/>
  <c r="H37" i="13" s="1"/>
  <c r="J32" i="9"/>
  <c r="D27" i="9"/>
  <c r="D27" i="10"/>
  <c r="M32" i="10"/>
  <c r="K42" i="9"/>
  <c r="L32" i="10"/>
  <c r="H32" i="10"/>
  <c r="M22" i="10"/>
  <c r="M27" i="9"/>
  <c r="I17" i="9"/>
  <c r="I23" i="13"/>
  <c r="I37" i="13" s="1"/>
  <c r="D37" i="10"/>
  <c r="M17" i="9"/>
  <c r="J32" i="10"/>
  <c r="P26" i="10"/>
  <c r="K47" i="9"/>
  <c r="H32" i="9"/>
  <c r="I21" i="15"/>
  <c r="G42" i="9"/>
  <c r="G32" i="9"/>
  <c r="J27" i="9"/>
  <c r="I27" i="10"/>
  <c r="F32" i="9"/>
  <c r="J37" i="9"/>
  <c r="M31" i="7"/>
  <c r="M35" i="7" s="1"/>
  <c r="K32" i="9"/>
  <c r="H17" i="10"/>
  <c r="I23" i="15"/>
  <c r="I20" i="15"/>
  <c r="L47" i="9"/>
  <c r="F22" i="9"/>
  <c r="G27" i="10"/>
  <c r="M37" i="10"/>
  <c r="E37" i="9"/>
  <c r="F27" i="9"/>
  <c r="H37" i="9"/>
  <c r="E31" i="7"/>
  <c r="E35" i="7" s="1"/>
  <c r="E22" i="10"/>
  <c r="J22" i="9"/>
  <c r="I27" i="14"/>
  <c r="I28" i="14" s="1"/>
  <c r="I29" i="14" s="1"/>
  <c r="I22" i="15"/>
  <c r="I24" i="15"/>
  <c r="L22" i="9"/>
  <c r="K32" i="10"/>
  <c r="L17" i="9"/>
  <c r="L27" i="9"/>
  <c r="D32" i="9"/>
  <c r="F27" i="10"/>
  <c r="H22" i="9"/>
  <c r="M42" i="9"/>
  <c r="H27" i="14"/>
  <c r="H28" i="14" s="1"/>
  <c r="H29" i="14" s="1"/>
  <c r="G31" i="7"/>
  <c r="G35" i="7" s="1"/>
  <c r="L42" i="9"/>
  <c r="I42" i="9"/>
  <c r="E42" i="9"/>
  <c r="G37" i="9"/>
  <c r="M32" i="9"/>
  <c r="I32" i="9"/>
  <c r="K22" i="9"/>
  <c r="L27" i="10"/>
  <c r="H27" i="10"/>
  <c r="J22" i="10"/>
  <c r="K17" i="10"/>
  <c r="F32" i="10"/>
  <c r="H42" i="9"/>
  <c r="J17" i="10"/>
  <c r="D31" i="7"/>
  <c r="D35" i="7" s="1"/>
  <c r="E21" i="13"/>
  <c r="K27" i="10"/>
  <c r="K37" i="9"/>
  <c r="N30" i="9"/>
  <c r="P30" i="9" s="1"/>
  <c r="K24" i="12"/>
  <c r="F22" i="10"/>
  <c r="L37" i="10"/>
  <c r="H37" i="10"/>
  <c r="E27" i="9"/>
  <c r="F17" i="9"/>
  <c r="D17" i="9"/>
  <c r="J31" i="7"/>
  <c r="J35" i="7" s="1"/>
  <c r="F31" i="7"/>
  <c r="F35" i="7" s="1"/>
  <c r="E47" i="9"/>
  <c r="L37" i="9"/>
  <c r="K22" i="10"/>
  <c r="P30" i="10"/>
  <c r="H31" i="7"/>
  <c r="H35" i="7" s="1"/>
  <c r="D42" i="9"/>
  <c r="G47" i="9"/>
  <c r="M27" i="10"/>
  <c r="J27" i="10"/>
  <c r="I22" i="10"/>
  <c r="N15" i="10"/>
  <c r="K37" i="10"/>
  <c r="G37" i="10"/>
  <c r="G17" i="10"/>
  <c r="H47" i="9"/>
  <c r="K25" i="12"/>
  <c r="J47" i="9"/>
  <c r="L22" i="10"/>
  <c r="F17" i="10"/>
  <c r="I32" i="10"/>
  <c r="E32" i="10"/>
  <c r="I37" i="10"/>
  <c r="J37" i="10"/>
  <c r="F37" i="10"/>
  <c r="F47" i="9"/>
  <c r="N40" i="9"/>
  <c r="F42" i="9"/>
  <c r="G27" i="9"/>
  <c r="G22" i="10"/>
  <c r="H17" i="9"/>
  <c r="M37" i="9"/>
  <c r="E17" i="9"/>
  <c r="J42" i="9"/>
  <c r="K27" i="9"/>
  <c r="M22" i="9"/>
  <c r="G22" i="9"/>
  <c r="P26" i="9"/>
  <c r="H22" i="10"/>
  <c r="N15" i="9"/>
  <c r="E37" i="10"/>
  <c r="P35" i="10"/>
  <c r="L17" i="10"/>
  <c r="M23" i="13"/>
  <c r="M37" i="13" s="1"/>
  <c r="Q37" i="13"/>
  <c r="K23" i="13"/>
  <c r="K37" i="13" s="1"/>
  <c r="L23" i="13"/>
  <c r="L37" i="13" s="1"/>
  <c r="E34" i="13"/>
  <c r="F23" i="13"/>
  <c r="F26" i="13" s="1"/>
  <c r="N23" i="13"/>
  <c r="N37" i="13" s="1"/>
  <c r="L35" i="12"/>
  <c r="L41" i="12" s="1"/>
  <c r="K28" i="13" s="1"/>
  <c r="N16" i="9"/>
  <c r="D32" i="10"/>
  <c r="J23" i="13"/>
  <c r="J37" i="13" s="1"/>
  <c r="E27" i="14"/>
  <c r="E28" i="14" s="1"/>
  <c r="E29" i="14" s="1"/>
  <c r="L31" i="7"/>
  <c r="L35" i="7" s="1"/>
  <c r="D22" i="9"/>
  <c r="L32" i="9"/>
  <c r="N20" i="10"/>
  <c r="G32" i="10"/>
  <c r="P36" i="10"/>
  <c r="I27" i="9"/>
  <c r="K17" i="9"/>
  <c r="F37" i="9"/>
  <c r="N20" i="9"/>
  <c r="G23" i="13"/>
  <c r="E23" i="13"/>
  <c r="E37" i="13" s="1"/>
  <c r="N45" i="9"/>
  <c r="K23" i="12"/>
  <c r="K20" i="12"/>
  <c r="I31" i="7"/>
  <c r="I35" i="7" s="1"/>
  <c r="K31" i="7"/>
  <c r="K35" i="7" s="1"/>
  <c r="O31" i="7"/>
  <c r="O35" i="7" s="1"/>
  <c r="M47" i="9"/>
  <c r="I47" i="9"/>
  <c r="I37" i="9"/>
  <c r="H27" i="9"/>
  <c r="E27" i="10"/>
  <c r="N41" i="9"/>
  <c r="P41" i="9" s="1"/>
  <c r="D17" i="10"/>
  <c r="G27" i="14"/>
  <c r="G28" i="14" s="1"/>
  <c r="G29" i="14" s="1"/>
  <c r="K22" i="12"/>
  <c r="K26" i="12"/>
  <c r="K21" i="12"/>
  <c r="G35" i="12"/>
  <c r="G41" i="12" s="1"/>
  <c r="G28" i="13" s="1"/>
  <c r="K19" i="12"/>
  <c r="E35" i="12"/>
  <c r="E41" i="12" s="1"/>
  <c r="E28" i="13" s="1"/>
  <c r="J35" i="12"/>
  <c r="J41" i="12" s="1"/>
  <c r="J28" i="13" s="1"/>
  <c r="K17" i="12"/>
  <c r="H35" i="12"/>
  <c r="H41" i="12" s="1"/>
  <c r="H28" i="13" s="1"/>
  <c r="I35" i="12"/>
  <c r="I41" i="12" s="1"/>
  <c r="I28" i="13" s="1"/>
  <c r="K16" i="12"/>
  <c r="F35" i="12"/>
  <c r="F41" i="12" s="1"/>
  <c r="F28" i="13" s="1"/>
  <c r="K15" i="12"/>
  <c r="J27" i="14"/>
  <c r="J28" i="14" s="1"/>
  <c r="J29" i="14" s="1"/>
  <c r="F27" i="14"/>
  <c r="F28" i="14" s="1"/>
  <c r="F29" i="14" s="1"/>
  <c r="I25" i="15"/>
  <c r="D27" i="15"/>
  <c r="Q19" i="13"/>
  <c r="Q21" i="13" s="1"/>
  <c r="Q26" i="13" s="1"/>
  <c r="O26" i="13"/>
  <c r="D42" i="15"/>
  <c r="G27" i="15"/>
  <c r="M30" i="6" l="1"/>
  <c r="I30" i="6"/>
  <c r="D30" i="6"/>
  <c r="J30" i="6"/>
  <c r="L30" i="6"/>
  <c r="H30" i="6"/>
  <c r="K30" i="6"/>
  <c r="O30" i="6"/>
  <c r="R25" i="6"/>
  <c r="R27" i="6"/>
  <c r="R24" i="6"/>
  <c r="R21" i="6"/>
  <c r="R23" i="6"/>
  <c r="P15" i="10"/>
  <c r="N50" i="9"/>
  <c r="N54" i="10" s="1"/>
  <c r="E51" i="9"/>
  <c r="E55" i="10" s="1"/>
  <c r="E62" i="10" s="1"/>
  <c r="N27" i="9"/>
  <c r="P27" i="9" s="1"/>
  <c r="N36" i="6"/>
  <c r="G36" i="6"/>
  <c r="P36" i="9"/>
  <c r="E17" i="10"/>
  <c r="E32" i="9"/>
  <c r="I22" i="9"/>
  <c r="D47" i="9"/>
  <c r="I26" i="13"/>
  <c r="I30" i="13" s="1"/>
  <c r="D22" i="10"/>
  <c r="P31" i="7"/>
  <c r="P35" i="7" s="1"/>
  <c r="D62" i="10"/>
  <c r="K27" i="14"/>
  <c r="K28" i="14" s="1"/>
  <c r="K29" i="14" s="1"/>
  <c r="N17" i="10"/>
  <c r="P17" i="10" s="1"/>
  <c r="H26" i="13"/>
  <c r="H30" i="13" s="1"/>
  <c r="N21" i="9"/>
  <c r="P21" i="9" s="1"/>
  <c r="P36" i="6"/>
  <c r="G12" i="5" s="1"/>
  <c r="M23" i="14"/>
  <c r="N31" i="7"/>
  <c r="N35" i="7" s="1"/>
  <c r="K62" i="10"/>
  <c r="F62" i="10"/>
  <c r="P37" i="10"/>
  <c r="R14" i="6"/>
  <c r="J62" i="10"/>
  <c r="R18" i="6"/>
  <c r="L26" i="13"/>
  <c r="L30" i="13" s="1"/>
  <c r="F37" i="13"/>
  <c r="L62" i="10"/>
  <c r="R20" i="6"/>
  <c r="N32" i="9"/>
  <c r="P32" i="9" s="1"/>
  <c r="E26" i="13"/>
  <c r="E30" i="13" s="1"/>
  <c r="E18" i="14" s="1"/>
  <c r="P25" i="10"/>
  <c r="P27" i="10"/>
  <c r="P20" i="9"/>
  <c r="P15" i="9"/>
  <c r="N17" i="9"/>
  <c r="P17" i="9" s="1"/>
  <c r="P23" i="13"/>
  <c r="P37" i="13" s="1"/>
  <c r="P45" i="9"/>
  <c r="N47" i="9"/>
  <c r="P47" i="9" s="1"/>
  <c r="N22" i="10"/>
  <c r="P22" i="10" s="1"/>
  <c r="P20" i="10"/>
  <c r="P16" i="9"/>
  <c r="K26" i="13"/>
  <c r="K30" i="13" s="1"/>
  <c r="P35" i="9"/>
  <c r="J26" i="13"/>
  <c r="J30" i="13" s="1"/>
  <c r="N26" i="13"/>
  <c r="I62" i="10"/>
  <c r="P31" i="10"/>
  <c r="P32" i="10"/>
  <c r="Q34" i="13"/>
  <c r="E16" i="14"/>
  <c r="G62" i="10"/>
  <c r="M62" i="10"/>
  <c r="P40" i="9"/>
  <c r="N42" i="9"/>
  <c r="P42" i="9" s="1"/>
  <c r="M26" i="13"/>
  <c r="P16" i="10"/>
  <c r="R15" i="6"/>
  <c r="G26" i="13"/>
  <c r="G30" i="13" s="1"/>
  <c r="G37" i="13"/>
  <c r="H62" i="10"/>
  <c r="P25" i="9"/>
  <c r="F30" i="13"/>
  <c r="K35" i="12"/>
  <c r="K41" i="12" s="1"/>
  <c r="D44" i="15"/>
  <c r="K36" i="6" l="1"/>
  <c r="R24" i="12"/>
  <c r="S24" i="12" s="1"/>
  <c r="N51" i="9"/>
  <c r="N55" i="10" s="1"/>
  <c r="N62" i="10" s="1"/>
  <c r="P51" i="9"/>
  <c r="P55" i="10" s="1"/>
  <c r="R27" i="12"/>
  <c r="S27" i="12" s="1"/>
  <c r="R23" i="12"/>
  <c r="S23" i="12" s="1"/>
  <c r="R18" i="12"/>
  <c r="S18" i="12" s="1"/>
  <c r="P50" i="9"/>
  <c r="P54" i="10" s="1"/>
  <c r="R13" i="6"/>
  <c r="N37" i="9"/>
  <c r="P37" i="9" s="1"/>
  <c r="H36" i="6"/>
  <c r="R17" i="6"/>
  <c r="O36" i="6"/>
  <c r="F36" i="6"/>
  <c r="J36" i="6"/>
  <c r="E36" i="6"/>
  <c r="I36" i="6"/>
  <c r="R16" i="6"/>
  <c r="L36" i="6"/>
  <c r="M36" i="6"/>
  <c r="R19" i="6"/>
  <c r="D36" i="6"/>
  <c r="N22" i="9"/>
  <c r="P22" i="9" s="1"/>
  <c r="L27" i="14"/>
  <c r="L28" i="14" s="1"/>
  <c r="L29" i="14" s="1"/>
  <c r="M25" i="14"/>
  <c r="N23" i="14" s="1"/>
  <c r="N35" i="12"/>
  <c r="N41" i="12" s="1"/>
  <c r="M28" i="13" s="1"/>
  <c r="P26" i="13"/>
  <c r="E20" i="14"/>
  <c r="E21" i="14" s="1"/>
  <c r="E31" i="14" s="1"/>
  <c r="E33" i="13" s="1"/>
  <c r="E41" i="13" s="1"/>
  <c r="F34" i="13" s="1"/>
  <c r="R21" i="12" l="1"/>
  <c r="S21" i="12" s="1"/>
  <c r="R29" i="12"/>
  <c r="S29" i="12" s="1"/>
  <c r="R16" i="12"/>
  <c r="S16" i="12" s="1"/>
  <c r="R28" i="12"/>
  <c r="S28" i="12" s="1"/>
  <c r="R17" i="12"/>
  <c r="S17" i="12" s="1"/>
  <c r="R25" i="12"/>
  <c r="S25" i="12" s="1"/>
  <c r="R19" i="12"/>
  <c r="S19" i="12" s="1"/>
  <c r="R15" i="12"/>
  <c r="S15" i="12" s="1"/>
  <c r="R20" i="12"/>
  <c r="S20" i="12" s="1"/>
  <c r="R22" i="12"/>
  <c r="S22" i="12" s="1"/>
  <c r="R30" i="6"/>
  <c r="M27" i="14"/>
  <c r="M28" i="14" s="1"/>
  <c r="M29" i="14" s="1"/>
  <c r="N25" i="14"/>
  <c r="O23" i="14" s="1"/>
  <c r="O35" i="12"/>
  <c r="O41" i="12" s="1"/>
  <c r="N28" i="13" s="1"/>
  <c r="N30" i="13" s="1"/>
  <c r="M30" i="13"/>
  <c r="P62" i="10"/>
  <c r="F16" i="14"/>
  <c r="F18" i="14"/>
  <c r="P35" i="12" l="1"/>
  <c r="P41" i="12" s="1"/>
  <c r="O28" i="13" s="1"/>
  <c r="O30" i="13" s="1"/>
  <c r="N27" i="14"/>
  <c r="N28" i="14" s="1"/>
  <c r="N29" i="14" s="1"/>
  <c r="Q35" i="12"/>
  <c r="Q41" i="12" s="1"/>
  <c r="P28" i="13" s="1"/>
  <c r="P30" i="13" s="1"/>
  <c r="O25" i="14"/>
  <c r="P23" i="14" s="1"/>
  <c r="P25" i="14" s="1"/>
  <c r="P27" i="14" s="1"/>
  <c r="P28" i="14" s="1"/>
  <c r="P29" i="14" s="1"/>
  <c r="F20" i="14"/>
  <c r="F21" i="14" s="1"/>
  <c r="F31" i="14" s="1"/>
  <c r="Q28" i="13" l="1"/>
  <c r="Q30" i="13" s="1"/>
  <c r="Q18" i="14" s="1"/>
  <c r="R26" i="12"/>
  <c r="S26" i="12" s="1"/>
  <c r="S35" i="12" s="1"/>
  <c r="S41" i="12" s="1"/>
  <c r="O27" i="14"/>
  <c r="O28" i="14" s="1"/>
  <c r="O29" i="14" s="1"/>
  <c r="F33" i="13"/>
  <c r="F41" i="13" s="1"/>
  <c r="G34" i="13" s="1"/>
  <c r="R35" i="12" l="1"/>
  <c r="R41" i="12" s="1"/>
  <c r="G16" i="14"/>
  <c r="G18" i="14"/>
  <c r="G20" i="14" l="1"/>
  <c r="G21" i="14" s="1"/>
  <c r="G31" i="14" s="1"/>
  <c r="G33" i="13" l="1"/>
  <c r="G41" i="13" s="1"/>
  <c r="H34" i="13" s="1"/>
  <c r="H16" i="14" l="1"/>
  <c r="H18" i="14"/>
  <c r="H20" i="14" l="1"/>
  <c r="H21" i="14" s="1"/>
  <c r="H31" i="14" s="1"/>
  <c r="H33" i="13" l="1"/>
  <c r="H41" i="13" s="1"/>
  <c r="I34" i="13" s="1"/>
  <c r="I16" i="14" l="1"/>
  <c r="I18" i="14"/>
  <c r="I20" i="14" l="1"/>
  <c r="I21" i="14" s="1"/>
  <c r="I31" i="14" s="1"/>
  <c r="I33" i="13" l="1"/>
  <c r="I41" i="13" s="1"/>
  <c r="J34" i="13" s="1"/>
  <c r="J16" i="14" l="1"/>
  <c r="J18" i="14"/>
  <c r="J20" i="14" l="1"/>
  <c r="J21" i="14" s="1"/>
  <c r="J31" i="14" s="1"/>
  <c r="J33" i="13" s="1"/>
  <c r="J41" i="13" s="1"/>
  <c r="K34" i="13" s="1"/>
  <c r="K16" i="14" l="1"/>
  <c r="K18" i="14"/>
  <c r="K20" i="14" l="1"/>
  <c r="K21" i="14" s="1"/>
  <c r="K31" i="14" s="1"/>
  <c r="K33" i="13" s="1"/>
  <c r="K41" i="13" s="1"/>
  <c r="L34" i="13" s="1"/>
  <c r="L16" i="14" l="1"/>
  <c r="L18" i="14"/>
  <c r="L20" i="14" l="1"/>
  <c r="L21" i="14" s="1"/>
  <c r="L31" i="14" s="1"/>
  <c r="L33" i="13" s="1"/>
  <c r="L41" i="13" s="1"/>
  <c r="M34" i="13" s="1"/>
  <c r="M16" i="14" l="1"/>
  <c r="M18" i="14"/>
  <c r="M20" i="14" l="1"/>
  <c r="M21" i="14" s="1"/>
  <c r="M31" i="14" s="1"/>
  <c r="M33" i="13" s="1"/>
  <c r="M41" i="13" s="1"/>
  <c r="N34" i="13" s="1"/>
  <c r="N16" i="14" l="1"/>
  <c r="N18" i="14"/>
  <c r="N20" i="14" l="1"/>
  <c r="N21" i="14" s="1"/>
  <c r="N31" i="14" s="1"/>
  <c r="N33" i="13" s="1"/>
  <c r="N41" i="13" s="1"/>
  <c r="O34" i="13" s="1"/>
  <c r="O16" i="14" l="1"/>
  <c r="O18" i="14"/>
  <c r="O20" i="14" l="1"/>
  <c r="O21" i="14" s="1"/>
  <c r="O31" i="14" s="1"/>
  <c r="O33" i="13" s="1"/>
  <c r="O41" i="13" s="1"/>
  <c r="P34" i="13" s="1"/>
  <c r="P16" i="14" l="1"/>
  <c r="P18" i="14"/>
  <c r="P20" i="14" l="1"/>
  <c r="P21" i="14" s="1"/>
  <c r="P31" i="14" s="1"/>
  <c r="P33" i="13" l="1"/>
  <c r="P41" i="13" s="1"/>
  <c r="Q31" i="14"/>
  <c r="Q33" i="13" s="1"/>
  <c r="Q41" i="13" s="1"/>
  <c r="Q16" i="14" l="1"/>
  <c r="Q20" i="14" s="1"/>
  <c r="Q21" i="14" s="1"/>
  <c r="G14" i="5"/>
  <c r="G16" i="5" s="1"/>
  <c r="G20" i="5" s="1"/>
  <c r="I40" i="15" l="1"/>
  <c r="I34" i="15"/>
  <c r="I31" i="15"/>
  <c r="I35" i="15"/>
  <c r="G24" i="5"/>
  <c r="G27" i="5" s="1"/>
  <c r="I36" i="15"/>
  <c r="I38" i="15"/>
  <c r="I37" i="15"/>
  <c r="I33" i="15"/>
  <c r="I39" i="15"/>
  <c r="I30" i="15"/>
  <c r="I32" i="15"/>
  <c r="I29" i="15"/>
  <c r="G42" i="15" l="1"/>
  <c r="G44" i="15" s="1"/>
</calcChain>
</file>

<file path=xl/comments1.xml><?xml version="1.0" encoding="utf-8"?>
<comments xmlns="http://schemas.openxmlformats.org/spreadsheetml/2006/main">
  <authors>
    <author>Setup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rounding
</t>
        </r>
      </text>
    </comment>
  </commentList>
</comments>
</file>

<file path=xl/sharedStrings.xml><?xml version="1.0" encoding="utf-8"?>
<sst xmlns="http://schemas.openxmlformats.org/spreadsheetml/2006/main" count="552" uniqueCount="227">
  <si>
    <t>TOTAL</t>
  </si>
  <si>
    <t>ACTUAL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</si>
  <si>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</si>
  <si>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</si>
  <si>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</si>
  <si>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</si>
  <si>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</si>
  <si>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</si>
  <si>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</si>
  <si>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</si>
  <si>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</si>
  <si>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</si>
  <si>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</si>
  <si>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JULY</t>
  </si>
  <si>
    <t>LEGAL</t>
  </si>
  <si>
    <t>TRAVEL</t>
  </si>
  <si>
    <t>INCENTIVES</t>
  </si>
  <si>
    <t>OTHER</t>
  </si>
  <si>
    <t>FLORIDA PUBLIC UTILITIES COMPANY</t>
  </si>
  <si>
    <t>THROUGH</t>
  </si>
  <si>
    <t>7.</t>
  </si>
  <si>
    <t>10.</t>
  </si>
  <si>
    <t>11.</t>
  </si>
  <si>
    <t>SCHEDULE C-1</t>
  </si>
  <si>
    <t>PAGE 1 OF 1</t>
  </si>
  <si>
    <t>ENERGY CONSERVATION ADJUSTMENT</t>
  </si>
  <si>
    <t xml:space="preserve">FOR MONTHS </t>
  </si>
  <si>
    <t xml:space="preserve"> 1.</t>
  </si>
  <si>
    <t>TOTAL INCREMENTAL COSTS (SCHEDULE C-2,PAGE 1, LINE 33)</t>
  </si>
  <si>
    <t xml:space="preserve"> 2.</t>
  </si>
  <si>
    <t>TRUE-UP (SCHEDULE C-3,PAGE 4,LINE 11)</t>
  </si>
  <si>
    <t xml:space="preserve"> 3.</t>
  </si>
  <si>
    <t>TOTAL (LINE 1 AND LINE 2)</t>
  </si>
  <si>
    <t xml:space="preserve"> 4.</t>
  </si>
  <si>
    <t xml:space="preserve"> 5.</t>
  </si>
  <si>
    <t xml:space="preserve"> 6.</t>
  </si>
  <si>
    <t xml:space="preserve"> 7.</t>
  </si>
  <si>
    <t>ADJUSTMENT FACTOR ADJUSTED FOR TAXES (LINE 5 X LINE 6)</t>
  </si>
  <si>
    <t xml:space="preserve"> 8.</t>
  </si>
  <si>
    <t>CONSERVATION ADJUSTMENT FACTOR-</t>
  </si>
  <si>
    <t xml:space="preserve"> </t>
  </si>
  <si>
    <t>EXHIBIT NO. _______________</t>
  </si>
  <si>
    <t>SCHEDULE C-2</t>
  </si>
  <si>
    <t>PAGE 1 OF 3</t>
  </si>
  <si>
    <t>ESTIMATED CONSERVATION PROGRAM COSTS</t>
  </si>
  <si>
    <t xml:space="preserve">A.  </t>
  </si>
  <si>
    <t>ESTIMATED EXPENSE BY PROGRAM</t>
  </si>
  <si>
    <t xml:space="preserve"> 9.</t>
  </si>
  <si>
    <t>Common</t>
  </si>
  <si>
    <t>TOTAL ALL PROGRAMS</t>
  </si>
  <si>
    <t>LESS AMOUNT INCLUDED</t>
  </si>
  <si>
    <t xml:space="preserve">  IN RATE BASE</t>
  </si>
  <si>
    <t>RECOVERABLE CONSERVATION</t>
  </si>
  <si>
    <t xml:space="preserve">   EXPENSES</t>
  </si>
  <si>
    <t>PAGE 2 OF 3</t>
  </si>
  <si>
    <t>ESTIMATED CONSERVATION PROGRAM COSTS PER PROGRAM</t>
  </si>
  <si>
    <t>LABOR</t>
  </si>
  <si>
    <t>MATERIALS</t>
  </si>
  <si>
    <t>GENERAL</t>
  </si>
  <si>
    <t>&amp;</t>
  </si>
  <si>
    <t>OUTSIDE</t>
  </si>
  <si>
    <t>VEHICLE</t>
  </si>
  <si>
    <t>SUB</t>
  </si>
  <si>
    <t>PROGRAM</t>
  </si>
  <si>
    <t>PROGRAM NAME</t>
  </si>
  <si>
    <t>PAYROLL</t>
  </si>
  <si>
    <t>ADVERTISING</t>
  </si>
  <si>
    <t>SERVICES</t>
  </si>
  <si>
    <t>COST</t>
  </si>
  <si>
    <t>SUPPLIES</t>
  </si>
  <si>
    <t>ADMIN.</t>
  </si>
  <si>
    <t>REVENUES</t>
  </si>
  <si>
    <t>LESS: BASE RATE</t>
  </si>
  <si>
    <t xml:space="preserve">        RECOVERY</t>
  </si>
  <si>
    <t>NET PROGRAM COSTS</t>
  </si>
  <si>
    <t>PAGE 3 OF 3</t>
  </si>
  <si>
    <t>SCHEDULE OF CAPITAL INVESTMENT,DEPRECIATION &amp; RETURN</t>
  </si>
  <si>
    <t>ESTIMATED FOR MONTHS</t>
  </si>
  <si>
    <t>PROGRAM NAME:</t>
  </si>
  <si>
    <t>BEGINNING</t>
  </si>
  <si>
    <t>OF PERIOD</t>
  </si>
  <si>
    <t>INVESTMENT</t>
  </si>
  <si>
    <t>DEPRECIATION BASE</t>
  </si>
  <si>
    <t>DEPRECIATION EXPENSE</t>
  </si>
  <si>
    <t>CUMULATIVE INVESTMENT</t>
  </si>
  <si>
    <t>LESS:ACCUMULATED DEPRECIATION</t>
  </si>
  <si>
    <t>NET INVESTMENT</t>
  </si>
  <si>
    <t>AVERAGE NET INVESTMENT</t>
  </si>
  <si>
    <t>RETURN ON AVERAGE INVESTMENT</t>
  </si>
  <si>
    <t>EXPANSION FACTOR</t>
  </si>
  <si>
    <t>RETURN REQUIREMENTS</t>
  </si>
  <si>
    <t>TOTAL DEPRECIATION EXPENSE AND</t>
  </si>
  <si>
    <t xml:space="preserve">    RETURN REQUIREMENT</t>
  </si>
  <si>
    <t>NONE</t>
  </si>
  <si>
    <t>SCHEDULE C-3</t>
  </si>
  <si>
    <t>CONSERVATION PROGRAM COSTS</t>
  </si>
  <si>
    <t>PAGE 1 OF 5</t>
  </si>
  <si>
    <t>ACTUAL FOR MONTHS</t>
  </si>
  <si>
    <t>A. ACTUAL</t>
  </si>
  <si>
    <t>B. ESTIMATED</t>
  </si>
  <si>
    <t>C. TOTAL</t>
  </si>
  <si>
    <t>SUB-TOTAL ACTUAL</t>
  </si>
  <si>
    <t>SUB-TOTAL ESTIMATED</t>
  </si>
  <si>
    <t xml:space="preserve">   ACTUAL</t>
  </si>
  <si>
    <t xml:space="preserve">    ESTIMATED</t>
  </si>
  <si>
    <t xml:space="preserve">   TOTAL</t>
  </si>
  <si>
    <t>SEE PAGE 1A</t>
  </si>
  <si>
    <t>PAGE 1A OF 5</t>
  </si>
  <si>
    <t xml:space="preserve"> 10.</t>
  </si>
  <si>
    <t>TOTAL ACTUAL</t>
  </si>
  <si>
    <t>TOTAL ESTIMATED</t>
  </si>
  <si>
    <t>SCHEDULE OF CAPITAL INVESTMENT, DEPRECIATION AND RETURN</t>
  </si>
  <si>
    <t>PAGE 2 OF 5</t>
  </si>
  <si>
    <t>PAGE 3 OF 5</t>
  </si>
  <si>
    <t>GRAND</t>
  </si>
  <si>
    <t>ESTIMATED</t>
  </si>
  <si>
    <t>PAGE 4 OF 5</t>
  </si>
  <si>
    <t>CALCULATION OF TRUE UP AND INTEREST PROVISION</t>
  </si>
  <si>
    <t>B.</t>
  </si>
  <si>
    <t>CONSERVATION REVENUES</t>
  </si>
  <si>
    <t>RCS AUDIT FEES</t>
  </si>
  <si>
    <t>a.</t>
  </si>
  <si>
    <t>b.</t>
  </si>
  <si>
    <t>c.</t>
  </si>
  <si>
    <t>CONSERVATION ADJ REVENUE</t>
  </si>
  <si>
    <t xml:space="preserve"> (NET OF REVENUE TAXES)</t>
  </si>
  <si>
    <t>TOTAL REVENUES</t>
  </si>
  <si>
    <t>PRIOR PERIOD TRUE-UP--ADJ</t>
  </si>
  <si>
    <t xml:space="preserve"> NOT APPLICABLE TO PERIOD</t>
  </si>
  <si>
    <t xml:space="preserve"> APPLICABLE TO PERIOD</t>
  </si>
  <si>
    <t>CONSERVATION EXPENSES</t>
  </si>
  <si>
    <t xml:space="preserve"> (FORM C-3,PAGE 3)</t>
  </si>
  <si>
    <t>TRUE-UP THIS PERIOD</t>
  </si>
  <si>
    <t>INTEREST PROVISION THIS</t>
  </si>
  <si>
    <t xml:space="preserve">  PERIOD (C-3,PAGE 5)</t>
  </si>
  <si>
    <t>TRUE-UP &amp; INTEREST PROVISION</t>
  </si>
  <si>
    <t>END OF PERIOD TOTAL NET TRUE-</t>
  </si>
  <si>
    <t xml:space="preserve"> UP (SUM OF LINES 7,8,9,10)</t>
  </si>
  <si>
    <t>PAGE 5 OF 5</t>
  </si>
  <si>
    <t>C.</t>
  </si>
  <si>
    <t>INTEREST PROVISION</t>
  </si>
  <si>
    <t>BEGINNING TRUE-UP (LINE B-9)</t>
  </si>
  <si>
    <t>ENDING TRUE-UP BEFORE INTEREST</t>
  </si>
  <si>
    <t xml:space="preserve">    (LINE B7+B9+B10)</t>
  </si>
  <si>
    <t>TOTAL BEG. AND ENDING TRUE-UP</t>
  </si>
  <si>
    <t>AVERAGE TRUE-UP (LINE C-3 X 50 %)</t>
  </si>
  <si>
    <t>INTEREST RATE-FIRST DAY OF</t>
  </si>
  <si>
    <t xml:space="preserve">   REPORTING BUSINESS MONTH</t>
  </si>
  <si>
    <t>SUBSEQUENT BUSINESS MONTH</t>
  </si>
  <si>
    <t>TOTAL (LINE C-5 + C-6)</t>
  </si>
  <si>
    <t>AVG INTEREST RATE (C-7 X 50%)</t>
  </si>
  <si>
    <t>MONTHLY AVERAGE INTEREST RATE</t>
  </si>
  <si>
    <t xml:space="preserve">    (LINE C-4 X C-9)</t>
  </si>
  <si>
    <t>SCHEDULE C-4</t>
  </si>
  <si>
    <t>CALCULATION OF CONSERVATION REVENUES</t>
  </si>
  <si>
    <t>FOR THE PERIOD</t>
  </si>
  <si>
    <t>KWH/THERM</t>
  </si>
  <si>
    <t>SALES (000)</t>
  </si>
  <si>
    <t>CONSERVATION ADJUSTMENT REVENUE</t>
  </si>
  <si>
    <t>MONTH</t>
  </si>
  <si>
    <t>(NET OF 3RD PARTY)</t>
  </si>
  <si>
    <t>(NET OF REVENUE TAXES)</t>
  </si>
  <si>
    <t>RATE</t>
  </si>
  <si>
    <t xml:space="preserve"> SUB-TOTAL</t>
  </si>
  <si>
    <t>TOTALS</t>
  </si>
  <si>
    <t xml:space="preserve"> 11.</t>
  </si>
  <si>
    <t xml:space="preserve"> 12.</t>
  </si>
  <si>
    <t>---------------------------------------------------------------------------ACTUAL-------------------------------------------------------------------------</t>
  </si>
  <si>
    <t xml:space="preserve"> 14.</t>
  </si>
  <si>
    <t>REVENUE TAX MULTIPLIER *</t>
  </si>
  <si>
    <t>COMPANY: FLORIDA PUBLIC UTILITIES COMPANY - CONSOLIDATED ELECTRIC DIVISION</t>
  </si>
  <si>
    <t>Prior period audit adj.</t>
  </si>
  <si>
    <t>SUMMARY OF COST RECOVERY CLAUSE CALCULATION</t>
  </si>
  <si>
    <t xml:space="preserve">AUGUST </t>
  </si>
  <si>
    <t>LESS: PRIOR YEAR AUDIT ADJ.</t>
  </si>
  <si>
    <t>PRIOR TRUE-UP REFUNDED</t>
  </si>
  <si>
    <t xml:space="preserve">  (COLLECTED)</t>
  </si>
  <si>
    <t>RETAIL KWH SALES</t>
  </si>
  <si>
    <t>COST PER KWH</t>
  </si>
  <si>
    <t xml:space="preserve">  (ROUNDED TO THE NEAREST .001 CENTS PER KWH)</t>
  </si>
  <si>
    <t>Commercial Chiller Upgrade Program</t>
  </si>
  <si>
    <t>Residential Energy Survey Program</t>
  </si>
  <si>
    <t>6</t>
  </si>
  <si>
    <t xml:space="preserve"> 13</t>
  </si>
  <si>
    <t>Low Income Program</t>
  </si>
  <si>
    <t>---------------------------------------------ESTIMATED------------------------------------------</t>
  </si>
  <si>
    <t>Commercial Energy Consultation</t>
  </si>
  <si>
    <t>Commercial Energy Survey</t>
  </si>
  <si>
    <t>CV610</t>
  </si>
  <si>
    <t>CV613</t>
  </si>
  <si>
    <t>CV618</t>
  </si>
  <si>
    <t>CV619</t>
  </si>
  <si>
    <t>CV621</t>
  </si>
  <si>
    <t>CV623</t>
  </si>
  <si>
    <t>CV625</t>
  </si>
  <si>
    <t>CV626</t>
  </si>
  <si>
    <t>CV627</t>
  </si>
  <si>
    <t>CV628</t>
  </si>
  <si>
    <t>CV629</t>
  </si>
  <si>
    <t>CV616</t>
  </si>
  <si>
    <t>CV617</t>
  </si>
  <si>
    <t>CV622</t>
  </si>
  <si>
    <t>CV624</t>
  </si>
  <si>
    <t>Commercial Heating &amp; Cooling Upgrade</t>
  </si>
  <si>
    <t>Residential Heating &amp; Cooling Upgrade</t>
  </si>
  <si>
    <t>Commercial Indoor Efficient Lighting Rebate</t>
  </si>
  <si>
    <t>Commercial Window Film Installation Program</t>
  </si>
  <si>
    <t>Solar Water Heating Program</t>
  </si>
  <si>
    <t>Solar Photovoltaic Program</t>
  </si>
  <si>
    <t>Demonstration and Development</t>
  </si>
  <si>
    <t>Affordable Housing Builders and Providers</t>
  </si>
  <si>
    <t>Commercial Reflective Roof Program</t>
  </si>
  <si>
    <t>PAGE 1 OF 20</t>
  </si>
  <si>
    <t>PAGE 2 OF 20</t>
  </si>
  <si>
    <t>PAGE 3 OF 20</t>
  </si>
  <si>
    <t>PAGE 4 OF 20</t>
  </si>
  <si>
    <t>PAGE 6 OF 20</t>
  </si>
  <si>
    <t>PAGE 7 OF 20</t>
  </si>
  <si>
    <t>PAGE 8 OF 20</t>
  </si>
  <si>
    <t>PAGE 9 OF 20</t>
  </si>
  <si>
    <t>PAGE 10 OF 20</t>
  </si>
  <si>
    <t>PAGE 11 OF 20</t>
  </si>
  <si>
    <t>(DNBM-1)</t>
  </si>
  <si>
    <t>DOCKET NO. 20180002-EG</t>
  </si>
  <si>
    <t>PAGE 5 OF 20</t>
  </si>
  <si>
    <t xml:space="preserve"> 15.</t>
  </si>
  <si>
    <t xml:space="preserve"> NET PROGRAM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</si>
</sst>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_)"/>
    <numFmt numFmtId="165" formatCode="0.000%"/>
    <numFmt numFmtId="166" formatCode="0.00000000_)"/>
    <numFmt numFmtId="167" formatCode="00000"/>
    <numFmt numFmtId="168" formatCode="mmmm\-yy"/>
    <numFmt numFmtId="169" formatCode="0.000000_)"/>
    <numFmt numFmtId="170" formatCode="0.000000"/>
    <numFmt numFmtId="171" formatCode="0.000_);\(0.000\)"/>
    <numFmt numFmtId="172" formatCode="#,##0.00000000"/>
    <numFmt numFmtId="173" formatCode="_(* #,##0_);_(* \(#,##0\);_(* &quot;-&quot;??_);_(@_)"/>
    <numFmt numFmtId="174" formatCode="[$-409]mmmm\-yy;@"/>
  </numFmts>
  <fonts count="29">
    <font>
      <sz val="12"/>
      <name val="Arial MT"/>
    </font>
    <font>
      <sz val="10"/>
      <name val="Arial"/>
      <family val="2"/>
    </font>
    <font>
      <b/>
      <sz val="12"/>
      <name val="Arial MT"/>
    </font>
    <font>
      <sz val="12"/>
      <name val="Arial MT"/>
    </font>
    <font>
      <sz val="12"/>
      <color indexed="8"/>
      <name val="Arial MT"/>
      <family val="2"/>
    </font>
    <font>
      <sz val="12"/>
      <color indexed="1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MT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37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4" applyNumberFormat="0" applyAlignment="0" applyProtection="0"/>
    <xf numFmtId="0" fontId="16" fillId="28" borderId="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4" applyNumberFormat="0" applyAlignment="0" applyProtection="0"/>
    <xf numFmtId="0" fontId="23" fillId="0" borderId="9" applyNumberFormat="0" applyFill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" fillId="0" borderId="0"/>
    <xf numFmtId="37" fontId="3" fillId="0" borderId="0"/>
    <xf numFmtId="0" fontId="1" fillId="0" borderId="0"/>
    <xf numFmtId="37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8" fillId="32" borderId="10" applyNumberFormat="0" applyFont="0" applyAlignment="0" applyProtection="0"/>
    <xf numFmtId="0" fontId="25" fillId="27" borderId="11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92">
    <xf numFmtId="37" fontId="0" fillId="0" borderId="0" xfId="0"/>
    <xf numFmtId="37" fontId="0" fillId="0" borderId="0" xfId="0" applyNumberFormat="1" applyProtection="1"/>
    <xf numFmtId="10" fontId="0" fillId="0" borderId="0" xfId="0" applyNumberFormat="1" applyProtection="1"/>
    <xf numFmtId="165" fontId="0" fillId="0" borderId="0" xfId="0" applyNumberFormat="1" applyProtection="1"/>
    <xf numFmtId="37" fontId="0" fillId="0" borderId="0" xfId="0" applyAlignment="1">
      <alignment horizontal="right"/>
    </xf>
    <xf numFmtId="37" fontId="0" fillId="0" borderId="0" xfId="0" applyAlignment="1">
      <alignment horizontal="center"/>
    </xf>
    <xf numFmtId="37" fontId="0" fillId="0" borderId="0" xfId="0" applyAlignment="1">
      <alignment horizontal="fill"/>
    </xf>
    <xf numFmtId="37" fontId="0" fillId="0" borderId="0" xfId="0" applyAlignment="1">
      <alignment horizontal="left"/>
    </xf>
    <xf numFmtId="37" fontId="2" fillId="0" borderId="0" xfId="0" applyFont="1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2" fillId="0" borderId="0" xfId="0" applyFont="1" applyAlignment="1">
      <alignment horizontal="fill"/>
    </xf>
    <xf numFmtId="37" fontId="2" fillId="0" borderId="0" xfId="0" quotePrefix="1" applyFont="1" applyAlignment="1">
      <alignment horizontal="left"/>
    </xf>
    <xf numFmtId="37" fontId="3" fillId="0" borderId="0" xfId="0" quotePrefix="1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37" fontId="2" fillId="0" borderId="1" xfId="0" applyFont="1" applyBorder="1" applyAlignment="1">
      <alignment horizontal="center"/>
    </xf>
    <xf numFmtId="37" fontId="4" fillId="0" borderId="0" xfId="0" applyFont="1"/>
    <xf numFmtId="37" fontId="2" fillId="0" borderId="1" xfId="0" applyFont="1" applyBorder="1"/>
    <xf numFmtId="37" fontId="0" fillId="0" borderId="0" xfId="0" quotePrefix="1" applyNumberFormat="1" applyAlignment="1" applyProtection="1">
      <alignment horizontal="left"/>
    </xf>
    <xf numFmtId="37" fontId="0" fillId="0" borderId="2" xfId="0" applyBorder="1"/>
    <xf numFmtId="37" fontId="0" fillId="0" borderId="1" xfId="0" applyBorder="1"/>
    <xf numFmtId="166" fontId="0" fillId="0" borderId="1" xfId="0" applyNumberFormat="1" applyBorder="1" applyProtection="1"/>
    <xf numFmtId="164" fontId="0" fillId="0" borderId="1" xfId="0" applyNumberFormat="1" applyBorder="1" applyProtection="1"/>
    <xf numFmtId="37" fontId="0" fillId="0" borderId="1" xfId="0" applyBorder="1" applyAlignment="1">
      <alignment horizontal="right"/>
    </xf>
    <xf numFmtId="37" fontId="2" fillId="0" borderId="1" xfId="0" quotePrefix="1" applyFont="1" applyBorder="1" applyAlignment="1">
      <alignment horizontal="center"/>
    </xf>
    <xf numFmtId="37" fontId="0" fillId="0" borderId="2" xfId="0" applyBorder="1" applyAlignment="1">
      <alignment horizontal="center"/>
    </xf>
    <xf numFmtId="37" fontId="0" fillId="0" borderId="1" xfId="0" applyBorder="1" applyAlignment="1">
      <alignment horizontal="center"/>
    </xf>
    <xf numFmtId="37" fontId="0" fillId="0" borderId="0" xfId="0" applyBorder="1"/>
    <xf numFmtId="10" fontId="0" fillId="0" borderId="1" xfId="0" applyNumberFormat="1" applyBorder="1" applyProtection="1"/>
    <xf numFmtId="37" fontId="2" fillId="0" borderId="0" xfId="0" applyFont="1" applyAlignment="1">
      <alignment horizontal="centerContinuous"/>
    </xf>
    <xf numFmtId="37" fontId="2" fillId="0" borderId="1" xfId="0" applyFont="1" applyBorder="1" applyAlignment="1">
      <alignment horizontal="left"/>
    </xf>
    <xf numFmtId="37" fontId="2" fillId="0" borderId="1" xfId="0" applyFont="1" applyBorder="1" applyAlignment="1">
      <alignment horizontal="centerContinuous"/>
    </xf>
    <xf numFmtId="37" fontId="0" fillId="0" borderId="0" xfId="0" quotePrefix="1" applyAlignment="1">
      <alignment horizontal="left"/>
    </xf>
    <xf numFmtId="37" fontId="2" fillId="0" borderId="0" xfId="0" applyFont="1" applyBorder="1" applyAlignment="1">
      <alignment horizontal="center"/>
    </xf>
    <xf numFmtId="37" fontId="2" fillId="0" borderId="0" xfId="0" applyFont="1" applyBorder="1" applyAlignment="1">
      <alignment horizontal="left"/>
    </xf>
    <xf numFmtId="168" fontId="2" fillId="0" borderId="0" xfId="0" applyNumberFormat="1" applyFont="1" applyAlignment="1">
      <alignment horizontal="center"/>
    </xf>
    <xf numFmtId="168" fontId="0" fillId="0" borderId="0" xfId="0" applyNumberFormat="1"/>
    <xf numFmtId="0" fontId="0" fillId="0" borderId="0" xfId="0" applyNumberFormat="1"/>
    <xf numFmtId="37" fontId="5" fillId="0" borderId="0" xfId="0" applyFont="1"/>
    <xf numFmtId="166" fontId="0" fillId="0" borderId="0" xfId="0" applyNumberFormat="1" applyBorder="1" applyProtection="1"/>
    <xf numFmtId="37" fontId="0" fillId="0" borderId="0" xfId="0" applyBorder="1" applyAlignment="1">
      <alignment horizontal="left"/>
    </xf>
    <xf numFmtId="164" fontId="0" fillId="0" borderId="0" xfId="0" applyNumberFormat="1" applyBorder="1" applyProtection="1"/>
    <xf numFmtId="37" fontId="0" fillId="0" borderId="0" xfId="0" applyBorder="1" applyAlignment="1">
      <alignment horizontal="right"/>
    </xf>
    <xf numFmtId="37" fontId="0" fillId="0" borderId="0" xfId="0" quotePrefix="1"/>
    <xf numFmtId="171" fontId="0" fillId="0" borderId="2" xfId="0" applyNumberFormat="1" applyBorder="1" applyProtection="1"/>
    <xf numFmtId="172" fontId="0" fillId="0" borderId="1" xfId="0" applyNumberFormat="1" applyBorder="1" applyProtection="1"/>
    <xf numFmtId="37" fontId="2" fillId="0" borderId="1" xfId="0" applyFont="1" applyFill="1" applyBorder="1" applyAlignment="1">
      <alignment horizontal="center"/>
    </xf>
    <xf numFmtId="37" fontId="0" fillId="0" borderId="0" xfId="0" applyFill="1"/>
    <xf numFmtId="37" fontId="0" fillId="0" borderId="0" xfId="0" applyFont="1" applyAlignment="1">
      <alignment horizontal="right"/>
    </xf>
    <xf numFmtId="37" fontId="0" fillId="0" borderId="0" xfId="0" applyFont="1" applyAlignment="1">
      <alignment horizontal="left"/>
    </xf>
    <xf numFmtId="37" fontId="0" fillId="0" borderId="0" xfId="0" applyFont="1"/>
    <xf numFmtId="37" fontId="0" fillId="0" borderId="0" xfId="0" applyFont="1" applyAlignment="1">
      <alignment horizontal="fill"/>
    </xf>
    <xf numFmtId="37" fontId="0" fillId="0" borderId="0" xfId="0" applyFont="1" applyBorder="1" applyAlignment="1">
      <alignment horizontal="fill"/>
    </xf>
    <xf numFmtId="37" fontId="0" fillId="0" borderId="0" xfId="0" applyFont="1" applyAlignment="1"/>
    <xf numFmtId="37" fontId="0" fillId="0" borderId="0" xfId="0" applyFont="1" applyBorder="1"/>
    <xf numFmtId="37" fontId="0" fillId="0" borderId="0" xfId="0" applyFont="1" applyProtection="1"/>
    <xf numFmtId="37" fontId="0" fillId="0" borderId="2" xfId="0" applyFont="1" applyBorder="1"/>
    <xf numFmtId="37" fontId="0" fillId="0" borderId="0" xfId="0" applyFont="1" applyProtection="1">
      <protection locked="0"/>
    </xf>
    <xf numFmtId="37" fontId="0" fillId="0" borderId="0" xfId="0" applyFill="1" applyAlignment="1">
      <alignment horizontal="left"/>
    </xf>
    <xf numFmtId="37" fontId="0" fillId="0" borderId="0" xfId="0" quotePrefix="1" applyFont="1" applyAlignment="1" applyProtection="1">
      <alignment horizontal="left"/>
      <protection locked="0"/>
    </xf>
    <xf numFmtId="37" fontId="11" fillId="0" borderId="0" xfId="0" applyFont="1"/>
    <xf numFmtId="37" fontId="11" fillId="0" borderId="0" xfId="0" applyFont="1" applyProtection="1"/>
    <xf numFmtId="37" fontId="11" fillId="0" borderId="0" xfId="0" quotePrefix="1" applyFont="1" applyAlignment="1" applyProtection="1">
      <alignment horizontal="left"/>
      <protection locked="0"/>
    </xf>
    <xf numFmtId="37" fontId="0" fillId="0" borderId="1" xfId="0" applyFont="1" applyBorder="1"/>
    <xf numFmtId="10" fontId="0" fillId="0" borderId="0" xfId="0" applyNumberFormat="1" applyFont="1" applyProtection="1"/>
    <xf numFmtId="10" fontId="0" fillId="0" borderId="1" xfId="0" applyNumberFormat="1" applyFont="1" applyBorder="1" applyProtection="1"/>
    <xf numFmtId="165" fontId="0" fillId="0" borderId="0" xfId="0" applyNumberFormat="1" applyFont="1" applyProtection="1"/>
    <xf numFmtId="164" fontId="0" fillId="0" borderId="0" xfId="0" applyNumberFormat="1" applyFont="1" applyProtection="1"/>
    <xf numFmtId="169" fontId="0" fillId="0" borderId="0" xfId="0" applyNumberFormat="1" applyFont="1" applyProtection="1"/>
    <xf numFmtId="0" fontId="0" fillId="0" borderId="0" xfId="0" applyNumberFormat="1" applyFont="1"/>
    <xf numFmtId="164" fontId="0" fillId="0" borderId="0" xfId="0" applyNumberFormat="1" applyFont="1"/>
    <xf numFmtId="170" fontId="0" fillId="0" borderId="0" xfId="0" applyNumberFormat="1" applyFont="1" applyProtection="1"/>
    <xf numFmtId="37" fontId="0" fillId="0" borderId="0" xfId="0" quotePrefix="1" applyAlignment="1" applyProtection="1">
      <alignment horizontal="left"/>
      <protection locked="0"/>
    </xf>
    <xf numFmtId="37" fontId="0" fillId="0" borderId="0" xfId="0" quotePrefix="1" applyFill="1" applyAlignment="1" applyProtection="1">
      <alignment horizontal="left"/>
      <protection locked="0"/>
    </xf>
    <xf numFmtId="37" fontId="0" fillId="0" borderId="3" xfId="0" applyBorder="1"/>
    <xf numFmtId="37" fontId="4" fillId="0" borderId="0" xfId="0" applyFont="1" applyBorder="1"/>
    <xf numFmtId="37" fontId="11" fillId="0" borderId="0" xfId="0" applyFont="1" applyBorder="1" applyProtection="1"/>
    <xf numFmtId="37" fontId="11" fillId="0" borderId="0" xfId="0" applyFont="1" applyBorder="1"/>
    <xf numFmtId="37" fontId="11" fillId="0" borderId="0" xfId="0" quotePrefix="1" applyFont="1" applyBorder="1" applyAlignment="1" applyProtection="1">
      <alignment horizontal="left"/>
      <protection locked="0"/>
    </xf>
    <xf numFmtId="37" fontId="2" fillId="0" borderId="0" xfId="0" applyFont="1" applyBorder="1"/>
    <xf numFmtId="168" fontId="2" fillId="0" borderId="0" xfId="0" applyNumberFormat="1" applyFont="1" applyBorder="1" applyAlignment="1">
      <alignment horizontal="center"/>
    </xf>
    <xf numFmtId="37" fontId="2" fillId="0" borderId="0" xfId="0" applyFont="1" applyBorder="1" applyAlignment="1">
      <alignment horizontal="fill"/>
    </xf>
    <xf numFmtId="37" fontId="0" fillId="0" borderId="0" xfId="0" quotePrefix="1" applyBorder="1" applyAlignment="1">
      <alignment horizontal="left"/>
    </xf>
    <xf numFmtId="37" fontId="0" fillId="0" borderId="0" xfId="0" applyFill="1" applyBorder="1" applyAlignment="1">
      <alignment horizontal="left"/>
    </xf>
    <xf numFmtId="37" fontId="0" fillId="0" borderId="0" xfId="0" quotePrefix="1" applyBorder="1"/>
    <xf numFmtId="37" fontId="0" fillId="0" borderId="0" xfId="0" applyBorder="1" applyAlignment="1">
      <alignment horizontal="center"/>
    </xf>
    <xf numFmtId="37" fontId="0" fillId="0" borderId="0" xfId="0" applyNumberFormat="1"/>
    <xf numFmtId="37" fontId="0" fillId="0" borderId="0" xfId="0" applyFont="1" applyAlignment="1">
      <alignment horizontal="center"/>
    </xf>
    <xf numFmtId="174" fontId="2" fillId="0" borderId="0" xfId="0" applyNumberFormat="1" applyFont="1" applyAlignment="1">
      <alignment horizontal="center"/>
    </xf>
    <xf numFmtId="173" fontId="0" fillId="0" borderId="1" xfId="28" applyNumberFormat="1" applyFont="1" applyBorder="1"/>
    <xf numFmtId="168" fontId="2" fillId="0" borderId="0" xfId="0" applyNumberFormat="1" applyFont="1" applyAlignment="1">
      <alignment horizontal="center"/>
    </xf>
    <xf numFmtId="37" fontId="2" fillId="0" borderId="0" xfId="0" quotePrefix="1" applyFont="1" applyAlignment="1">
      <alignment horizontal="center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omma 2 3" xfId="31"/>
    <cellStyle name="Comma 2 4" xfId="32"/>
    <cellStyle name="Comma 2 5" xfId="33"/>
    <cellStyle name="Comma 3" xfId="34"/>
    <cellStyle name="Comma 3 2" xfId="35"/>
    <cellStyle name="Comma 3 3" xfId="36"/>
    <cellStyle name="Comma 3 3 2" xfId="37"/>
    <cellStyle name="Comma 3 3 3" xfId="38"/>
    <cellStyle name="Comma 3 4" xfId="39"/>
    <cellStyle name="Currency 2" xfId="40"/>
    <cellStyle name="Explanatory Text" xfId="41" builtinId="53" customBuiltin="1"/>
    <cellStyle name="Good" xfId="42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47" builtinId="20" customBuiltin="1"/>
    <cellStyle name="Linked Cell" xfId="48" builtinId="24" customBuiltin="1"/>
    <cellStyle name="Neutral" xfId="49" builtinId="28" customBuiltin="1"/>
    <cellStyle name="Normal" xfId="0" builtinId="0"/>
    <cellStyle name="Normal 10" xfId="50"/>
    <cellStyle name="Normal 11" xfId="51"/>
    <cellStyle name="Normal 12" xfId="52"/>
    <cellStyle name="Normal 13" xfId="53"/>
    <cellStyle name="Normal 14" xfId="54"/>
    <cellStyle name="Normal 15" xfId="55"/>
    <cellStyle name="Normal 16" xfId="56"/>
    <cellStyle name="Normal 17" xfId="57"/>
    <cellStyle name="Normal 18" xfId="58"/>
    <cellStyle name="Normal 19" xfId="59"/>
    <cellStyle name="Normal 2" xfId="60"/>
    <cellStyle name="Normal 2 2" xfId="61"/>
    <cellStyle name="Normal 2 3" xfId="62"/>
    <cellStyle name="Normal 2 4" xfId="63"/>
    <cellStyle name="Normal 20" xfId="64"/>
    <cellStyle name="Normal 21" xfId="65"/>
    <cellStyle name="Normal 3" xfId="66"/>
    <cellStyle name="Normal 3 2" xfId="67"/>
    <cellStyle name="Normal 3 3" xfId="68"/>
    <cellStyle name="Normal 3 4" xfId="69"/>
    <cellStyle name="Normal 4" xfId="70"/>
    <cellStyle name="Normal 4 2" xfId="71"/>
    <cellStyle name="Normal 5" xfId="72"/>
    <cellStyle name="Normal 5 2" xfId="73"/>
    <cellStyle name="Normal 5 3" xfId="74"/>
    <cellStyle name="Normal 5 4" xfId="75"/>
    <cellStyle name="Normal 5 4 2" xfId="76"/>
    <cellStyle name="Normal 6" xfId="77"/>
    <cellStyle name="Normal 6 2" xfId="78"/>
    <cellStyle name="Normal 6 3" xfId="79"/>
    <cellStyle name="Normal 6 4" xfId="80"/>
    <cellStyle name="Normal 6 4 2" xfId="81"/>
    <cellStyle name="Normal 6 4 3" xfId="82"/>
    <cellStyle name="Normal 6 5" xfId="83"/>
    <cellStyle name="Normal 7" xfId="84"/>
    <cellStyle name="Normal 8" xfId="85"/>
    <cellStyle name="Normal 9" xfId="86"/>
    <cellStyle name="Note 2" xfId="87"/>
    <cellStyle name="Output" xfId="88" builtinId="21" customBuiltin="1"/>
    <cellStyle name="Percent 2" xfId="89"/>
    <cellStyle name="Percent 2 2" xfId="90"/>
    <cellStyle name="Percent 2 3" xfId="91"/>
    <cellStyle name="Percent 2 4" xfId="92"/>
    <cellStyle name="Percent 2 4 2" xfId="93"/>
    <cellStyle name="Percent 2 4 3" xfId="94"/>
    <cellStyle name="Percent 2 5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I59"/>
  <sheetViews>
    <sheetView tabSelected="1" zoomScaleNormal="100" zoomScaleSheetLayoutView="75" workbookViewId="0"/>
  </sheetViews>
  <sheetFormatPr defaultRowHeight="15"/>
  <cols>
    <col min="1" max="1" width="5.77734375" customWidth="1"/>
    <col min="2" max="2" width="15.77734375" customWidth="1"/>
    <col min="3" max="3" width="15.88671875" customWidth="1"/>
    <col min="4" max="4" width="14.77734375" customWidth="1"/>
    <col min="5" max="5" width="15.21875" bestFit="1" customWidth="1"/>
    <col min="6" max="6" width="13.77734375" customWidth="1"/>
    <col min="7" max="7" width="14.88671875" customWidth="1"/>
    <col min="8" max="11" width="11.77734375" customWidth="1"/>
  </cols>
  <sheetData>
    <row r="2" spans="1:9" ht="15.75">
      <c r="B2" s="14" t="s">
        <v>170</v>
      </c>
      <c r="I2" s="8" t="s">
        <v>23</v>
      </c>
    </row>
    <row r="3" spans="1:9" ht="15.75">
      <c r="B3" s="8"/>
      <c r="I3" s="8" t="s">
        <v>24</v>
      </c>
    </row>
    <row r="4" spans="1:9" ht="15.75">
      <c r="B4" s="9" t="s">
        <v>25</v>
      </c>
    </row>
    <row r="5" spans="1:9" ht="15.75">
      <c r="B5" s="9" t="s">
        <v>172</v>
      </c>
    </row>
    <row r="7" spans="1:9" ht="15.75">
      <c r="B7" s="8" t="s">
        <v>26</v>
      </c>
      <c r="C7" s="88">
        <v>43466</v>
      </c>
      <c r="D7" s="10" t="s">
        <v>19</v>
      </c>
      <c r="E7" s="35">
        <v>43800</v>
      </c>
    </row>
    <row r="8" spans="1:9" ht="15.75">
      <c r="C8" s="8"/>
      <c r="D8" s="10"/>
      <c r="E8" s="10"/>
      <c r="F8" s="10"/>
    </row>
    <row r="12" spans="1:9">
      <c r="A12" t="s">
        <v>27</v>
      </c>
      <c r="B12" s="7" t="s">
        <v>28</v>
      </c>
      <c r="G12" s="20">
        <f>+'C-2 1 of 3'!P36</f>
        <v>728800</v>
      </c>
    </row>
    <row r="13" spans="1:9">
      <c r="G13" s="6"/>
    </row>
    <row r="14" spans="1:9">
      <c r="A14" t="s">
        <v>29</v>
      </c>
      <c r="B14" s="7" t="s">
        <v>30</v>
      </c>
      <c r="G14" s="20">
        <f>'C-3 4 of 5'!Q41</f>
        <v>-75358.699999999953</v>
      </c>
    </row>
    <row r="15" spans="1:9">
      <c r="G15" s="6"/>
    </row>
    <row r="16" spans="1:9">
      <c r="A16" t="s">
        <v>31</v>
      </c>
      <c r="B16" s="7" t="s">
        <v>32</v>
      </c>
      <c r="G16" s="20">
        <f>G12+G14</f>
        <v>653441.30000000005</v>
      </c>
    </row>
    <row r="17" spans="1:8">
      <c r="G17" s="6"/>
    </row>
    <row r="18" spans="1:8">
      <c r="A18" t="s">
        <v>33</v>
      </c>
      <c r="B18" s="7" t="s">
        <v>177</v>
      </c>
      <c r="G18" s="89">
        <v>672723829</v>
      </c>
    </row>
    <row r="19" spans="1:8">
      <c r="G19" s="6"/>
    </row>
    <row r="20" spans="1:8">
      <c r="A20" t="s">
        <v>34</v>
      </c>
      <c r="B20" s="7" t="s">
        <v>178</v>
      </c>
      <c r="G20" s="45">
        <f>+G16/G18</f>
        <v>9.7133663448689884E-4</v>
      </c>
    </row>
    <row r="21" spans="1:8">
      <c r="G21" s="6"/>
    </row>
    <row r="22" spans="1:8">
      <c r="A22" t="s">
        <v>35</v>
      </c>
      <c r="B22" s="7" t="s">
        <v>169</v>
      </c>
      <c r="G22" s="22">
        <v>1.0007200000000001</v>
      </c>
    </row>
    <row r="23" spans="1:8">
      <c r="G23" s="6"/>
    </row>
    <row r="24" spans="1:8">
      <c r="A24" t="s">
        <v>36</v>
      </c>
      <c r="B24" s="7" t="s">
        <v>37</v>
      </c>
      <c r="G24" s="21">
        <f>ROUND(G20*G22,6)</f>
        <v>9.7199999999999999E-4</v>
      </c>
    </row>
    <row r="25" spans="1:8">
      <c r="G25" s="6"/>
    </row>
    <row r="26" spans="1:8">
      <c r="A26" t="s">
        <v>38</v>
      </c>
      <c r="B26" s="7" t="s">
        <v>39</v>
      </c>
      <c r="G26" s="5" t="s">
        <v>40</v>
      </c>
    </row>
    <row r="27" spans="1:8" ht="15.75" thickBot="1">
      <c r="B27" s="7" t="s">
        <v>179</v>
      </c>
      <c r="G27" s="44">
        <f>ROUND(+G24,5)*100</f>
        <v>9.7000000000000003E-2</v>
      </c>
    </row>
    <row r="28" spans="1:8" ht="15.75" thickTop="1">
      <c r="G28" s="6"/>
    </row>
    <row r="29" spans="1:8">
      <c r="A29" s="27"/>
      <c r="B29" s="27"/>
      <c r="C29" s="27"/>
      <c r="D29" s="27"/>
      <c r="E29" s="27"/>
      <c r="F29" s="27"/>
      <c r="G29" s="27"/>
      <c r="H29" s="27"/>
    </row>
    <row r="30" spans="1:8">
      <c r="A30" s="27"/>
      <c r="B30" s="27"/>
      <c r="C30" s="27"/>
      <c r="D30" s="27"/>
      <c r="E30" s="27"/>
      <c r="F30" s="27"/>
      <c r="G30" s="27"/>
      <c r="H30" s="27"/>
    </row>
    <row r="31" spans="1:8">
      <c r="A31" s="27"/>
      <c r="B31" s="27"/>
      <c r="C31" s="27"/>
      <c r="D31" s="27"/>
      <c r="E31" s="27"/>
      <c r="F31" s="27"/>
      <c r="G31" s="27"/>
      <c r="H31" s="27"/>
    </row>
    <row r="32" spans="1:8">
      <c r="A32" s="27"/>
      <c r="B32" s="27"/>
      <c r="C32" s="27"/>
      <c r="D32" s="27"/>
      <c r="E32" s="27"/>
      <c r="F32" s="27"/>
      <c r="G32" s="39"/>
      <c r="H32" s="27"/>
    </row>
    <row r="33" spans="1:8">
      <c r="A33" s="27"/>
      <c r="B33" s="27"/>
      <c r="C33" s="27"/>
      <c r="D33" s="27"/>
      <c r="E33" s="27"/>
      <c r="F33" s="27"/>
      <c r="G33" s="27"/>
      <c r="H33" s="27"/>
    </row>
    <row r="34" spans="1:8">
      <c r="A34" s="27"/>
      <c r="B34" s="40"/>
      <c r="C34" s="27"/>
      <c r="D34" s="27"/>
      <c r="E34" s="27"/>
      <c r="F34" s="27"/>
      <c r="G34" s="41"/>
      <c r="H34" s="27"/>
    </row>
    <row r="35" spans="1:8">
      <c r="A35" s="27"/>
      <c r="B35" s="27"/>
      <c r="C35" s="27"/>
      <c r="D35" s="27"/>
      <c r="E35" s="27"/>
      <c r="F35" s="27"/>
      <c r="G35" s="27"/>
      <c r="H35" s="27"/>
    </row>
    <row r="36" spans="1:8">
      <c r="A36" s="27"/>
      <c r="B36" s="40"/>
      <c r="C36" s="27"/>
      <c r="D36" s="27"/>
      <c r="E36" s="27"/>
      <c r="F36" s="27"/>
      <c r="G36" s="39"/>
      <c r="H36" s="27"/>
    </row>
    <row r="37" spans="1:8">
      <c r="A37" s="27"/>
      <c r="B37" s="27"/>
      <c r="C37" s="27"/>
      <c r="D37" s="27"/>
      <c r="E37" s="27"/>
      <c r="F37" s="27"/>
      <c r="G37" s="27"/>
      <c r="H37" s="27"/>
    </row>
    <row r="38" spans="1:8">
      <c r="A38" s="27"/>
      <c r="B38" s="40"/>
      <c r="C38" s="27"/>
      <c r="D38" s="27"/>
      <c r="E38" s="27"/>
      <c r="F38" s="27"/>
      <c r="G38" s="27"/>
      <c r="H38" s="27"/>
    </row>
    <row r="39" spans="1:8">
      <c r="A39" s="27"/>
      <c r="B39" s="40"/>
      <c r="C39" s="27"/>
      <c r="D39" s="27"/>
      <c r="E39" s="27"/>
      <c r="F39" s="27"/>
      <c r="G39" s="41"/>
      <c r="H39" s="27"/>
    </row>
    <row r="40" spans="1:8">
      <c r="A40" s="27"/>
      <c r="B40" s="27"/>
      <c r="C40" s="27"/>
      <c r="D40" s="27"/>
      <c r="E40" s="27"/>
      <c r="F40" s="27"/>
      <c r="G40" s="27"/>
      <c r="H40" s="27"/>
    </row>
    <row r="41" spans="1:8">
      <c r="A41" s="42"/>
      <c r="B41" s="40"/>
      <c r="C41" s="27"/>
      <c r="D41" s="27"/>
      <c r="E41" s="27"/>
      <c r="F41" s="27"/>
      <c r="G41" s="27"/>
      <c r="H41" s="27"/>
    </row>
    <row r="42" spans="1:8">
      <c r="A42" s="27"/>
      <c r="B42" s="40"/>
      <c r="C42" s="27"/>
      <c r="D42" s="27"/>
      <c r="E42" s="27"/>
      <c r="F42" s="27"/>
      <c r="G42" s="27"/>
      <c r="H42" s="27"/>
    </row>
    <row r="43" spans="1:8">
      <c r="A43" s="27"/>
      <c r="B43" s="40"/>
      <c r="C43" s="27"/>
      <c r="D43" s="27"/>
      <c r="E43" s="27"/>
      <c r="F43" s="27"/>
      <c r="G43" s="27"/>
      <c r="H43" s="27"/>
    </row>
    <row r="44" spans="1:8">
      <c r="A44" s="27"/>
      <c r="B44" s="40"/>
      <c r="C44" s="27"/>
      <c r="D44" s="27"/>
      <c r="E44" s="27"/>
      <c r="F44" s="27"/>
      <c r="G44" s="27"/>
      <c r="H44" s="27"/>
    </row>
    <row r="51" spans="6:8">
      <c r="F51" s="50"/>
      <c r="G51" s="50"/>
      <c r="H51" s="50"/>
    </row>
    <row r="52" spans="6:8">
      <c r="F52" s="50"/>
      <c r="G52" s="50"/>
      <c r="H52" s="50"/>
    </row>
    <row r="53" spans="6:8">
      <c r="F53" s="50"/>
      <c r="G53" s="50" t="s">
        <v>41</v>
      </c>
      <c r="H53" s="50"/>
    </row>
    <row r="54" spans="6:8">
      <c r="F54" s="50"/>
      <c r="G54" s="73" t="s">
        <v>223</v>
      </c>
      <c r="H54" s="50"/>
    </row>
    <row r="55" spans="6:8">
      <c r="F55" s="50"/>
      <c r="G55" s="50" t="s">
        <v>18</v>
      </c>
      <c r="H55" s="50"/>
    </row>
    <row r="56" spans="6:8">
      <c r="F56" s="50"/>
      <c r="G56" s="59" t="s">
        <v>222</v>
      </c>
      <c r="H56" s="50"/>
    </row>
    <row r="57" spans="6:8">
      <c r="F57" s="50"/>
      <c r="G57" s="72" t="s">
        <v>212</v>
      </c>
      <c r="H57" s="50"/>
    </row>
    <row r="58" spans="6:8">
      <c r="F58" s="50"/>
      <c r="G58" s="50"/>
      <c r="H58" s="50"/>
    </row>
    <row r="59" spans="6:8">
      <c r="F59" s="50"/>
      <c r="G59" s="50"/>
      <c r="H59" s="50"/>
    </row>
  </sheetData>
  <phoneticPr fontId="0" type="noConversion"/>
  <pageMargins left="0.75" right="0.75" top="1" bottom="1" header="0.5" footer="0.5"/>
  <pageSetup scale="55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3:AB63"/>
  <sheetViews>
    <sheetView topLeftCell="I1" zoomScale="75" zoomScaleNormal="75" workbookViewId="0">
      <selection activeCell="I1" sqref="I1"/>
    </sheetView>
  </sheetViews>
  <sheetFormatPr defaultRowHeight="15"/>
  <cols>
    <col min="1" max="1" width="5.77734375" customWidth="1"/>
    <col min="2" max="2" width="14.5546875" customWidth="1"/>
    <col min="3" max="3" width="11.6640625" customWidth="1"/>
    <col min="4" max="4" width="16.33203125" bestFit="1" customWidth="1"/>
    <col min="5" max="5" width="11.77734375" customWidth="1"/>
    <col min="6" max="6" width="15.44140625" bestFit="1" customWidth="1"/>
    <col min="7" max="15" width="11.77734375" customWidth="1"/>
    <col min="16" max="16" width="12.6640625" customWidth="1"/>
    <col min="17" max="18" width="11.77734375" customWidth="1"/>
  </cols>
  <sheetData>
    <row r="3" spans="1:28" ht="15.75">
      <c r="B3" s="9" t="str">
        <f>+'C-3 4 of 5'!B3</f>
        <v>COMPANY: FLORIDA PUBLIC UTILITIES COMPANY - CONSOLIDATED ELECTRIC DIVISION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 t="s">
        <v>94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.75">
      <c r="B4" s="9" t="s">
        <v>25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138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5.75">
      <c r="B5" s="9" t="s">
        <v>117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5.75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.75">
      <c r="B7" s="9" t="s">
        <v>97</v>
      </c>
      <c r="C7" s="8"/>
      <c r="D7" s="35">
        <f>+'C-3 4 of 5'!D8</f>
        <v>43101</v>
      </c>
      <c r="E7" s="10" t="s">
        <v>19</v>
      </c>
      <c r="F7" s="35">
        <f>+'C-3 4 of 5'!F8</f>
        <v>43252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5.75">
      <c r="B8" s="9" t="s">
        <v>77</v>
      </c>
      <c r="C8" s="8"/>
      <c r="D8" s="35">
        <f>+'C-3 4 of 5'!D9</f>
        <v>43282</v>
      </c>
      <c r="E8" s="10" t="s">
        <v>19</v>
      </c>
      <c r="F8" s="35">
        <f>+'C-3 4 of 5'!F9</f>
        <v>43435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.75">
      <c r="B9" s="9"/>
      <c r="C9" s="8"/>
      <c r="D9" s="10"/>
      <c r="E9" s="10"/>
      <c r="F9" s="1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.75"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5.75"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5.75"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5.75">
      <c r="B13" s="9"/>
      <c r="C13" s="8"/>
      <c r="D13" s="8"/>
      <c r="E13" s="15" t="s">
        <v>5</v>
      </c>
      <c r="F13" s="15" t="s">
        <v>6</v>
      </c>
      <c r="G13" s="15" t="s">
        <v>7</v>
      </c>
      <c r="H13" s="15" t="s">
        <v>8</v>
      </c>
      <c r="I13" s="15" t="s">
        <v>9</v>
      </c>
      <c r="J13" s="15" t="s">
        <v>10</v>
      </c>
      <c r="K13" s="15" t="s">
        <v>13</v>
      </c>
      <c r="L13" s="15" t="s">
        <v>11</v>
      </c>
      <c r="M13" s="15" t="s">
        <v>12</v>
      </c>
      <c r="N13" s="15" t="s">
        <v>2</v>
      </c>
      <c r="O13" s="15" t="s">
        <v>3</v>
      </c>
      <c r="P13" s="15" t="s">
        <v>4</v>
      </c>
      <c r="Q13" s="15" t="s">
        <v>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>
      <c r="A14" s="5" t="s">
        <v>139</v>
      </c>
      <c r="B14" s="7" t="s">
        <v>140</v>
      </c>
    </row>
    <row r="15" spans="1:28">
      <c r="B15" s="7"/>
    </row>
    <row r="16" spans="1:28">
      <c r="A16" t="s">
        <v>27</v>
      </c>
      <c r="B16" s="32" t="s">
        <v>141</v>
      </c>
      <c r="E16">
        <f>+'C-3 4 of 5'!E34</f>
        <v>-60042</v>
      </c>
      <c r="F16">
        <f>+'C-3 4 of 5'!F34</f>
        <v>-80821.850000000006</v>
      </c>
      <c r="G16">
        <f>+'C-3 4 of 5'!G34</f>
        <v>-77090.62000000001</v>
      </c>
      <c r="H16">
        <f>+'C-3 4 of 5'!H34</f>
        <v>-75840.429999999993</v>
      </c>
      <c r="I16">
        <f>+'C-3 4 of 5'!I34</f>
        <v>-73744.649999999994</v>
      </c>
      <c r="J16">
        <f>+'C-3 4 of 5'!J34</f>
        <v>-70769.59</v>
      </c>
      <c r="K16">
        <f>+'C-3 4 of 5'!K34</f>
        <v>-77524.699999999983</v>
      </c>
      <c r="L16">
        <f>+'C-3 4 of 5'!L34</f>
        <v>-87107.199999999983</v>
      </c>
      <c r="M16">
        <f>+'C-3 4 of 5'!M34</f>
        <v>-96686.699999999983</v>
      </c>
      <c r="N16">
        <f>+'C-3 4 of 5'!N34</f>
        <v>-104586.19999999998</v>
      </c>
      <c r="O16">
        <f>+'C-3 4 of 5'!O34</f>
        <v>-101161.69999999998</v>
      </c>
      <c r="P16">
        <f>+'C-3 4 of 5'!P34</f>
        <v>-88379.199999999983</v>
      </c>
      <c r="Q16">
        <f>+'C-3 4 of 5'!Q41</f>
        <v>-75358.699999999953</v>
      </c>
    </row>
    <row r="17" spans="1:20">
      <c r="A17" t="s">
        <v>29</v>
      </c>
      <c r="B17" s="7" t="s">
        <v>142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>
      <c r="B18" s="7" t="s">
        <v>143</v>
      </c>
      <c r="E18" s="20">
        <f>'C-3 4 of 5'!E30+'C-3 4 of 5'!E34+'C-3 4 of 5'!E37</f>
        <v>-80733.850000000006</v>
      </c>
      <c r="F18" s="63">
        <f>'C-3 4 of 5'!F30+'C-3 4 of 5'!F34+'C-3 4 of 5'!F37</f>
        <v>-76986.62000000001</v>
      </c>
      <c r="G18" s="63">
        <f>'C-3 4 of 5'!G30+'C-3 4 of 5'!G34+'C-3 4 of 5'!G37</f>
        <v>-75728.429999999993</v>
      </c>
      <c r="H18" s="63">
        <f>'C-3 4 of 5'!H30+'C-3 4 of 5'!H34+'C-3 4 of 5'!H37</f>
        <v>-73627.649999999994</v>
      </c>
      <c r="I18" s="63">
        <f>'C-3 4 of 5'!I30+'C-3 4 of 5'!I34+'C-3 4 of 5'!I37</f>
        <v>-70656.59</v>
      </c>
      <c r="J18" s="63">
        <f>'C-3 4 of 5'!J30+'C-3 4 of 5'!J34+'C-3 4 of 5'!J37</f>
        <v>-77405.699999999983</v>
      </c>
      <c r="K18" s="63">
        <f>'C-3 4 of 5'!K30+'C-3 4 of 5'!K34+'C-3 4 of 5'!K37</f>
        <v>-86970.199999999983</v>
      </c>
      <c r="L18" s="63">
        <f>'C-3 4 of 5'!L30+'C-3 4 of 5'!L34+'C-3 4 of 5'!L37</f>
        <v>-96533.699999999983</v>
      </c>
      <c r="M18" s="63">
        <f>'C-3 4 of 5'!M30+'C-3 4 of 5'!M34+'C-3 4 of 5'!M37</f>
        <v>-104418.19999999998</v>
      </c>
      <c r="N18" s="63">
        <f>'C-3 4 of 5'!N30+'C-3 4 of 5'!N34+'C-3 4 of 5'!N37</f>
        <v>-100990.69999999998</v>
      </c>
      <c r="O18" s="63">
        <f>'C-3 4 of 5'!O30+'C-3 4 of 5'!O34+'C-3 4 of 5'!O37</f>
        <v>-88221.199999999983</v>
      </c>
      <c r="P18" s="63">
        <f>'C-3 4 of 5'!P30+'C-3 4 of 5'!P34+'C-3 4 of 5'!P37</f>
        <v>-75222.699999999983</v>
      </c>
      <c r="Q18" s="63">
        <f>'C-3 4 of 5'!Q30+'C-3 4 of 5'!Q34+'C-3 4 of 5'!Q37</f>
        <v>-73782.699999999953</v>
      </c>
      <c r="R18" s="50"/>
      <c r="S18" s="50"/>
      <c r="T18" s="50"/>
    </row>
    <row r="19" spans="1:20">
      <c r="B19" s="7"/>
      <c r="E19" s="4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50"/>
      <c r="S19" s="50"/>
      <c r="T19" s="50"/>
    </row>
    <row r="20" spans="1:20">
      <c r="A20" t="s">
        <v>31</v>
      </c>
      <c r="B20" s="7" t="s">
        <v>144</v>
      </c>
      <c r="E20">
        <f t="shared" ref="E20:Q20" si="0">SUM(E16:E18)</f>
        <v>-140775.85</v>
      </c>
      <c r="F20" s="50">
        <f t="shared" si="0"/>
        <v>-157808.47000000003</v>
      </c>
      <c r="G20" s="50">
        <f t="shared" si="0"/>
        <v>-152819.04999999999</v>
      </c>
      <c r="H20" s="50">
        <f t="shared" si="0"/>
        <v>-149468.07999999999</v>
      </c>
      <c r="I20" s="50">
        <f t="shared" si="0"/>
        <v>-144401.24</v>
      </c>
      <c r="J20" s="50">
        <f t="shared" si="0"/>
        <v>-148175.28999999998</v>
      </c>
      <c r="K20" s="50">
        <f t="shared" si="0"/>
        <v>-164494.89999999997</v>
      </c>
      <c r="L20" s="50">
        <f t="shared" si="0"/>
        <v>-183640.89999999997</v>
      </c>
      <c r="M20" s="50">
        <f t="shared" si="0"/>
        <v>-201104.89999999997</v>
      </c>
      <c r="N20" s="50">
        <f t="shared" si="0"/>
        <v>-205576.89999999997</v>
      </c>
      <c r="O20" s="50">
        <f t="shared" si="0"/>
        <v>-189382.89999999997</v>
      </c>
      <c r="P20" s="50">
        <f t="shared" si="0"/>
        <v>-163601.89999999997</v>
      </c>
      <c r="Q20" s="50">
        <f t="shared" si="0"/>
        <v>-149141.39999999991</v>
      </c>
      <c r="R20" s="50"/>
      <c r="S20" s="50"/>
      <c r="T20" s="50"/>
    </row>
    <row r="21" spans="1:20">
      <c r="A21" t="s">
        <v>33</v>
      </c>
      <c r="B21" s="7" t="s">
        <v>145</v>
      </c>
      <c r="E21">
        <f t="shared" ref="E21:Q21" si="1">ROUND(+E20/2,0)</f>
        <v>-70388</v>
      </c>
      <c r="F21" s="50">
        <f t="shared" si="1"/>
        <v>-78904</v>
      </c>
      <c r="G21" s="50">
        <f t="shared" si="1"/>
        <v>-76410</v>
      </c>
      <c r="H21" s="50">
        <f t="shared" si="1"/>
        <v>-74734</v>
      </c>
      <c r="I21" s="50">
        <f t="shared" si="1"/>
        <v>-72201</v>
      </c>
      <c r="J21" s="50">
        <f t="shared" si="1"/>
        <v>-74088</v>
      </c>
      <c r="K21" s="50">
        <f t="shared" si="1"/>
        <v>-82247</v>
      </c>
      <c r="L21" s="50">
        <f t="shared" si="1"/>
        <v>-91820</v>
      </c>
      <c r="M21" s="50">
        <f t="shared" si="1"/>
        <v>-100552</v>
      </c>
      <c r="N21" s="50">
        <f t="shared" si="1"/>
        <v>-102788</v>
      </c>
      <c r="O21" s="50">
        <f t="shared" si="1"/>
        <v>-94691</v>
      </c>
      <c r="P21" s="50">
        <f t="shared" si="1"/>
        <v>-81801</v>
      </c>
      <c r="Q21" s="50">
        <f t="shared" si="1"/>
        <v>-74571</v>
      </c>
      <c r="R21" s="50"/>
      <c r="S21" s="50"/>
      <c r="T21" s="50"/>
    </row>
    <row r="22" spans="1:20">
      <c r="A22" t="s">
        <v>34</v>
      </c>
      <c r="B22" s="7" t="s">
        <v>146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>
      <c r="B23" s="7" t="s">
        <v>147</v>
      </c>
      <c r="E23" s="2">
        <v>1.49E-2</v>
      </c>
      <c r="F23" s="64">
        <f t="shared" ref="F23:P23" si="2">+E25</f>
        <v>1.4999999999999999E-2</v>
      </c>
      <c r="G23" s="64">
        <f t="shared" si="2"/>
        <v>1.66E-2</v>
      </c>
      <c r="H23" s="64">
        <f t="shared" si="2"/>
        <v>1.8599999999999998E-2</v>
      </c>
      <c r="I23" s="64">
        <f t="shared" si="2"/>
        <v>1.9E-2</v>
      </c>
      <c r="J23" s="64">
        <f t="shared" si="2"/>
        <v>1.8599999999999998E-2</v>
      </c>
      <c r="K23" s="64">
        <f t="shared" si="2"/>
        <v>0.02</v>
      </c>
      <c r="L23" s="64">
        <f t="shared" si="2"/>
        <v>0.02</v>
      </c>
      <c r="M23" s="64">
        <f t="shared" si="2"/>
        <v>0.02</v>
      </c>
      <c r="N23" s="64">
        <f t="shared" si="2"/>
        <v>0.02</v>
      </c>
      <c r="O23" s="64">
        <f t="shared" si="2"/>
        <v>0.02</v>
      </c>
      <c r="P23" s="64">
        <f t="shared" si="2"/>
        <v>0.02</v>
      </c>
      <c r="Q23" s="64"/>
      <c r="R23" s="50"/>
      <c r="S23" s="50"/>
      <c r="T23" s="50"/>
    </row>
    <row r="24" spans="1:20">
      <c r="A24" t="s">
        <v>35</v>
      </c>
      <c r="B24" s="7" t="s">
        <v>146</v>
      </c>
      <c r="E24" s="2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50"/>
      <c r="S24" s="50"/>
      <c r="T24" s="50"/>
    </row>
    <row r="25" spans="1:20">
      <c r="B25" s="7" t="s">
        <v>148</v>
      </c>
      <c r="E25" s="28">
        <v>1.4999999999999999E-2</v>
      </c>
      <c r="F25" s="65">
        <v>1.66E-2</v>
      </c>
      <c r="G25" s="65">
        <v>1.8599999999999998E-2</v>
      </c>
      <c r="H25" s="65">
        <v>1.9E-2</v>
      </c>
      <c r="I25" s="65">
        <v>1.8599999999999998E-2</v>
      </c>
      <c r="J25" s="65">
        <v>0.02</v>
      </c>
      <c r="K25" s="65">
        <v>0.02</v>
      </c>
      <c r="L25" s="65">
        <v>0.02</v>
      </c>
      <c r="M25" s="65">
        <f>M23</f>
        <v>0.02</v>
      </c>
      <c r="N25" s="65">
        <f>N23</f>
        <v>0.02</v>
      </c>
      <c r="O25" s="65">
        <f>O23</f>
        <v>0.02</v>
      </c>
      <c r="P25" s="65">
        <f>P23</f>
        <v>0.02</v>
      </c>
      <c r="Q25" s="65"/>
      <c r="R25" s="50"/>
      <c r="S25" s="50"/>
      <c r="T25" s="50"/>
    </row>
    <row r="26" spans="1:20">
      <c r="B26" s="7"/>
      <c r="E26" s="4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50"/>
      <c r="S26" s="50"/>
      <c r="T26" s="50"/>
    </row>
    <row r="27" spans="1:20">
      <c r="A27" t="s">
        <v>36</v>
      </c>
      <c r="B27" s="7" t="s">
        <v>149</v>
      </c>
      <c r="E27" s="2">
        <f t="shared" ref="E27:P27" si="3">SUM(E23:E25)</f>
        <v>2.9899999999999999E-2</v>
      </c>
      <c r="F27" s="64">
        <f t="shared" si="3"/>
        <v>3.1600000000000003E-2</v>
      </c>
      <c r="G27" s="64">
        <f t="shared" si="3"/>
        <v>3.5199999999999995E-2</v>
      </c>
      <c r="H27" s="64">
        <f t="shared" si="3"/>
        <v>3.7599999999999995E-2</v>
      </c>
      <c r="I27" s="64">
        <f t="shared" si="3"/>
        <v>3.7599999999999995E-2</v>
      </c>
      <c r="J27" s="64">
        <f t="shared" si="3"/>
        <v>3.8599999999999995E-2</v>
      </c>
      <c r="K27" s="64">
        <f t="shared" si="3"/>
        <v>0.04</v>
      </c>
      <c r="L27" s="64">
        <f t="shared" si="3"/>
        <v>0.04</v>
      </c>
      <c r="M27" s="64">
        <f t="shared" si="3"/>
        <v>0.04</v>
      </c>
      <c r="N27" s="64">
        <f t="shared" si="3"/>
        <v>0.04</v>
      </c>
      <c r="O27" s="64">
        <f t="shared" si="3"/>
        <v>0.04</v>
      </c>
      <c r="P27" s="64">
        <f t="shared" si="3"/>
        <v>0.04</v>
      </c>
      <c r="Q27" s="64"/>
      <c r="R27" s="50"/>
      <c r="S27" s="50"/>
      <c r="T27" s="50"/>
    </row>
    <row r="28" spans="1:20">
      <c r="A28" t="s">
        <v>38</v>
      </c>
      <c r="B28" s="7" t="s">
        <v>150</v>
      </c>
      <c r="E28" s="2">
        <f t="shared" ref="E28:P28" si="4">E27*0.5</f>
        <v>1.495E-2</v>
      </c>
      <c r="F28" s="64">
        <f t="shared" si="4"/>
        <v>1.5800000000000002E-2</v>
      </c>
      <c r="G28" s="64">
        <f t="shared" si="4"/>
        <v>1.7599999999999998E-2</v>
      </c>
      <c r="H28" s="64">
        <f t="shared" si="4"/>
        <v>1.8799999999999997E-2</v>
      </c>
      <c r="I28" s="64">
        <f t="shared" si="4"/>
        <v>1.8799999999999997E-2</v>
      </c>
      <c r="J28" s="64">
        <f t="shared" si="4"/>
        <v>1.9299999999999998E-2</v>
      </c>
      <c r="K28" s="64">
        <f t="shared" si="4"/>
        <v>0.02</v>
      </c>
      <c r="L28" s="64">
        <f t="shared" si="4"/>
        <v>0.02</v>
      </c>
      <c r="M28" s="64">
        <f t="shared" si="4"/>
        <v>0.02</v>
      </c>
      <c r="N28" s="64">
        <f t="shared" si="4"/>
        <v>0.02</v>
      </c>
      <c r="O28" s="64">
        <f t="shared" si="4"/>
        <v>0.02</v>
      </c>
      <c r="P28" s="64">
        <f t="shared" si="4"/>
        <v>0.02</v>
      </c>
      <c r="Q28" s="64"/>
      <c r="R28" s="50"/>
      <c r="S28" s="50"/>
      <c r="T28" s="50"/>
    </row>
    <row r="29" spans="1:20">
      <c r="A29" t="s">
        <v>47</v>
      </c>
      <c r="B29" s="7" t="s">
        <v>151</v>
      </c>
      <c r="E29" s="3">
        <f t="shared" ref="E29:P29" si="5">E28/12</f>
        <v>1.2458333333333334E-3</v>
      </c>
      <c r="F29" s="66">
        <f t="shared" si="5"/>
        <v>1.3166666666666667E-3</v>
      </c>
      <c r="G29" s="66">
        <f t="shared" si="5"/>
        <v>1.4666666666666665E-3</v>
      </c>
      <c r="H29" s="66">
        <f t="shared" si="5"/>
        <v>1.5666666666666665E-3</v>
      </c>
      <c r="I29" s="66">
        <f t="shared" si="5"/>
        <v>1.5666666666666665E-3</v>
      </c>
      <c r="J29" s="66">
        <f t="shared" si="5"/>
        <v>1.6083333333333331E-3</v>
      </c>
      <c r="K29" s="66">
        <f t="shared" si="5"/>
        <v>1.6666666666666668E-3</v>
      </c>
      <c r="L29" s="66">
        <f t="shared" si="5"/>
        <v>1.6666666666666668E-3</v>
      </c>
      <c r="M29" s="66">
        <f t="shared" si="5"/>
        <v>1.6666666666666668E-3</v>
      </c>
      <c r="N29" s="66">
        <f t="shared" si="5"/>
        <v>1.6666666666666668E-3</v>
      </c>
      <c r="O29" s="66">
        <f t="shared" si="5"/>
        <v>1.6666666666666668E-3</v>
      </c>
      <c r="P29" s="66">
        <f t="shared" si="5"/>
        <v>1.6666666666666668E-3</v>
      </c>
      <c r="Q29" s="66"/>
      <c r="R29" s="50"/>
      <c r="S29" s="50"/>
      <c r="T29" s="50"/>
    </row>
    <row r="30" spans="1:20">
      <c r="A30" t="s">
        <v>21</v>
      </c>
      <c r="B30" s="7" t="s">
        <v>140</v>
      </c>
      <c r="E30" s="2"/>
      <c r="F30" s="64"/>
      <c r="G30" s="64"/>
      <c r="H30" s="64"/>
      <c r="I30" s="64"/>
      <c r="J30" s="64"/>
      <c r="K30" s="50"/>
      <c r="L30" s="50"/>
      <c r="M30" s="50"/>
      <c r="N30" s="50"/>
      <c r="O30" s="50"/>
      <c r="P30" s="50"/>
      <c r="Q30" s="64"/>
      <c r="R30" s="50"/>
      <c r="S30" s="50"/>
      <c r="T30" s="50"/>
    </row>
    <row r="31" spans="1:20" ht="15.75" thickBot="1">
      <c r="B31" s="7" t="s">
        <v>152</v>
      </c>
      <c r="E31" s="19">
        <f>ROUND(+E21*E29,0)</f>
        <v>-88</v>
      </c>
      <c r="F31" s="56">
        <f>ROUND(+F21*F29,0)</f>
        <v>-104</v>
      </c>
      <c r="G31" s="56">
        <f>ROUND(+G21*G29,0)</f>
        <v>-112</v>
      </c>
      <c r="H31" s="56">
        <f>ROUND(+H21*H29,0)</f>
        <v>-117</v>
      </c>
      <c r="I31" s="56">
        <f t="shared" ref="I31:P31" si="6">ROUND(+I21*I29,0)</f>
        <v>-113</v>
      </c>
      <c r="J31" s="56">
        <f t="shared" si="6"/>
        <v>-119</v>
      </c>
      <c r="K31" s="56">
        <f t="shared" si="6"/>
        <v>-137</v>
      </c>
      <c r="L31" s="56">
        <f t="shared" si="6"/>
        <v>-153</v>
      </c>
      <c r="M31" s="56">
        <f>ROUND(+M21*M29,0)</f>
        <v>-168</v>
      </c>
      <c r="N31" s="56">
        <f t="shared" si="6"/>
        <v>-171</v>
      </c>
      <c r="O31" s="56">
        <f t="shared" si="6"/>
        <v>-158</v>
      </c>
      <c r="P31" s="56">
        <f t="shared" si="6"/>
        <v>-136</v>
      </c>
      <c r="Q31" s="56">
        <f>SUM(E31:P31)</f>
        <v>-1576</v>
      </c>
      <c r="R31" s="50"/>
      <c r="S31" s="50"/>
      <c r="T31" s="50"/>
    </row>
    <row r="32" spans="1:20" ht="15.75" thickTop="1">
      <c r="B32" s="7"/>
      <c r="E32" s="4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50"/>
      <c r="S32" s="50"/>
      <c r="T32" s="50"/>
    </row>
    <row r="33" spans="2:20">
      <c r="B33" s="7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2:20">
      <c r="B34" s="7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2:20">
      <c r="B35" s="7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2:20">
      <c r="B36" s="7"/>
      <c r="F36" s="50"/>
      <c r="G36" s="50"/>
      <c r="H36" s="50"/>
      <c r="I36" s="50"/>
      <c r="J36" s="50"/>
      <c r="K36" s="50"/>
      <c r="L36" s="50"/>
      <c r="M36" s="50"/>
      <c r="N36" s="50"/>
      <c r="O36" s="55" t="s">
        <v>41</v>
      </c>
      <c r="P36" s="50"/>
      <c r="Q36" s="50"/>
      <c r="R36" s="50"/>
      <c r="S36" s="50"/>
      <c r="T36" s="50"/>
    </row>
    <row r="37" spans="2:20">
      <c r="B37" s="7"/>
      <c r="F37" s="50"/>
      <c r="G37" s="50"/>
      <c r="H37" s="50"/>
      <c r="I37" s="50"/>
      <c r="J37" s="50"/>
      <c r="K37" s="50"/>
      <c r="L37" s="50"/>
      <c r="M37" s="50"/>
      <c r="N37" s="50"/>
      <c r="O37" s="57" t="str">
        <f>+'C-3 4 of 5'!O47</f>
        <v>DOCKET NO. 20180002-EG</v>
      </c>
      <c r="P37" s="50"/>
      <c r="Q37" s="50"/>
      <c r="R37" s="50"/>
      <c r="S37" s="50"/>
      <c r="T37" s="50"/>
    </row>
    <row r="38" spans="2:20">
      <c r="B38" s="7"/>
      <c r="F38" s="50"/>
      <c r="G38" s="50"/>
      <c r="H38" s="50"/>
      <c r="I38" s="50"/>
      <c r="J38" s="50"/>
      <c r="K38" s="50"/>
      <c r="L38" s="50"/>
      <c r="M38" s="50"/>
      <c r="N38" s="50"/>
      <c r="O38" s="50" t="s">
        <v>18</v>
      </c>
      <c r="P38" s="50"/>
      <c r="Q38" s="50"/>
      <c r="R38" s="50"/>
      <c r="S38" s="50"/>
      <c r="T38" s="50"/>
    </row>
    <row r="39" spans="2:20">
      <c r="B39" s="7"/>
      <c r="F39" s="50"/>
      <c r="G39" s="50"/>
      <c r="H39" s="50"/>
      <c r="I39" s="50"/>
      <c r="J39" s="50"/>
      <c r="K39" s="50"/>
      <c r="L39" s="50"/>
      <c r="M39" s="50"/>
      <c r="N39" s="50"/>
      <c r="O39" s="55" t="str">
        <f>+'C-3 4 of 5'!O49</f>
        <v>(DNBM-1)</v>
      </c>
      <c r="P39" s="50"/>
      <c r="Q39" s="50"/>
      <c r="R39" s="50"/>
      <c r="S39" s="50"/>
      <c r="T39" s="50"/>
    </row>
    <row r="40" spans="2:20">
      <c r="B40" s="7"/>
      <c r="F40" s="50"/>
      <c r="G40" s="50"/>
      <c r="H40" s="50"/>
      <c r="I40" s="50"/>
      <c r="J40" s="50"/>
      <c r="K40" s="50"/>
      <c r="L40" s="50"/>
      <c r="M40" s="50"/>
      <c r="N40" s="50"/>
      <c r="O40" s="72" t="s">
        <v>220</v>
      </c>
      <c r="P40" s="50"/>
      <c r="Q40" s="50"/>
      <c r="R40" s="50"/>
      <c r="S40" s="50"/>
      <c r="T40" s="50"/>
    </row>
    <row r="41" spans="2:20">
      <c r="B41" s="7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2:20">
      <c r="B42" s="7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2:20">
      <c r="B43" s="7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2:20">
      <c r="B44" s="7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pans="2:20">
      <c r="B45" s="7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</row>
    <row r="46" spans="2:20">
      <c r="B46" s="7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2:20">
      <c r="B47" s="7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2:20">
      <c r="B48" s="7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pans="2:20">
      <c r="B49" s="7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2:20">
      <c r="B50" s="7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2:20">
      <c r="B51" s="7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2:20">
      <c r="B52" s="7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2:20">
      <c r="B53" s="7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2:20">
      <c r="B54" s="7"/>
    </row>
    <row r="55" spans="2:20">
      <c r="B55" s="7"/>
    </row>
    <row r="56" spans="2:20">
      <c r="B56" s="7"/>
    </row>
    <row r="57" spans="2:20">
      <c r="B57" s="7"/>
    </row>
    <row r="58" spans="2:20">
      <c r="B58" s="7"/>
    </row>
    <row r="59" spans="2:20">
      <c r="B59" s="7"/>
    </row>
    <row r="60" spans="2:20">
      <c r="B60" s="7"/>
    </row>
    <row r="61" spans="2:20">
      <c r="B61" s="7"/>
    </row>
    <row r="62" spans="2:20">
      <c r="B62" s="7"/>
    </row>
    <row r="63" spans="2:20">
      <c r="B63" s="7"/>
    </row>
  </sheetData>
  <phoneticPr fontId="0" type="noConversion"/>
  <pageMargins left="0.75" right="0.75" top="1" bottom="1" header="0.5" footer="0.5"/>
  <pageSetup scale="4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3:K112"/>
  <sheetViews>
    <sheetView zoomScale="75" zoomScaleNormal="75" workbookViewId="0">
      <selection activeCell="D30" sqref="D30"/>
    </sheetView>
  </sheetViews>
  <sheetFormatPr defaultRowHeight="15"/>
  <cols>
    <col min="1" max="1" width="5.6640625" customWidth="1"/>
    <col min="2" max="2" width="16.33203125" customWidth="1"/>
    <col min="3" max="3" width="13.77734375" customWidth="1"/>
    <col min="4" max="4" width="11.77734375" customWidth="1"/>
    <col min="5" max="5" width="15.44140625" bestFit="1" customWidth="1"/>
    <col min="6" max="6" width="11.44140625" customWidth="1"/>
    <col min="7" max="41" width="11.77734375" customWidth="1"/>
  </cols>
  <sheetData>
    <row r="3" spans="1:11" ht="15.75">
      <c r="B3" s="9" t="s">
        <v>170</v>
      </c>
      <c r="C3" s="8"/>
      <c r="D3" s="8"/>
      <c r="E3" s="8"/>
      <c r="F3" s="8"/>
      <c r="G3" s="8"/>
      <c r="H3" s="8"/>
      <c r="J3" s="8" t="s">
        <v>153</v>
      </c>
    </row>
    <row r="4" spans="1:11" ht="15.75">
      <c r="B4" s="9" t="s">
        <v>154</v>
      </c>
      <c r="C4" s="8"/>
      <c r="D4" s="8"/>
      <c r="E4" s="8"/>
      <c r="F4" s="8"/>
      <c r="G4" s="8"/>
      <c r="H4" s="8"/>
      <c r="J4" s="8" t="s">
        <v>24</v>
      </c>
    </row>
    <row r="5" spans="1:11" ht="15.75">
      <c r="B5" s="9"/>
      <c r="C5" s="8"/>
      <c r="D5" s="8"/>
      <c r="E5" s="10"/>
      <c r="F5" s="8"/>
      <c r="G5" s="8"/>
      <c r="H5" s="8"/>
      <c r="I5" s="8"/>
      <c r="J5" s="8"/>
    </row>
    <row r="6" spans="1:11" ht="15.75">
      <c r="B6" s="9" t="s">
        <v>155</v>
      </c>
      <c r="C6" s="35">
        <v>43101</v>
      </c>
      <c r="D6" s="10" t="s">
        <v>19</v>
      </c>
      <c r="E6" s="35">
        <v>43800</v>
      </c>
      <c r="F6" s="8"/>
      <c r="G6" s="8"/>
      <c r="H6" s="8"/>
      <c r="I6" s="8"/>
      <c r="J6" s="8"/>
    </row>
    <row r="7" spans="1:11" ht="15.75">
      <c r="B7" s="9"/>
      <c r="C7" s="10"/>
      <c r="D7" s="10"/>
      <c r="E7" s="10"/>
      <c r="F7" s="8"/>
      <c r="G7" s="8"/>
      <c r="H7" s="8"/>
      <c r="I7" s="8"/>
      <c r="J7" s="8"/>
    </row>
    <row r="8" spans="1:11" ht="15.75">
      <c r="B8" s="9"/>
      <c r="C8" s="8"/>
      <c r="D8" s="8"/>
      <c r="E8" s="8"/>
      <c r="F8" s="8"/>
      <c r="G8" s="8"/>
      <c r="H8" s="8"/>
      <c r="I8" s="8"/>
      <c r="J8" s="8"/>
    </row>
    <row r="9" spans="1:11" ht="15.75">
      <c r="B9" s="9"/>
      <c r="C9" s="8"/>
      <c r="D9" s="8"/>
      <c r="E9" s="8"/>
      <c r="F9" s="8"/>
      <c r="G9" s="8"/>
      <c r="H9" s="8"/>
      <c r="I9" s="8"/>
      <c r="J9" s="8"/>
      <c r="K9" s="50"/>
    </row>
    <row r="10" spans="1:11" ht="15.75">
      <c r="B10" s="9"/>
      <c r="C10" s="8"/>
      <c r="D10" s="29" t="s">
        <v>156</v>
      </c>
      <c r="E10" s="8"/>
      <c r="F10" s="8"/>
      <c r="G10" s="8"/>
      <c r="H10" s="8"/>
      <c r="I10" s="8"/>
      <c r="J10" s="8"/>
      <c r="K10" s="50"/>
    </row>
    <row r="11" spans="1:11" ht="15.75">
      <c r="B11" s="9"/>
      <c r="C11" s="8"/>
      <c r="D11" s="29" t="s">
        <v>157</v>
      </c>
      <c r="E11" s="8"/>
      <c r="F11" s="29" t="s">
        <v>158</v>
      </c>
      <c r="G11" s="29"/>
      <c r="H11" s="29"/>
      <c r="I11" s="8"/>
      <c r="J11" s="8"/>
      <c r="K11" s="50"/>
    </row>
    <row r="12" spans="1:11" ht="15.75">
      <c r="B12" s="30" t="s">
        <v>159</v>
      </c>
      <c r="C12" s="17"/>
      <c r="D12" s="31" t="s">
        <v>160</v>
      </c>
      <c r="E12" s="17"/>
      <c r="F12" s="31" t="s">
        <v>161</v>
      </c>
      <c r="G12" s="31"/>
      <c r="H12" s="31"/>
      <c r="I12" s="15" t="s">
        <v>162</v>
      </c>
      <c r="J12" s="8"/>
      <c r="K12" s="50"/>
    </row>
    <row r="13" spans="1:11" ht="15.75">
      <c r="B13" s="9"/>
      <c r="C13" s="8"/>
      <c r="D13" s="8"/>
      <c r="E13" s="8"/>
      <c r="F13" s="8"/>
      <c r="G13" s="8"/>
      <c r="H13" s="8"/>
      <c r="I13" s="11"/>
      <c r="J13" s="8"/>
      <c r="K13" s="50"/>
    </row>
    <row r="14" spans="1:11">
      <c r="A14" s="37">
        <v>2018</v>
      </c>
      <c r="B14" s="49" t="s">
        <v>5</v>
      </c>
      <c r="C14" s="50"/>
      <c r="D14" s="50">
        <v>62777</v>
      </c>
      <c r="E14" s="50"/>
      <c r="F14" s="50"/>
      <c r="G14" s="50">
        <v>63940</v>
      </c>
      <c r="H14" s="50"/>
      <c r="I14" s="67" t="s">
        <v>1</v>
      </c>
      <c r="J14" s="50"/>
      <c r="K14" s="50"/>
    </row>
    <row r="15" spans="1:11">
      <c r="B15" s="49" t="s">
        <v>6</v>
      </c>
      <c r="C15" s="50"/>
      <c r="D15" s="50">
        <v>49057</v>
      </c>
      <c r="E15" s="50"/>
      <c r="F15" s="50"/>
      <c r="G15" s="50">
        <v>49968</v>
      </c>
      <c r="H15" s="50"/>
      <c r="I15" s="67" t="str">
        <f>+I14</f>
        <v>ACTUAL</v>
      </c>
      <c r="J15" s="50"/>
      <c r="K15" s="50"/>
    </row>
    <row r="16" spans="1:11">
      <c r="B16" s="49" t="s">
        <v>7</v>
      </c>
      <c r="C16" s="50"/>
      <c r="D16" s="50">
        <v>40736</v>
      </c>
      <c r="E16" s="50"/>
      <c r="F16" s="50"/>
      <c r="G16" s="50">
        <v>41403</v>
      </c>
      <c r="H16" s="50"/>
      <c r="I16" s="67" t="str">
        <f>+I15</f>
        <v>ACTUAL</v>
      </c>
      <c r="J16" s="50"/>
      <c r="K16" s="50"/>
    </row>
    <row r="17" spans="1:11">
      <c r="B17" s="49" t="s">
        <v>8</v>
      </c>
      <c r="C17" s="50"/>
      <c r="D17" s="50">
        <v>42987</v>
      </c>
      <c r="E17" s="50"/>
      <c r="F17" s="50"/>
      <c r="G17" s="50">
        <v>44349</v>
      </c>
      <c r="H17" s="50"/>
      <c r="I17" s="67" t="str">
        <f>+I16</f>
        <v>ACTUAL</v>
      </c>
      <c r="J17" s="50"/>
      <c r="K17" s="50"/>
    </row>
    <row r="18" spans="1:11">
      <c r="B18" s="49" t="s">
        <v>9</v>
      </c>
      <c r="C18" s="50"/>
      <c r="D18" s="50">
        <v>43497</v>
      </c>
      <c r="E18" s="50"/>
      <c r="F18" s="50"/>
      <c r="G18" s="50">
        <v>43727</v>
      </c>
      <c r="H18" s="50"/>
      <c r="I18" s="67" t="str">
        <f>+I17</f>
        <v>ACTUAL</v>
      </c>
      <c r="J18" s="50"/>
      <c r="K18" s="50"/>
    </row>
    <row r="19" spans="1:11">
      <c r="B19" s="49" t="s">
        <v>10</v>
      </c>
      <c r="C19" s="50"/>
      <c r="D19" s="54">
        <v>59594</v>
      </c>
      <c r="E19" s="50"/>
      <c r="F19" s="50"/>
      <c r="G19" s="50">
        <v>60694</v>
      </c>
      <c r="H19" s="50"/>
      <c r="I19" s="67" t="str">
        <f>+I18</f>
        <v>ACTUAL</v>
      </c>
      <c r="J19" s="50"/>
      <c r="K19" s="50"/>
    </row>
    <row r="20" spans="1:11">
      <c r="B20" s="49" t="s">
        <v>13</v>
      </c>
      <c r="C20" s="50"/>
      <c r="D20" s="54">
        <v>68326</v>
      </c>
      <c r="E20" s="50"/>
      <c r="F20" s="50"/>
      <c r="G20" s="50">
        <v>69683</v>
      </c>
      <c r="H20" s="50"/>
      <c r="I20" s="68">
        <f t="shared" ref="I20:I25" si="0">(G20/(D20*1000)*100)</f>
        <v>0.1019860667974124</v>
      </c>
      <c r="J20" s="50"/>
      <c r="K20" s="50"/>
    </row>
    <row r="21" spans="1:11">
      <c r="B21" s="49" t="s">
        <v>11</v>
      </c>
      <c r="C21" s="50"/>
      <c r="D21" s="54">
        <v>68308</v>
      </c>
      <c r="E21" s="50"/>
      <c r="F21" s="50"/>
      <c r="G21" s="50">
        <v>69664</v>
      </c>
      <c r="H21" s="50"/>
      <c r="I21" s="68">
        <f t="shared" si="0"/>
        <v>0.10198512619312525</v>
      </c>
      <c r="J21" s="50"/>
      <c r="K21" s="50"/>
    </row>
    <row r="22" spans="1:11">
      <c r="B22" s="49" t="s">
        <v>12</v>
      </c>
      <c r="C22" s="50"/>
      <c r="D22" s="54">
        <v>66646</v>
      </c>
      <c r="E22" s="50"/>
      <c r="F22" s="69"/>
      <c r="G22" s="50">
        <v>67969</v>
      </c>
      <c r="H22" s="50"/>
      <c r="I22" s="68">
        <f t="shared" si="0"/>
        <v>0.10198511538576958</v>
      </c>
      <c r="J22" s="50"/>
      <c r="K22" s="50"/>
    </row>
    <row r="23" spans="1:11">
      <c r="B23" s="49" t="s">
        <v>2</v>
      </c>
      <c r="C23" s="50"/>
      <c r="D23" s="54">
        <v>55539</v>
      </c>
      <c r="E23" s="50"/>
      <c r="F23" s="50"/>
      <c r="G23" s="50">
        <v>56642</v>
      </c>
      <c r="H23" s="50"/>
      <c r="I23" s="68">
        <f t="shared" si="0"/>
        <v>0.10198599182556403</v>
      </c>
      <c r="J23" s="50"/>
      <c r="K23" s="50"/>
    </row>
    <row r="24" spans="1:11">
      <c r="B24" s="49" t="s">
        <v>3</v>
      </c>
      <c r="C24" s="50"/>
      <c r="D24" s="54">
        <v>46376</v>
      </c>
      <c r="E24" s="50"/>
      <c r="F24" s="50"/>
      <c r="G24" s="50">
        <v>47297</v>
      </c>
      <c r="H24" s="50"/>
      <c r="I24" s="68">
        <f t="shared" si="0"/>
        <v>0.10198594100396757</v>
      </c>
      <c r="J24" s="50"/>
      <c r="K24" s="50"/>
    </row>
    <row r="25" spans="1:11">
      <c r="B25" s="49" t="s">
        <v>4</v>
      </c>
      <c r="C25" s="50"/>
      <c r="D25" s="63">
        <v>46164</v>
      </c>
      <c r="E25" s="50"/>
      <c r="F25" s="50"/>
      <c r="G25" s="63">
        <v>47081</v>
      </c>
      <c r="H25" s="50"/>
      <c r="I25" s="68">
        <f t="shared" si="0"/>
        <v>0.10198639632614159</v>
      </c>
      <c r="J25" s="50"/>
      <c r="K25" s="50"/>
    </row>
    <row r="26" spans="1:11">
      <c r="B26" s="49"/>
      <c r="C26" s="50"/>
      <c r="D26" s="51"/>
      <c r="E26" s="50"/>
      <c r="F26" s="50"/>
      <c r="G26" s="51"/>
      <c r="H26" s="50"/>
      <c r="I26" s="70"/>
      <c r="J26" s="50"/>
      <c r="K26" s="50"/>
    </row>
    <row r="27" spans="1:11">
      <c r="B27" s="49" t="s">
        <v>163</v>
      </c>
      <c r="C27" s="50"/>
      <c r="D27" s="63">
        <f>SUM(D14:D26)</f>
        <v>650007</v>
      </c>
      <c r="E27" s="50"/>
      <c r="F27" s="50"/>
      <c r="G27" s="63">
        <f>SUM(G14:G25)</f>
        <v>662417</v>
      </c>
      <c r="H27" s="50"/>
      <c r="I27" s="70"/>
      <c r="J27" s="50"/>
      <c r="K27" s="50"/>
    </row>
    <row r="28" spans="1:11">
      <c r="B28" s="49"/>
      <c r="C28" s="50"/>
      <c r="D28" s="51"/>
      <c r="E28" s="50"/>
      <c r="F28" s="50"/>
      <c r="G28" s="52"/>
      <c r="H28" s="50"/>
      <c r="I28" s="70"/>
      <c r="J28" s="50"/>
      <c r="K28" s="50"/>
    </row>
    <row r="29" spans="1:11">
      <c r="A29" s="37">
        <v>2019</v>
      </c>
      <c r="B29" s="49" t="s">
        <v>5</v>
      </c>
      <c r="C29" s="50"/>
      <c r="D29" s="50">
        <v>54800.146490913728</v>
      </c>
      <c r="E29" s="50"/>
      <c r="F29" s="50"/>
      <c r="G29" s="50">
        <v>53230</v>
      </c>
      <c r="H29" s="50"/>
      <c r="I29" s="71">
        <f>+'C-1 '!G$20*100</f>
        <v>9.7133663448689886E-2</v>
      </c>
      <c r="J29" s="50"/>
      <c r="K29" s="50"/>
    </row>
    <row r="30" spans="1:11">
      <c r="B30" s="49" t="s">
        <v>6</v>
      </c>
      <c r="C30" s="50"/>
      <c r="D30" s="50">
        <v>50390.631371870462</v>
      </c>
      <c r="E30" s="50"/>
      <c r="F30" s="50"/>
      <c r="G30" s="50">
        <v>48946</v>
      </c>
      <c r="H30" s="50"/>
      <c r="I30" s="71">
        <f>+'C-1 '!G$20*100</f>
        <v>9.7133663448689886E-2</v>
      </c>
      <c r="J30" s="50"/>
      <c r="K30" s="50"/>
    </row>
    <row r="31" spans="1:11">
      <c r="B31" s="49" t="s">
        <v>7</v>
      </c>
      <c r="C31" s="50"/>
      <c r="D31" s="50">
        <v>44854.266499421654</v>
      </c>
      <c r="E31" s="50"/>
      <c r="F31" s="50"/>
      <c r="G31" s="50">
        <v>43569</v>
      </c>
      <c r="H31" s="50"/>
      <c r="I31" s="71">
        <f>+'C-1 '!G$20*100</f>
        <v>9.7133663448689886E-2</v>
      </c>
      <c r="J31" s="50"/>
      <c r="K31" s="50"/>
    </row>
    <row r="32" spans="1:11">
      <c r="B32" s="49" t="s">
        <v>8</v>
      </c>
      <c r="C32" s="50"/>
      <c r="D32" s="50">
        <v>47360.258560152346</v>
      </c>
      <c r="E32" s="50"/>
      <c r="F32" s="50"/>
      <c r="G32" s="50">
        <v>46003</v>
      </c>
      <c r="H32" s="50"/>
      <c r="I32" s="71">
        <f>+'C-1 '!G$20*100</f>
        <v>9.7133663448689886E-2</v>
      </c>
      <c r="J32" s="50"/>
      <c r="K32" s="50"/>
    </row>
    <row r="33" spans="2:11">
      <c r="B33" s="49" t="s">
        <v>9</v>
      </c>
      <c r="C33" s="50"/>
      <c r="D33" s="50">
        <v>49479.101515693044</v>
      </c>
      <c r="E33" s="50"/>
      <c r="F33" s="50"/>
      <c r="G33" s="50">
        <v>48061</v>
      </c>
      <c r="H33" s="50"/>
      <c r="I33" s="71">
        <f>+'C-1 '!G$20*100</f>
        <v>9.7133663448689886E-2</v>
      </c>
      <c r="J33" s="50"/>
      <c r="K33" s="50"/>
    </row>
    <row r="34" spans="2:11">
      <c r="B34" s="49" t="s">
        <v>10</v>
      </c>
      <c r="C34" s="50"/>
      <c r="D34" s="50">
        <v>61567.686126349021</v>
      </c>
      <c r="E34" s="50"/>
      <c r="F34" s="50"/>
      <c r="G34" s="50">
        <v>59803</v>
      </c>
      <c r="H34" s="50"/>
      <c r="I34" s="71">
        <f>+'C-1 '!G$20*100</f>
        <v>9.7133663448689886E-2</v>
      </c>
      <c r="J34" s="50"/>
      <c r="K34" s="50"/>
    </row>
    <row r="35" spans="2:11">
      <c r="B35" s="49" t="s">
        <v>13</v>
      </c>
      <c r="C35" s="50"/>
      <c r="D35" s="50">
        <v>67655.394376110518</v>
      </c>
      <c r="E35" s="50"/>
      <c r="F35" s="50"/>
      <c r="G35" s="50">
        <v>65716</v>
      </c>
      <c r="H35" s="50"/>
      <c r="I35" s="71">
        <f>+'C-1 '!G$20*100</f>
        <v>9.7133663448689886E-2</v>
      </c>
      <c r="J35" s="50"/>
      <c r="K35" s="50"/>
    </row>
    <row r="36" spans="2:11">
      <c r="B36" s="49" t="s">
        <v>11</v>
      </c>
      <c r="C36" s="50"/>
      <c r="D36" s="50">
        <v>67801.305768513717</v>
      </c>
      <c r="E36" s="50"/>
      <c r="F36" s="50"/>
      <c r="G36" s="50">
        <v>65858</v>
      </c>
      <c r="H36" s="50"/>
      <c r="I36" s="71">
        <f>+'C-1 '!G$20*100</f>
        <v>9.7133663448689886E-2</v>
      </c>
      <c r="J36" s="50"/>
      <c r="K36" s="50"/>
    </row>
    <row r="37" spans="2:11">
      <c r="B37" s="49" t="s">
        <v>12</v>
      </c>
      <c r="C37" s="50"/>
      <c r="D37" s="50">
        <v>67150.442759562822</v>
      </c>
      <c r="E37" s="50"/>
      <c r="F37" s="50"/>
      <c r="G37" s="50">
        <v>65226</v>
      </c>
      <c r="H37" s="50"/>
      <c r="I37" s="71">
        <f>+'C-1 '!G$20*100</f>
        <v>9.7133663448689886E-2</v>
      </c>
      <c r="J37" s="50"/>
      <c r="K37" s="50"/>
    </row>
    <row r="38" spans="2:11">
      <c r="B38" s="49" t="s">
        <v>2</v>
      </c>
      <c r="C38" s="50"/>
      <c r="D38" s="50">
        <v>57700.158150238691</v>
      </c>
      <c r="E38" s="50"/>
      <c r="F38" s="50"/>
      <c r="G38" s="50">
        <v>56046</v>
      </c>
      <c r="H38" s="50"/>
      <c r="I38" s="71">
        <f>+'C-1 '!G$20*100</f>
        <v>9.7133663448689886E-2</v>
      </c>
      <c r="J38" s="50"/>
      <c r="K38" s="50"/>
    </row>
    <row r="39" spans="2:11">
      <c r="B39" s="49" t="s">
        <v>3</v>
      </c>
      <c r="C39" s="50"/>
      <c r="D39" s="50">
        <v>55838.91889421425</v>
      </c>
      <c r="E39" s="50"/>
      <c r="F39" s="50"/>
      <c r="G39" s="50">
        <v>54238</v>
      </c>
      <c r="H39" s="50"/>
      <c r="I39" s="71">
        <f>+'C-1 '!G$20*100</f>
        <v>9.7133663448689886E-2</v>
      </c>
      <c r="J39" s="50"/>
      <c r="K39" s="50"/>
    </row>
    <row r="40" spans="2:11">
      <c r="B40" s="49" t="s">
        <v>4</v>
      </c>
      <c r="C40" s="50"/>
      <c r="D40" s="63">
        <v>48125.518123027869</v>
      </c>
      <c r="E40" s="50"/>
      <c r="F40" s="50"/>
      <c r="G40" s="63">
        <v>46746</v>
      </c>
      <c r="H40" s="50"/>
      <c r="I40" s="71">
        <f>+'C-1 '!G$20*100</f>
        <v>9.7133663448689886E-2</v>
      </c>
      <c r="J40" s="50"/>
      <c r="K40" s="50"/>
    </row>
    <row r="41" spans="2:11">
      <c r="B41" s="49"/>
      <c r="C41" s="50"/>
      <c r="D41" s="51"/>
      <c r="E41" s="50"/>
      <c r="F41" s="50"/>
      <c r="G41" s="51"/>
      <c r="H41" s="50"/>
      <c r="I41" s="50"/>
      <c r="J41" s="50"/>
      <c r="K41" s="50"/>
    </row>
    <row r="42" spans="2:11">
      <c r="B42" s="49" t="s">
        <v>163</v>
      </c>
      <c r="C42" s="50"/>
      <c r="D42" s="63">
        <f>SUM(D29:D41)</f>
        <v>672723.82863606804</v>
      </c>
      <c r="E42" s="50"/>
      <c r="F42" s="50"/>
      <c r="G42" s="63">
        <f>SUM(G29:G40)</f>
        <v>653442</v>
      </c>
      <c r="H42" s="50"/>
      <c r="I42" s="50"/>
      <c r="J42" s="50"/>
      <c r="K42" s="50"/>
    </row>
    <row r="43" spans="2:11">
      <c r="B43" s="49"/>
      <c r="C43" s="50"/>
      <c r="D43" s="51"/>
      <c r="E43" s="50"/>
      <c r="F43" s="50"/>
      <c r="G43" s="51"/>
      <c r="H43" s="50"/>
      <c r="I43" s="50"/>
      <c r="J43" s="50"/>
      <c r="K43" s="50"/>
    </row>
    <row r="44" spans="2:11" ht="15.75" thickBot="1">
      <c r="B44" s="49" t="s">
        <v>164</v>
      </c>
      <c r="C44" s="50"/>
      <c r="D44" s="56">
        <f>D27+D42</f>
        <v>1322730.8286360679</v>
      </c>
      <c r="E44" s="50"/>
      <c r="F44" s="50"/>
      <c r="G44" s="56">
        <f>G27+G42</f>
        <v>1315859</v>
      </c>
      <c r="H44" s="50"/>
      <c r="I44" s="50"/>
      <c r="J44" s="50"/>
      <c r="K44" s="50"/>
    </row>
    <row r="45" spans="2:11" ht="15.75" thickTop="1">
      <c r="B45" s="49"/>
      <c r="C45" s="50"/>
      <c r="D45" s="51"/>
      <c r="E45" s="50"/>
      <c r="F45" s="50"/>
      <c r="G45" s="51"/>
      <c r="H45" s="50"/>
      <c r="I45" s="50"/>
      <c r="J45" s="50"/>
      <c r="K45" s="50"/>
    </row>
    <row r="46" spans="2:11">
      <c r="B46" s="49"/>
      <c r="C46" s="50"/>
      <c r="D46" s="50"/>
      <c r="E46" s="50"/>
      <c r="F46" s="50"/>
      <c r="G46" s="50"/>
      <c r="H46" s="50"/>
      <c r="I46" s="50"/>
      <c r="J46" s="50"/>
      <c r="K46" s="50"/>
    </row>
    <row r="47" spans="2:11">
      <c r="B47" s="49"/>
      <c r="C47" s="50"/>
      <c r="D47" s="50"/>
      <c r="E47" s="50"/>
      <c r="F47" s="50"/>
      <c r="G47" s="50"/>
      <c r="H47" s="50"/>
      <c r="I47" s="50"/>
      <c r="J47" s="50"/>
      <c r="K47" s="50"/>
    </row>
    <row r="48" spans="2:11">
      <c r="B48" s="49"/>
      <c r="C48" s="50"/>
      <c r="D48" s="50"/>
      <c r="E48" s="50"/>
      <c r="F48" s="50"/>
      <c r="G48" s="50"/>
      <c r="H48" s="50"/>
      <c r="I48" s="50"/>
      <c r="J48" s="50"/>
      <c r="K48" s="50"/>
    </row>
    <row r="49" spans="1:11">
      <c r="A49" s="4"/>
      <c r="B49" s="53"/>
      <c r="C49" s="50"/>
      <c r="D49" s="50"/>
      <c r="E49" s="50"/>
      <c r="F49" s="50"/>
      <c r="G49" s="50"/>
      <c r="H49" s="50"/>
      <c r="I49" s="50"/>
      <c r="J49" s="50"/>
      <c r="K49" s="50"/>
    </row>
    <row r="50" spans="1:11">
      <c r="B50" s="49"/>
      <c r="C50" s="50"/>
      <c r="D50" s="50"/>
      <c r="E50" s="50"/>
      <c r="F50" s="50"/>
      <c r="G50" s="50"/>
      <c r="H50" s="50"/>
      <c r="I50" s="50"/>
      <c r="J50" s="50"/>
      <c r="K50" s="50"/>
    </row>
    <row r="51" spans="1:11">
      <c r="B51" s="49"/>
      <c r="C51" s="50"/>
      <c r="D51" s="50"/>
      <c r="E51" s="50"/>
      <c r="F51" s="50"/>
      <c r="G51" s="50"/>
      <c r="H51" s="50"/>
      <c r="I51" s="50"/>
      <c r="J51" s="50"/>
      <c r="K51" s="50"/>
    </row>
    <row r="52" spans="1:11">
      <c r="B52" s="49"/>
      <c r="C52" s="50"/>
      <c r="D52" s="50"/>
      <c r="E52" s="50"/>
      <c r="F52" s="50"/>
      <c r="G52" s="50"/>
      <c r="H52" s="50"/>
      <c r="I52" s="50"/>
      <c r="J52" s="50"/>
      <c r="K52" s="50"/>
    </row>
    <row r="53" spans="1:11">
      <c r="B53" s="49"/>
      <c r="C53" s="50"/>
      <c r="D53" s="50"/>
      <c r="E53" s="50"/>
      <c r="F53" s="50"/>
      <c r="G53" s="50"/>
      <c r="H53" s="50"/>
      <c r="I53" s="50"/>
      <c r="J53" s="50"/>
      <c r="K53" s="50"/>
    </row>
    <row r="54" spans="1:11">
      <c r="B54" s="49"/>
      <c r="C54" s="50"/>
      <c r="D54" s="50"/>
      <c r="E54" s="50"/>
      <c r="F54" s="50"/>
      <c r="G54" s="50"/>
      <c r="H54" s="50"/>
      <c r="I54" s="50"/>
      <c r="J54" s="50"/>
      <c r="K54" s="50"/>
    </row>
    <row r="55" spans="1:11">
      <c r="B55" s="49"/>
      <c r="C55" s="50"/>
      <c r="D55" s="50"/>
      <c r="E55" s="50"/>
      <c r="F55" s="50"/>
      <c r="G55" s="50"/>
      <c r="H55" s="50"/>
      <c r="I55" s="50"/>
      <c r="J55" s="50"/>
      <c r="K55" s="50"/>
    </row>
    <row r="56" spans="1:11">
      <c r="B56" s="49"/>
      <c r="C56" s="50"/>
      <c r="D56" s="50"/>
      <c r="E56" s="50"/>
      <c r="F56" s="50"/>
      <c r="G56" s="50"/>
      <c r="H56" s="50"/>
      <c r="I56" s="50"/>
      <c r="J56" s="50"/>
      <c r="K56" s="50"/>
    </row>
    <row r="57" spans="1:11">
      <c r="B57" s="49"/>
      <c r="C57" s="50"/>
      <c r="D57" s="50"/>
      <c r="E57" s="50"/>
      <c r="F57" s="50"/>
      <c r="G57" s="50"/>
      <c r="H57" s="50"/>
      <c r="I57" s="50"/>
      <c r="J57" s="50"/>
      <c r="K57" s="50"/>
    </row>
    <row r="58" spans="1:11">
      <c r="B58" s="49"/>
      <c r="C58" s="50"/>
      <c r="D58" s="50"/>
      <c r="E58" s="50"/>
      <c r="F58" s="50"/>
      <c r="G58" s="50"/>
      <c r="H58" s="50"/>
      <c r="I58" s="50"/>
      <c r="J58" s="50"/>
      <c r="K58" s="50"/>
    </row>
    <row r="59" spans="1:11">
      <c r="B59" s="49"/>
      <c r="C59" s="50"/>
      <c r="D59" s="50"/>
      <c r="E59" s="50"/>
      <c r="F59" s="50"/>
      <c r="G59" s="50"/>
      <c r="H59" s="50"/>
      <c r="I59" s="50"/>
      <c r="J59" s="50"/>
      <c r="K59" s="50"/>
    </row>
    <row r="60" spans="1:11">
      <c r="B60" s="49"/>
      <c r="C60" s="50"/>
      <c r="D60" s="50"/>
      <c r="E60" s="50"/>
      <c r="F60" s="50"/>
      <c r="G60" s="50"/>
      <c r="H60" s="50"/>
      <c r="I60" s="50"/>
      <c r="J60" s="50"/>
      <c r="K60" s="50"/>
    </row>
    <row r="61" spans="1:11">
      <c r="B61" s="49"/>
      <c r="C61" s="50"/>
      <c r="D61" s="50"/>
      <c r="E61" s="50"/>
      <c r="F61" s="50"/>
      <c r="G61" s="50"/>
      <c r="H61" s="50"/>
      <c r="I61" s="50" t="s">
        <v>41</v>
      </c>
      <c r="J61" s="50"/>
      <c r="K61" s="50"/>
    </row>
    <row r="62" spans="1:11">
      <c r="B62" s="49"/>
      <c r="C62" s="50"/>
      <c r="D62" s="50"/>
      <c r="E62" s="50"/>
      <c r="F62" s="50"/>
      <c r="G62" s="50"/>
      <c r="H62" s="50"/>
      <c r="I62" s="55" t="str">
        <f>+'C-3 5 of 5'!O37</f>
        <v>DOCKET NO. 20180002-EG</v>
      </c>
      <c r="J62" s="50"/>
      <c r="K62" s="50"/>
    </row>
    <row r="63" spans="1:11">
      <c r="B63" s="49"/>
      <c r="C63" s="50"/>
      <c r="D63" s="50"/>
      <c r="E63" s="50"/>
      <c r="F63" s="50"/>
      <c r="G63" s="50"/>
      <c r="H63" s="50"/>
      <c r="I63" s="50" t="s">
        <v>18</v>
      </c>
      <c r="J63" s="50"/>
      <c r="K63" s="50"/>
    </row>
    <row r="64" spans="1:11">
      <c r="B64" s="49"/>
      <c r="C64" s="50"/>
      <c r="D64" s="50"/>
      <c r="E64" s="50"/>
      <c r="F64" s="50"/>
      <c r="G64" s="50"/>
      <c r="H64" s="50"/>
      <c r="I64" s="55" t="str">
        <f>+'C-3 5 of 5'!O39</f>
        <v>(DNBM-1)</v>
      </c>
      <c r="J64" s="50"/>
      <c r="K64" s="50"/>
    </row>
    <row r="65" spans="2:11">
      <c r="B65" s="49"/>
      <c r="C65" s="50"/>
      <c r="D65" s="50"/>
      <c r="E65" s="50"/>
      <c r="F65" s="50"/>
      <c r="G65" s="50"/>
      <c r="H65" s="50"/>
      <c r="I65" s="72" t="s">
        <v>221</v>
      </c>
      <c r="J65" s="50"/>
      <c r="K65" s="50"/>
    </row>
    <row r="66" spans="2:11">
      <c r="B66" s="49"/>
      <c r="C66" s="50"/>
      <c r="D66" s="50"/>
      <c r="E66" s="50"/>
      <c r="F66" s="50"/>
      <c r="G66" s="50"/>
      <c r="H66" s="50"/>
      <c r="I66" s="50"/>
      <c r="J66" s="50"/>
      <c r="K66" s="50"/>
    </row>
    <row r="67" spans="2:11">
      <c r="B67" s="49"/>
      <c r="C67" s="50"/>
      <c r="D67" s="50"/>
      <c r="E67" s="50"/>
      <c r="F67" s="50"/>
      <c r="G67" s="50"/>
      <c r="H67" s="50"/>
      <c r="I67" s="50"/>
      <c r="J67" s="50"/>
      <c r="K67" s="50"/>
    </row>
    <row r="68" spans="2:11">
      <c r="B68" s="49"/>
      <c r="C68" s="50"/>
      <c r="D68" s="50"/>
      <c r="E68" s="50"/>
      <c r="F68" s="50"/>
      <c r="G68" s="50"/>
      <c r="H68" s="50"/>
      <c r="I68" s="50"/>
      <c r="J68" s="50"/>
      <c r="K68" s="50"/>
    </row>
    <row r="69" spans="2:11">
      <c r="B69" s="49"/>
      <c r="C69" s="50"/>
      <c r="D69" s="50"/>
      <c r="E69" s="50"/>
      <c r="F69" s="50"/>
      <c r="G69" s="50"/>
      <c r="H69" s="50"/>
      <c r="I69" s="50"/>
      <c r="J69" s="50"/>
      <c r="K69" s="50"/>
    </row>
    <row r="70" spans="2:11">
      <c r="B70" s="49"/>
      <c r="C70" s="50"/>
      <c r="D70" s="50"/>
      <c r="E70" s="50"/>
      <c r="F70" s="50"/>
      <c r="G70" s="50"/>
      <c r="H70" s="50"/>
      <c r="I70" s="50"/>
      <c r="J70" s="50"/>
      <c r="K70" s="50"/>
    </row>
    <row r="71" spans="2:11">
      <c r="B71" s="49"/>
      <c r="C71" s="50"/>
      <c r="D71" s="50"/>
      <c r="E71" s="50"/>
      <c r="F71" s="50"/>
      <c r="G71" s="50"/>
      <c r="H71" s="50"/>
      <c r="I71" s="50"/>
      <c r="J71" s="50"/>
      <c r="K71" s="50"/>
    </row>
    <row r="72" spans="2:11">
      <c r="B72" s="49"/>
      <c r="C72" s="50"/>
      <c r="D72" s="50"/>
      <c r="E72" s="50"/>
      <c r="F72" s="50"/>
      <c r="G72" s="50"/>
      <c r="H72" s="50"/>
      <c r="I72" s="50"/>
      <c r="J72" s="50"/>
      <c r="K72" s="50"/>
    </row>
    <row r="73" spans="2:11">
      <c r="B73" s="49"/>
      <c r="C73" s="50"/>
      <c r="D73" s="50"/>
      <c r="E73" s="50"/>
      <c r="F73" s="50"/>
      <c r="G73" s="50"/>
      <c r="H73" s="50"/>
      <c r="I73" s="50"/>
      <c r="J73" s="50"/>
      <c r="K73" s="50"/>
    </row>
    <row r="74" spans="2:11">
      <c r="B74" s="49"/>
      <c r="C74" s="50"/>
      <c r="D74" s="50"/>
      <c r="E74" s="50"/>
      <c r="F74" s="50"/>
      <c r="G74" s="50"/>
      <c r="H74" s="50"/>
      <c r="I74" s="50"/>
      <c r="J74" s="50"/>
      <c r="K74" s="50"/>
    </row>
    <row r="75" spans="2:11">
      <c r="B75" s="7"/>
    </row>
    <row r="76" spans="2:11">
      <c r="B76" s="7"/>
    </row>
    <row r="77" spans="2:11">
      <c r="B77" s="7"/>
    </row>
    <row r="78" spans="2:11">
      <c r="B78" s="7"/>
    </row>
    <row r="79" spans="2:11">
      <c r="B79" s="7"/>
    </row>
    <row r="80" spans="2:11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</sheetData>
  <phoneticPr fontId="0" type="noConversion"/>
  <pageMargins left="0.75" right="0.75" top="1" bottom="1" header="0.5" footer="0.5"/>
  <pageSetup scale="56" orientation="portrait" horizont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3:S52"/>
  <sheetViews>
    <sheetView zoomScale="60" zoomScaleNormal="60" workbookViewId="0">
      <selection activeCell="I52" sqref="I52"/>
    </sheetView>
  </sheetViews>
  <sheetFormatPr defaultRowHeight="15"/>
  <cols>
    <col min="1" max="1" width="8.77734375" customWidth="1"/>
    <col min="2" max="2" width="22.88671875" customWidth="1"/>
    <col min="3" max="3" width="18.88671875" customWidth="1"/>
    <col min="4" max="4" width="12.5546875" bestFit="1" customWidth="1"/>
    <col min="5" max="5" width="13.88671875" bestFit="1" customWidth="1"/>
    <col min="6" max="11" width="10.77734375" customWidth="1"/>
    <col min="12" max="12" width="15.21875" bestFit="1" customWidth="1"/>
    <col min="13" max="13" width="10.77734375" customWidth="1"/>
    <col min="14" max="14" width="14.33203125" bestFit="1" customWidth="1"/>
    <col min="15" max="15" width="12.77734375" customWidth="1"/>
    <col min="16" max="16" width="10.77734375" customWidth="1"/>
    <col min="17" max="17" width="8.88671875" customWidth="1"/>
    <col min="18" max="18" width="9" customWidth="1"/>
  </cols>
  <sheetData>
    <row r="3" spans="1:19" ht="15.75">
      <c r="C3" s="8" t="s">
        <v>170</v>
      </c>
      <c r="D3" s="8"/>
      <c r="E3" s="8"/>
      <c r="F3" s="8"/>
      <c r="G3" s="8"/>
      <c r="H3" s="8"/>
      <c r="J3" s="8"/>
      <c r="K3" s="8"/>
      <c r="L3" s="8"/>
      <c r="M3" s="8"/>
      <c r="N3" s="8"/>
      <c r="O3" s="8" t="s">
        <v>42</v>
      </c>
      <c r="P3" s="8"/>
      <c r="Q3" s="8"/>
      <c r="R3" s="8"/>
      <c r="S3" s="8"/>
    </row>
    <row r="4" spans="1:19" ht="15.75">
      <c r="C4" s="8"/>
      <c r="D4" s="8"/>
      <c r="E4" s="8"/>
      <c r="F4" s="8"/>
      <c r="G4" s="8"/>
      <c r="H4" s="8"/>
      <c r="J4" s="8"/>
      <c r="K4" s="8"/>
      <c r="L4" s="8"/>
      <c r="M4" s="8"/>
      <c r="N4" s="8"/>
      <c r="O4" s="8" t="s">
        <v>43</v>
      </c>
      <c r="P4" s="8"/>
      <c r="Q4" s="8"/>
      <c r="R4" s="8"/>
      <c r="S4" s="8"/>
    </row>
    <row r="5" spans="1:19" ht="15.75">
      <c r="C5" s="9" t="s">
        <v>44</v>
      </c>
      <c r="D5" s="8"/>
      <c r="E5" s="8"/>
      <c r="F5" s="8"/>
      <c r="G5" s="8"/>
      <c r="H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.75">
      <c r="C6" s="10" t="s">
        <v>40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.75">
      <c r="C7" s="8" t="s">
        <v>26</v>
      </c>
      <c r="D7" s="35">
        <v>43466</v>
      </c>
      <c r="E7" s="10" t="s">
        <v>19</v>
      </c>
      <c r="F7" s="90">
        <v>43800</v>
      </c>
      <c r="G7" s="90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11" spans="1:19" ht="15.75">
      <c r="A11" s="10" t="s">
        <v>45</v>
      </c>
      <c r="B11" s="9" t="s">
        <v>46</v>
      </c>
      <c r="C11" s="8"/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10</v>
      </c>
      <c r="J11" s="15" t="s">
        <v>13</v>
      </c>
      <c r="K11" s="15" t="s">
        <v>11</v>
      </c>
      <c r="L11" s="15" t="s">
        <v>12</v>
      </c>
      <c r="M11" s="15" t="s">
        <v>2</v>
      </c>
      <c r="N11" s="15" t="s">
        <v>3</v>
      </c>
      <c r="O11" s="15" t="s">
        <v>4</v>
      </c>
      <c r="P11" s="15" t="s">
        <v>0</v>
      </c>
    </row>
    <row r="13" spans="1:19">
      <c r="A13" s="87">
        <v>1</v>
      </c>
      <c r="B13" t="s">
        <v>48</v>
      </c>
      <c r="D13" s="86">
        <f>ROUND($P13/12,0)</f>
        <v>40125</v>
      </c>
      <c r="E13" s="86">
        <f t="shared" ref="E13:O27" si="0">$P13/12</f>
        <v>40125</v>
      </c>
      <c r="F13" s="86">
        <f t="shared" si="0"/>
        <v>40125</v>
      </c>
      <c r="G13" s="86">
        <f t="shared" si="0"/>
        <v>40125</v>
      </c>
      <c r="H13" s="86">
        <f t="shared" si="0"/>
        <v>40125</v>
      </c>
      <c r="I13" s="86">
        <f t="shared" si="0"/>
        <v>40125</v>
      </c>
      <c r="J13" s="86">
        <f t="shared" si="0"/>
        <v>40125</v>
      </c>
      <c r="K13" s="86">
        <f t="shared" si="0"/>
        <v>40125</v>
      </c>
      <c r="L13" s="86">
        <f t="shared" si="0"/>
        <v>40125</v>
      </c>
      <c r="M13" s="86">
        <f t="shared" si="0"/>
        <v>40125</v>
      </c>
      <c r="N13" s="86">
        <f t="shared" si="0"/>
        <v>40125</v>
      </c>
      <c r="O13" s="86">
        <f t="shared" si="0"/>
        <v>40125</v>
      </c>
      <c r="P13">
        <v>481500</v>
      </c>
      <c r="R13">
        <f>SUM(D13:O13)</f>
        <v>481500</v>
      </c>
    </row>
    <row r="14" spans="1:19">
      <c r="A14" s="87">
        <v>2</v>
      </c>
      <c r="B14" s="18" t="s">
        <v>181</v>
      </c>
      <c r="D14" s="86">
        <f t="shared" ref="D14:D27" si="1">$P14/12</f>
        <v>8208.3333333333339</v>
      </c>
      <c r="E14" s="86">
        <f t="shared" si="0"/>
        <v>8208.3333333333339</v>
      </c>
      <c r="F14" s="86">
        <f t="shared" si="0"/>
        <v>8208.3333333333339</v>
      </c>
      <c r="G14" s="86">
        <f t="shared" si="0"/>
        <v>8208.3333333333339</v>
      </c>
      <c r="H14" s="86">
        <f t="shared" si="0"/>
        <v>8208.3333333333339</v>
      </c>
      <c r="I14" s="86">
        <f t="shared" si="0"/>
        <v>8208.3333333333339</v>
      </c>
      <c r="J14" s="86">
        <f t="shared" si="0"/>
        <v>8208.3333333333339</v>
      </c>
      <c r="K14" s="86">
        <f t="shared" si="0"/>
        <v>8208.3333333333339</v>
      </c>
      <c r="L14" s="86">
        <f t="shared" si="0"/>
        <v>8208.3333333333339</v>
      </c>
      <c r="M14" s="86">
        <f t="shared" si="0"/>
        <v>8208.3333333333339</v>
      </c>
      <c r="N14" s="86">
        <f t="shared" si="0"/>
        <v>8208.3333333333339</v>
      </c>
      <c r="O14" s="86">
        <f t="shared" si="0"/>
        <v>8208.3333333333339</v>
      </c>
      <c r="P14">
        <v>98500</v>
      </c>
      <c r="R14">
        <f t="shared" ref="R14:R27" si="2">SUM(D14:O14)</f>
        <v>98499.999999999985</v>
      </c>
    </row>
    <row r="15" spans="1:19">
      <c r="A15" s="87">
        <v>3</v>
      </c>
      <c r="B15" s="1" t="s">
        <v>187</v>
      </c>
      <c r="D15" s="86">
        <f t="shared" si="1"/>
        <v>0</v>
      </c>
      <c r="E15" s="86">
        <f t="shared" si="0"/>
        <v>0</v>
      </c>
      <c r="F15" s="86">
        <f t="shared" si="0"/>
        <v>0</v>
      </c>
      <c r="G15" s="86">
        <f t="shared" si="0"/>
        <v>0</v>
      </c>
      <c r="H15" s="86">
        <f t="shared" si="0"/>
        <v>0</v>
      </c>
      <c r="I15" s="86">
        <f t="shared" si="0"/>
        <v>0</v>
      </c>
      <c r="J15" s="86">
        <f t="shared" si="0"/>
        <v>0</v>
      </c>
      <c r="K15" s="86">
        <f t="shared" si="0"/>
        <v>0</v>
      </c>
      <c r="L15" s="86">
        <f t="shared" si="0"/>
        <v>0</v>
      </c>
      <c r="M15" s="86">
        <f t="shared" si="0"/>
        <v>0</v>
      </c>
      <c r="N15" s="86">
        <f t="shared" si="0"/>
        <v>0</v>
      </c>
      <c r="O15" s="86">
        <f t="shared" si="0"/>
        <v>0</v>
      </c>
      <c r="P15">
        <v>0</v>
      </c>
      <c r="R15">
        <f t="shared" si="2"/>
        <v>0</v>
      </c>
    </row>
    <row r="16" spans="1:19">
      <c r="A16" s="87">
        <v>4</v>
      </c>
      <c r="B16" s="1" t="s">
        <v>184</v>
      </c>
      <c r="D16" s="86">
        <f t="shared" si="1"/>
        <v>383.33333333333331</v>
      </c>
      <c r="E16" s="86">
        <f t="shared" si="0"/>
        <v>383.33333333333331</v>
      </c>
      <c r="F16" s="86">
        <f t="shared" si="0"/>
        <v>383.33333333333331</v>
      </c>
      <c r="G16" s="86">
        <f t="shared" si="0"/>
        <v>383.33333333333331</v>
      </c>
      <c r="H16" s="86">
        <f t="shared" si="0"/>
        <v>383.33333333333331</v>
      </c>
      <c r="I16" s="86">
        <f t="shared" si="0"/>
        <v>383.33333333333331</v>
      </c>
      <c r="J16" s="86">
        <f t="shared" si="0"/>
        <v>383.33333333333331</v>
      </c>
      <c r="K16" s="86">
        <f t="shared" si="0"/>
        <v>383.33333333333331</v>
      </c>
      <c r="L16" s="86">
        <f t="shared" si="0"/>
        <v>383.33333333333331</v>
      </c>
      <c r="M16" s="86">
        <f t="shared" si="0"/>
        <v>383.33333333333331</v>
      </c>
      <c r="N16" s="86">
        <f t="shared" si="0"/>
        <v>383.33333333333331</v>
      </c>
      <c r="O16" s="86">
        <f t="shared" si="0"/>
        <v>383.33333333333331</v>
      </c>
      <c r="P16">
        <v>4600</v>
      </c>
      <c r="R16">
        <f t="shared" si="2"/>
        <v>4600</v>
      </c>
    </row>
    <row r="17" spans="1:18">
      <c r="A17" s="87">
        <v>5</v>
      </c>
      <c r="B17" s="1" t="s">
        <v>203</v>
      </c>
      <c r="D17" s="86">
        <f t="shared" si="1"/>
        <v>991.66666666666663</v>
      </c>
      <c r="E17" s="86">
        <f t="shared" si="0"/>
        <v>991.66666666666663</v>
      </c>
      <c r="F17" s="86">
        <f t="shared" si="0"/>
        <v>991.66666666666663</v>
      </c>
      <c r="G17" s="86">
        <f t="shared" si="0"/>
        <v>991.66666666666663</v>
      </c>
      <c r="H17" s="86">
        <f t="shared" si="0"/>
        <v>991.66666666666663</v>
      </c>
      <c r="I17" s="86">
        <f t="shared" si="0"/>
        <v>991.66666666666663</v>
      </c>
      <c r="J17" s="86">
        <f t="shared" si="0"/>
        <v>991.66666666666663</v>
      </c>
      <c r="K17" s="86">
        <f t="shared" si="0"/>
        <v>991.66666666666663</v>
      </c>
      <c r="L17" s="86">
        <f t="shared" si="0"/>
        <v>991.66666666666663</v>
      </c>
      <c r="M17" s="86">
        <f t="shared" si="0"/>
        <v>991.66666666666663</v>
      </c>
      <c r="N17" s="86">
        <f t="shared" si="0"/>
        <v>991.66666666666663</v>
      </c>
      <c r="O17" s="86">
        <f t="shared" si="0"/>
        <v>991.66666666666663</v>
      </c>
      <c r="P17">
        <v>11900</v>
      </c>
      <c r="R17">
        <f t="shared" si="2"/>
        <v>11899.999999999998</v>
      </c>
    </row>
    <row r="18" spans="1:18">
      <c r="A18" s="87">
        <v>6</v>
      </c>
      <c r="B18" s="1" t="s">
        <v>204</v>
      </c>
      <c r="D18" s="86">
        <f t="shared" si="1"/>
        <v>3275</v>
      </c>
      <c r="E18" s="86">
        <f t="shared" si="0"/>
        <v>3275</v>
      </c>
      <c r="F18" s="86">
        <f t="shared" si="0"/>
        <v>3275</v>
      </c>
      <c r="G18" s="86">
        <f t="shared" si="0"/>
        <v>3275</v>
      </c>
      <c r="H18" s="86">
        <f t="shared" si="0"/>
        <v>3275</v>
      </c>
      <c r="I18" s="86">
        <f t="shared" si="0"/>
        <v>3275</v>
      </c>
      <c r="J18" s="86">
        <f t="shared" si="0"/>
        <v>3275</v>
      </c>
      <c r="K18" s="86">
        <f t="shared" si="0"/>
        <v>3275</v>
      </c>
      <c r="L18" s="86">
        <f t="shared" si="0"/>
        <v>3275</v>
      </c>
      <c r="M18" s="86">
        <f t="shared" si="0"/>
        <v>3275</v>
      </c>
      <c r="N18" s="86">
        <f t="shared" si="0"/>
        <v>3275</v>
      </c>
      <c r="O18" s="86">
        <f t="shared" si="0"/>
        <v>3275</v>
      </c>
      <c r="P18">
        <v>39300</v>
      </c>
      <c r="R18">
        <f t="shared" si="2"/>
        <v>39300</v>
      </c>
    </row>
    <row r="19" spans="1:18">
      <c r="A19" s="87">
        <v>7</v>
      </c>
      <c r="B19" s="1" t="s">
        <v>205</v>
      </c>
      <c r="D19" s="86">
        <f t="shared" si="1"/>
        <v>0</v>
      </c>
      <c r="E19" s="86">
        <f t="shared" si="0"/>
        <v>0</v>
      </c>
      <c r="F19" s="86">
        <f t="shared" si="0"/>
        <v>0</v>
      </c>
      <c r="G19" s="86">
        <f t="shared" si="0"/>
        <v>0</v>
      </c>
      <c r="H19" s="86">
        <f t="shared" si="0"/>
        <v>0</v>
      </c>
      <c r="I19" s="86">
        <f t="shared" si="0"/>
        <v>0</v>
      </c>
      <c r="J19" s="86">
        <f t="shared" si="0"/>
        <v>0</v>
      </c>
      <c r="K19" s="86">
        <f t="shared" si="0"/>
        <v>0</v>
      </c>
      <c r="L19" s="86">
        <f t="shared" si="0"/>
        <v>0</v>
      </c>
      <c r="M19" s="86">
        <f t="shared" si="0"/>
        <v>0</v>
      </c>
      <c r="N19" s="86">
        <f t="shared" si="0"/>
        <v>0</v>
      </c>
      <c r="O19" s="86">
        <f t="shared" si="0"/>
        <v>0</v>
      </c>
      <c r="P19">
        <v>0</v>
      </c>
      <c r="R19">
        <f t="shared" si="2"/>
        <v>0</v>
      </c>
    </row>
    <row r="20" spans="1:18">
      <c r="A20" s="87">
        <v>8</v>
      </c>
      <c r="B20" s="1" t="s">
        <v>206</v>
      </c>
      <c r="D20" s="86">
        <f t="shared" si="1"/>
        <v>0</v>
      </c>
      <c r="E20" s="86">
        <f t="shared" si="0"/>
        <v>0</v>
      </c>
      <c r="F20" s="86">
        <f t="shared" si="0"/>
        <v>0</v>
      </c>
      <c r="G20" s="86">
        <f t="shared" si="0"/>
        <v>0</v>
      </c>
      <c r="H20" s="86">
        <f t="shared" si="0"/>
        <v>0</v>
      </c>
      <c r="I20" s="86">
        <f t="shared" si="0"/>
        <v>0</v>
      </c>
      <c r="J20" s="86">
        <f t="shared" si="0"/>
        <v>0</v>
      </c>
      <c r="K20" s="86">
        <f t="shared" si="0"/>
        <v>0</v>
      </c>
      <c r="L20" s="86">
        <f t="shared" si="0"/>
        <v>0</v>
      </c>
      <c r="M20" s="86">
        <f t="shared" si="0"/>
        <v>0</v>
      </c>
      <c r="N20" s="86">
        <f t="shared" si="0"/>
        <v>0</v>
      </c>
      <c r="O20" s="86">
        <f t="shared" si="0"/>
        <v>0</v>
      </c>
      <c r="P20">
        <v>0</v>
      </c>
      <c r="R20">
        <f t="shared" si="2"/>
        <v>0</v>
      </c>
    </row>
    <row r="21" spans="1:18">
      <c r="A21" s="87">
        <v>9</v>
      </c>
      <c r="B21" s="1" t="s">
        <v>180</v>
      </c>
      <c r="D21" s="86">
        <f t="shared" si="1"/>
        <v>1233.3333333333333</v>
      </c>
      <c r="E21" s="86">
        <f t="shared" si="0"/>
        <v>1233.3333333333333</v>
      </c>
      <c r="F21" s="86">
        <f t="shared" si="0"/>
        <v>1233.3333333333333</v>
      </c>
      <c r="G21" s="86">
        <f t="shared" si="0"/>
        <v>1233.3333333333333</v>
      </c>
      <c r="H21" s="86">
        <f t="shared" si="0"/>
        <v>1233.3333333333333</v>
      </c>
      <c r="I21" s="86">
        <f t="shared" si="0"/>
        <v>1233.3333333333333</v>
      </c>
      <c r="J21" s="86">
        <f t="shared" si="0"/>
        <v>1233.3333333333333</v>
      </c>
      <c r="K21" s="86">
        <f t="shared" si="0"/>
        <v>1233.3333333333333</v>
      </c>
      <c r="L21" s="86">
        <f t="shared" si="0"/>
        <v>1233.3333333333333</v>
      </c>
      <c r="M21" s="86">
        <f t="shared" si="0"/>
        <v>1233.3333333333333</v>
      </c>
      <c r="N21" s="86">
        <f t="shared" si="0"/>
        <v>1233.3333333333333</v>
      </c>
      <c r="O21" s="86">
        <f t="shared" si="0"/>
        <v>1233.3333333333333</v>
      </c>
      <c r="P21">
        <v>14800</v>
      </c>
      <c r="R21">
        <f t="shared" si="2"/>
        <v>14800.000000000002</v>
      </c>
    </row>
    <row r="22" spans="1:18">
      <c r="A22" s="87">
        <v>10</v>
      </c>
      <c r="B22" s="1" t="s">
        <v>207</v>
      </c>
      <c r="D22" s="86">
        <f t="shared" si="1"/>
        <v>0</v>
      </c>
      <c r="E22" s="86">
        <f t="shared" si="0"/>
        <v>0</v>
      </c>
      <c r="F22" s="86">
        <f t="shared" si="0"/>
        <v>0</v>
      </c>
      <c r="G22" s="86">
        <f t="shared" si="0"/>
        <v>0</v>
      </c>
      <c r="H22" s="86">
        <f t="shared" si="0"/>
        <v>0</v>
      </c>
      <c r="I22" s="86">
        <f t="shared" si="0"/>
        <v>0</v>
      </c>
      <c r="J22" s="86">
        <f t="shared" si="0"/>
        <v>0</v>
      </c>
      <c r="K22" s="86">
        <f t="shared" si="0"/>
        <v>0</v>
      </c>
      <c r="L22" s="86">
        <f t="shared" si="0"/>
        <v>0</v>
      </c>
      <c r="M22" s="86">
        <f t="shared" si="0"/>
        <v>0</v>
      </c>
      <c r="N22" s="86">
        <f t="shared" si="0"/>
        <v>0</v>
      </c>
      <c r="O22" s="86">
        <f t="shared" si="0"/>
        <v>0</v>
      </c>
      <c r="P22">
        <v>0</v>
      </c>
      <c r="R22">
        <f t="shared" si="2"/>
        <v>0</v>
      </c>
    </row>
    <row r="23" spans="1:18">
      <c r="A23" s="87">
        <v>11</v>
      </c>
      <c r="B23" s="1" t="s">
        <v>208</v>
      </c>
      <c r="D23" s="86">
        <f t="shared" si="1"/>
        <v>0</v>
      </c>
      <c r="E23" s="86">
        <f t="shared" si="0"/>
        <v>0</v>
      </c>
      <c r="F23" s="86">
        <f t="shared" si="0"/>
        <v>0</v>
      </c>
      <c r="G23" s="86">
        <f t="shared" si="0"/>
        <v>0</v>
      </c>
      <c r="H23" s="86">
        <f t="shared" si="0"/>
        <v>0</v>
      </c>
      <c r="I23" s="86">
        <f t="shared" si="0"/>
        <v>0</v>
      </c>
      <c r="J23" s="86">
        <f t="shared" si="0"/>
        <v>0</v>
      </c>
      <c r="K23" s="86">
        <f t="shared" si="0"/>
        <v>0</v>
      </c>
      <c r="L23" s="86">
        <f t="shared" si="0"/>
        <v>0</v>
      </c>
      <c r="M23" s="86">
        <f t="shared" si="0"/>
        <v>0</v>
      </c>
      <c r="N23" s="86">
        <f t="shared" si="0"/>
        <v>0</v>
      </c>
      <c r="O23" s="86">
        <f t="shared" si="0"/>
        <v>0</v>
      </c>
      <c r="P23">
        <v>0</v>
      </c>
      <c r="R23">
        <f t="shared" si="2"/>
        <v>0</v>
      </c>
    </row>
    <row r="24" spans="1:18">
      <c r="A24" s="87">
        <v>12</v>
      </c>
      <c r="B24" s="1" t="s">
        <v>209</v>
      </c>
      <c r="D24" s="86">
        <f t="shared" si="1"/>
        <v>3441.6666666666665</v>
      </c>
      <c r="E24" s="86">
        <f t="shared" si="0"/>
        <v>3441.6666666666665</v>
      </c>
      <c r="F24" s="86">
        <f t="shared" si="0"/>
        <v>3441.6666666666665</v>
      </c>
      <c r="G24" s="86">
        <f t="shared" si="0"/>
        <v>3441.6666666666665</v>
      </c>
      <c r="H24" s="86">
        <f t="shared" si="0"/>
        <v>3441.6666666666665</v>
      </c>
      <c r="I24" s="86">
        <f t="shared" si="0"/>
        <v>3441.6666666666665</v>
      </c>
      <c r="J24" s="86">
        <f t="shared" si="0"/>
        <v>3441.6666666666665</v>
      </c>
      <c r="K24" s="86">
        <f t="shared" si="0"/>
        <v>3441.6666666666665</v>
      </c>
      <c r="L24" s="86">
        <f t="shared" si="0"/>
        <v>3441.6666666666665</v>
      </c>
      <c r="M24" s="86">
        <f t="shared" si="0"/>
        <v>3441.6666666666665</v>
      </c>
      <c r="N24" s="86">
        <f t="shared" si="0"/>
        <v>3441.6666666666665</v>
      </c>
      <c r="O24" s="86">
        <f t="shared" si="0"/>
        <v>3441.6666666666665</v>
      </c>
      <c r="P24">
        <v>41300</v>
      </c>
      <c r="R24">
        <f t="shared" si="2"/>
        <v>41300</v>
      </c>
    </row>
    <row r="25" spans="1:18">
      <c r="A25" s="87">
        <v>13</v>
      </c>
      <c r="B25" s="1" t="s">
        <v>210</v>
      </c>
      <c r="D25" s="86">
        <f t="shared" si="1"/>
        <v>0</v>
      </c>
      <c r="E25" s="86">
        <f t="shared" si="0"/>
        <v>0</v>
      </c>
      <c r="F25" s="86">
        <f t="shared" si="0"/>
        <v>0</v>
      </c>
      <c r="G25" s="86">
        <f t="shared" si="0"/>
        <v>0</v>
      </c>
      <c r="H25" s="86">
        <f t="shared" si="0"/>
        <v>0</v>
      </c>
      <c r="I25" s="86">
        <f t="shared" si="0"/>
        <v>0</v>
      </c>
      <c r="J25" s="86">
        <f t="shared" si="0"/>
        <v>0</v>
      </c>
      <c r="K25" s="86">
        <f t="shared" si="0"/>
        <v>0</v>
      </c>
      <c r="L25" s="86">
        <f t="shared" si="0"/>
        <v>0</v>
      </c>
      <c r="M25" s="86">
        <f t="shared" si="0"/>
        <v>0</v>
      </c>
      <c r="N25" s="86">
        <f t="shared" si="0"/>
        <v>0</v>
      </c>
      <c r="O25" s="86">
        <f t="shared" si="0"/>
        <v>0</v>
      </c>
      <c r="P25">
        <v>0</v>
      </c>
      <c r="R25">
        <f t="shared" si="2"/>
        <v>0</v>
      </c>
    </row>
    <row r="26" spans="1:18">
      <c r="A26" s="87">
        <v>14</v>
      </c>
      <c r="B26" s="1" t="s">
        <v>211</v>
      </c>
      <c r="D26" s="86">
        <f t="shared" si="1"/>
        <v>1166.6666666666667</v>
      </c>
      <c r="E26" s="86">
        <f t="shared" si="0"/>
        <v>1166.6666666666667</v>
      </c>
      <c r="F26" s="86">
        <f t="shared" si="0"/>
        <v>1166.6666666666667</v>
      </c>
      <c r="G26" s="86">
        <f t="shared" si="0"/>
        <v>1166.6666666666667</v>
      </c>
      <c r="H26" s="86">
        <f t="shared" si="0"/>
        <v>1166.6666666666667</v>
      </c>
      <c r="I26" s="86">
        <f t="shared" si="0"/>
        <v>1166.6666666666667</v>
      </c>
      <c r="J26" s="86">
        <f t="shared" si="0"/>
        <v>1166.6666666666667</v>
      </c>
      <c r="K26" s="86">
        <f t="shared" si="0"/>
        <v>1166.6666666666667</v>
      </c>
      <c r="L26" s="86">
        <f t="shared" si="0"/>
        <v>1166.6666666666667</v>
      </c>
      <c r="M26" s="86">
        <f t="shared" si="0"/>
        <v>1166.6666666666667</v>
      </c>
      <c r="N26" s="86">
        <f t="shared" si="0"/>
        <v>1166.6666666666667</v>
      </c>
      <c r="O26" s="86">
        <f t="shared" si="0"/>
        <v>1166.6666666666667</v>
      </c>
      <c r="P26">
        <v>14000</v>
      </c>
      <c r="R26">
        <f t="shared" si="2"/>
        <v>13999.999999999998</v>
      </c>
    </row>
    <row r="27" spans="1:18">
      <c r="A27" s="87">
        <v>15</v>
      </c>
      <c r="B27" s="1" t="s">
        <v>186</v>
      </c>
      <c r="D27" s="86">
        <f t="shared" si="1"/>
        <v>1908.3333333333333</v>
      </c>
      <c r="E27" s="86">
        <f t="shared" si="0"/>
        <v>1908.3333333333333</v>
      </c>
      <c r="F27" s="86">
        <f t="shared" si="0"/>
        <v>1908.3333333333333</v>
      </c>
      <c r="G27" s="86">
        <f t="shared" si="0"/>
        <v>1908.3333333333333</v>
      </c>
      <c r="H27" s="86">
        <f t="shared" si="0"/>
        <v>1908.3333333333333</v>
      </c>
      <c r="I27" s="86">
        <f t="shared" si="0"/>
        <v>1908.3333333333333</v>
      </c>
      <c r="J27" s="86">
        <f t="shared" si="0"/>
        <v>1908.3333333333333</v>
      </c>
      <c r="K27" s="86">
        <f t="shared" si="0"/>
        <v>1908.3333333333333</v>
      </c>
      <c r="L27" s="86">
        <f t="shared" si="0"/>
        <v>1908.3333333333333</v>
      </c>
      <c r="M27" s="86">
        <f t="shared" si="0"/>
        <v>1908.3333333333333</v>
      </c>
      <c r="N27" s="86">
        <f t="shared" si="0"/>
        <v>1908.3333333333333</v>
      </c>
      <c r="O27" s="86">
        <f t="shared" si="0"/>
        <v>1908.3333333333333</v>
      </c>
      <c r="P27">
        <v>22900</v>
      </c>
      <c r="R27">
        <f t="shared" si="2"/>
        <v>22899.999999999996</v>
      </c>
    </row>
    <row r="28" spans="1:18">
      <c r="A28" s="87">
        <v>16</v>
      </c>
    </row>
    <row r="29" spans="1:18">
      <c r="A29" s="87">
        <v>17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8">
      <c r="A30" s="87">
        <v>18</v>
      </c>
      <c r="B30" s="5" t="s">
        <v>49</v>
      </c>
      <c r="D30">
        <f>SUM(D13:D29)-1</f>
        <v>60732.333333333336</v>
      </c>
      <c r="E30">
        <f>SUM(E13:E29)-1</f>
        <v>60732.333333333336</v>
      </c>
      <c r="F30">
        <f>SUM(F13:F29)-1</f>
        <v>60732.333333333336</v>
      </c>
      <c r="G30">
        <f>SUM(G13:G29)-1</f>
        <v>60732.333333333336</v>
      </c>
      <c r="H30">
        <f t="shared" ref="H30:P30" si="3">SUM(H13:H29)</f>
        <v>60733.333333333336</v>
      </c>
      <c r="I30">
        <f t="shared" si="3"/>
        <v>60733.333333333336</v>
      </c>
      <c r="J30">
        <f t="shared" si="3"/>
        <v>60733.333333333336</v>
      </c>
      <c r="K30">
        <f t="shared" si="3"/>
        <v>60733.333333333336</v>
      </c>
      <c r="L30">
        <f t="shared" si="3"/>
        <v>60733.333333333336</v>
      </c>
      <c r="M30">
        <f t="shared" si="3"/>
        <v>60733.333333333336</v>
      </c>
      <c r="N30">
        <f t="shared" si="3"/>
        <v>60733.333333333336</v>
      </c>
      <c r="O30">
        <f t="shared" si="3"/>
        <v>60733.333333333336</v>
      </c>
      <c r="P30">
        <f t="shared" si="3"/>
        <v>728800</v>
      </c>
      <c r="R30">
        <f>SUM(R13:R29)</f>
        <v>728800</v>
      </c>
    </row>
    <row r="31" spans="1:18">
      <c r="A31" s="87">
        <v>19</v>
      </c>
    </row>
    <row r="32" spans="1:18">
      <c r="A32" s="87">
        <v>20</v>
      </c>
      <c r="B32" s="5" t="s">
        <v>50</v>
      </c>
    </row>
    <row r="33" spans="1:16">
      <c r="A33" s="87">
        <v>21</v>
      </c>
      <c r="B33" s="5" t="s">
        <v>51</v>
      </c>
    </row>
    <row r="34" spans="1:16">
      <c r="A34" s="87">
        <v>22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>
      <c r="A35" s="87">
        <v>23</v>
      </c>
      <c r="B35" s="7" t="s">
        <v>52</v>
      </c>
    </row>
    <row r="36" spans="1:16" ht="15.75" thickBot="1">
      <c r="A36" s="87">
        <v>24</v>
      </c>
      <c r="B36" s="5" t="s">
        <v>53</v>
      </c>
      <c r="D36" s="19">
        <f t="shared" ref="D36:P36" si="4">D30-D33</f>
        <v>60732.333333333336</v>
      </c>
      <c r="E36" s="19">
        <f t="shared" si="4"/>
        <v>60732.333333333336</v>
      </c>
      <c r="F36" s="19">
        <f t="shared" si="4"/>
        <v>60732.333333333336</v>
      </c>
      <c r="G36" s="19">
        <f t="shared" si="4"/>
        <v>60732.333333333336</v>
      </c>
      <c r="H36" s="19">
        <f t="shared" si="4"/>
        <v>60733.333333333336</v>
      </c>
      <c r="I36" s="19">
        <f t="shared" si="4"/>
        <v>60733.333333333336</v>
      </c>
      <c r="J36" s="19">
        <f t="shared" ref="J36:O36" si="5">J30-J33</f>
        <v>60733.333333333336</v>
      </c>
      <c r="K36" s="19">
        <f t="shared" si="5"/>
        <v>60733.333333333336</v>
      </c>
      <c r="L36" s="19">
        <f t="shared" si="5"/>
        <v>60733.333333333336</v>
      </c>
      <c r="M36" s="19">
        <f t="shared" si="5"/>
        <v>60733.333333333336</v>
      </c>
      <c r="N36" s="19">
        <f t="shared" si="5"/>
        <v>60733.333333333336</v>
      </c>
      <c r="O36" s="19">
        <f t="shared" si="5"/>
        <v>60733.333333333336</v>
      </c>
      <c r="P36" s="19">
        <f t="shared" si="4"/>
        <v>728800</v>
      </c>
    </row>
    <row r="37" spans="1:16" ht="15.75" thickTop="1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44" spans="1:16">
      <c r="M44" s="50"/>
      <c r="N44" s="50"/>
    </row>
    <row r="45" spans="1:16">
      <c r="M45" s="50"/>
      <c r="N45" s="50"/>
    </row>
    <row r="46" spans="1:16">
      <c r="M46" s="50" t="s">
        <v>41</v>
      </c>
      <c r="N46" s="50"/>
    </row>
    <row r="47" spans="1:16">
      <c r="M47" s="55" t="str">
        <f>+'C-1 '!G54</f>
        <v>DOCKET NO. 20180002-EG</v>
      </c>
      <c r="N47" s="50"/>
    </row>
    <row r="48" spans="1:16">
      <c r="M48" s="50" t="s">
        <v>18</v>
      </c>
      <c r="N48" s="50"/>
    </row>
    <row r="49" spans="13:14">
      <c r="M49" s="55" t="str">
        <f>+'C-1 '!G56</f>
        <v>(DNBM-1)</v>
      </c>
      <c r="N49" s="50"/>
    </row>
    <row r="50" spans="13:14">
      <c r="M50" s="72" t="s">
        <v>213</v>
      </c>
      <c r="N50" s="50"/>
    </row>
    <row r="51" spans="13:14">
      <c r="M51" s="50"/>
      <c r="N51" s="50"/>
    </row>
    <row r="52" spans="13:14">
      <c r="M52" s="50"/>
      <c r="N52" s="50"/>
    </row>
  </sheetData>
  <mergeCells count="1">
    <mergeCell ref="F7:G7"/>
  </mergeCells>
  <phoneticPr fontId="0" type="noConversion"/>
  <pageMargins left="0.75" right="0.75" top="1" bottom="1" header="0.5" footer="0.5"/>
  <pageSetup scale="49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R46"/>
  <sheetViews>
    <sheetView zoomScale="75" zoomScaleNormal="75" workbookViewId="0">
      <selection activeCell="I41" sqref="I41"/>
    </sheetView>
  </sheetViews>
  <sheetFormatPr defaultRowHeight="15"/>
  <cols>
    <col min="1" max="1" width="8" customWidth="1"/>
    <col min="2" max="2" width="24.44140625" customWidth="1"/>
    <col min="3" max="3" width="15.88671875" customWidth="1"/>
    <col min="4" max="4" width="13" bestFit="1" customWidth="1"/>
    <col min="5" max="5" width="15.5546875" customWidth="1"/>
    <col min="6" max="6" width="15.44140625" bestFit="1" customWidth="1"/>
    <col min="7" max="7" width="14.77734375" customWidth="1"/>
    <col min="8" max="8" width="12.6640625" customWidth="1"/>
    <col min="9" max="11" width="11.77734375" customWidth="1"/>
    <col min="12" max="12" width="14.6640625" customWidth="1"/>
    <col min="13" max="13" width="9.5546875" customWidth="1"/>
    <col min="14" max="17" width="11.77734375" customWidth="1"/>
  </cols>
  <sheetData>
    <row r="2" spans="1:18" ht="15.75">
      <c r="C2" s="8" t="s">
        <v>170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42</v>
      </c>
      <c r="Q2" s="8"/>
    </row>
    <row r="3" spans="1:18" ht="15.7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54</v>
      </c>
      <c r="Q3" s="8"/>
    </row>
    <row r="4" spans="1:18" ht="15.75">
      <c r="C4" s="9" t="s">
        <v>55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8" ht="15.75">
      <c r="C5" s="10" t="s">
        <v>40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ht="15.75">
      <c r="C6" s="8" t="s">
        <v>26</v>
      </c>
      <c r="D6" s="35">
        <v>43466</v>
      </c>
      <c r="E6" s="10" t="s">
        <v>19</v>
      </c>
      <c r="F6" s="35">
        <v>43800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15.75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9" spans="1:18" ht="15.75">
      <c r="B9" s="8"/>
      <c r="C9" s="8"/>
      <c r="D9" s="10" t="s">
        <v>56</v>
      </c>
      <c r="E9" s="10"/>
      <c r="F9" s="10"/>
      <c r="G9" s="8"/>
      <c r="H9" s="8"/>
      <c r="I9" s="10" t="s">
        <v>57</v>
      </c>
      <c r="J9" s="8"/>
      <c r="K9" s="10" t="s">
        <v>58</v>
      </c>
      <c r="L9" s="10"/>
      <c r="M9" s="8"/>
      <c r="N9" s="8"/>
      <c r="O9" s="8"/>
      <c r="P9" s="8"/>
      <c r="Q9" s="8"/>
      <c r="R9" s="8"/>
    </row>
    <row r="10" spans="1:18" ht="15.75">
      <c r="B10" s="8"/>
      <c r="C10" s="10" t="s">
        <v>40</v>
      </c>
      <c r="D10" s="10" t="s">
        <v>59</v>
      </c>
      <c r="E10" s="10"/>
      <c r="F10" s="10"/>
      <c r="G10" s="10" t="s">
        <v>60</v>
      </c>
      <c r="H10" s="10" t="s">
        <v>61</v>
      </c>
      <c r="I10" s="10" t="s">
        <v>59</v>
      </c>
      <c r="J10" s="8"/>
      <c r="K10" s="10" t="s">
        <v>59</v>
      </c>
      <c r="L10" s="10"/>
      <c r="M10" s="8"/>
      <c r="N10" s="10" t="s">
        <v>62</v>
      </c>
      <c r="O10" s="10" t="s">
        <v>63</v>
      </c>
      <c r="P10" s="8"/>
      <c r="Q10" s="8"/>
    </row>
    <row r="11" spans="1:18" ht="15.75">
      <c r="B11" s="8" t="s">
        <v>64</v>
      </c>
      <c r="C11" s="8"/>
      <c r="D11" s="15" t="s">
        <v>65</v>
      </c>
      <c r="E11" s="24" t="s">
        <v>66</v>
      </c>
      <c r="F11" s="24" t="s">
        <v>14</v>
      </c>
      <c r="G11" s="15" t="s">
        <v>67</v>
      </c>
      <c r="H11" s="15" t="s">
        <v>68</v>
      </c>
      <c r="I11" s="15" t="s">
        <v>69</v>
      </c>
      <c r="J11" s="15" t="s">
        <v>15</v>
      </c>
      <c r="K11" s="15" t="s">
        <v>70</v>
      </c>
      <c r="L11" s="15" t="s">
        <v>16</v>
      </c>
      <c r="M11" s="15" t="s">
        <v>17</v>
      </c>
      <c r="N11" s="15" t="s">
        <v>0</v>
      </c>
      <c r="O11" s="15" t="s">
        <v>71</v>
      </c>
      <c r="P11" s="15" t="s">
        <v>0</v>
      </c>
      <c r="Q11" s="8"/>
    </row>
    <row r="12" spans="1:18" ht="15.75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8">
      <c r="A13" s="87">
        <v>1</v>
      </c>
      <c r="B13" t="s">
        <v>48</v>
      </c>
      <c r="D13">
        <v>225000</v>
      </c>
      <c r="E13">
        <v>45000</v>
      </c>
      <c r="F13">
        <v>25000</v>
      </c>
      <c r="G13">
        <v>150000</v>
      </c>
      <c r="H13">
        <v>8000</v>
      </c>
      <c r="I13">
        <v>4500</v>
      </c>
      <c r="J13">
        <v>22000</v>
      </c>
      <c r="K13">
        <v>0</v>
      </c>
      <c r="L13">
        <v>0</v>
      </c>
      <c r="M13">
        <v>2000</v>
      </c>
      <c r="N13">
        <v>481500</v>
      </c>
      <c r="O13">
        <v>0</v>
      </c>
      <c r="P13">
        <f t="shared" ref="P13:P27" si="0">+N13</f>
        <v>481500</v>
      </c>
    </row>
    <row r="14" spans="1:18">
      <c r="A14" s="87">
        <v>2</v>
      </c>
      <c r="B14" s="18" t="s">
        <v>181</v>
      </c>
      <c r="D14">
        <v>70000</v>
      </c>
      <c r="E14">
        <v>6000</v>
      </c>
      <c r="F14">
        <v>0</v>
      </c>
      <c r="G14">
        <v>12000</v>
      </c>
      <c r="H14">
        <v>3500</v>
      </c>
      <c r="I14">
        <v>1500</v>
      </c>
      <c r="J14">
        <v>5000</v>
      </c>
      <c r="K14">
        <v>0</v>
      </c>
      <c r="L14">
        <v>0</v>
      </c>
      <c r="M14">
        <v>500</v>
      </c>
      <c r="N14">
        <v>98500</v>
      </c>
      <c r="O14">
        <v>0</v>
      </c>
      <c r="P14" s="47">
        <f t="shared" si="0"/>
        <v>98500</v>
      </c>
    </row>
    <row r="15" spans="1:18">
      <c r="A15" s="87">
        <v>3</v>
      </c>
      <c r="B15" s="1" t="s">
        <v>187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f t="shared" si="0"/>
        <v>0</v>
      </c>
    </row>
    <row r="16" spans="1:18">
      <c r="A16" s="87">
        <v>4</v>
      </c>
      <c r="B16" s="1" t="s">
        <v>184</v>
      </c>
      <c r="D16">
        <v>1000</v>
      </c>
      <c r="E16">
        <v>100</v>
      </c>
      <c r="F16">
        <v>0</v>
      </c>
      <c r="G16">
        <v>0</v>
      </c>
      <c r="H16">
        <v>0</v>
      </c>
      <c r="I16">
        <v>3500</v>
      </c>
      <c r="J16">
        <v>0</v>
      </c>
      <c r="K16">
        <v>0</v>
      </c>
      <c r="L16">
        <v>0</v>
      </c>
      <c r="M16">
        <v>0</v>
      </c>
      <c r="N16">
        <v>4600</v>
      </c>
      <c r="O16">
        <v>0</v>
      </c>
      <c r="P16">
        <f t="shared" si="0"/>
        <v>4600</v>
      </c>
    </row>
    <row r="17" spans="1:16">
      <c r="A17" s="87">
        <v>5</v>
      </c>
      <c r="B17" s="1" t="s">
        <v>203</v>
      </c>
      <c r="D17">
        <v>500</v>
      </c>
      <c r="E17">
        <v>10000</v>
      </c>
      <c r="F17">
        <v>0</v>
      </c>
      <c r="G17">
        <v>100</v>
      </c>
      <c r="H17">
        <v>100</v>
      </c>
      <c r="I17">
        <v>100</v>
      </c>
      <c r="J17">
        <v>100</v>
      </c>
      <c r="K17">
        <v>0</v>
      </c>
      <c r="L17">
        <v>1000</v>
      </c>
      <c r="M17">
        <v>0</v>
      </c>
      <c r="N17">
        <v>11900</v>
      </c>
      <c r="O17">
        <v>0</v>
      </c>
      <c r="P17">
        <f t="shared" si="0"/>
        <v>11900</v>
      </c>
    </row>
    <row r="18" spans="1:16">
      <c r="A18" s="87">
        <v>6</v>
      </c>
      <c r="B18" s="1" t="s">
        <v>204</v>
      </c>
      <c r="D18">
        <v>1000</v>
      </c>
      <c r="E18">
        <v>10000</v>
      </c>
      <c r="F18">
        <v>0</v>
      </c>
      <c r="G18">
        <v>100</v>
      </c>
      <c r="H18">
        <v>100</v>
      </c>
      <c r="I18">
        <v>100</v>
      </c>
      <c r="J18">
        <v>3000</v>
      </c>
      <c r="K18">
        <v>0</v>
      </c>
      <c r="L18">
        <v>25000</v>
      </c>
      <c r="M18">
        <v>0</v>
      </c>
      <c r="N18">
        <v>39300</v>
      </c>
      <c r="O18">
        <v>0</v>
      </c>
      <c r="P18">
        <f t="shared" si="0"/>
        <v>39300</v>
      </c>
    </row>
    <row r="19" spans="1:16">
      <c r="A19" s="87">
        <v>7</v>
      </c>
      <c r="B19" s="1" t="s">
        <v>205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 t="shared" si="0"/>
        <v>0</v>
      </c>
    </row>
    <row r="20" spans="1:16">
      <c r="A20" s="87">
        <v>8</v>
      </c>
      <c r="B20" s="1" t="s">
        <v>206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f t="shared" si="0"/>
        <v>0</v>
      </c>
    </row>
    <row r="21" spans="1:16">
      <c r="A21" s="87">
        <v>9</v>
      </c>
      <c r="B21" s="1" t="s">
        <v>180</v>
      </c>
      <c r="D21">
        <v>1500</v>
      </c>
      <c r="E21">
        <v>10000</v>
      </c>
      <c r="F21">
        <v>0</v>
      </c>
      <c r="G21">
        <v>0</v>
      </c>
      <c r="H21">
        <v>100</v>
      </c>
      <c r="I21">
        <v>100</v>
      </c>
      <c r="J21">
        <v>100</v>
      </c>
      <c r="K21">
        <v>0</v>
      </c>
      <c r="L21">
        <v>3000</v>
      </c>
      <c r="M21">
        <v>0</v>
      </c>
      <c r="N21">
        <v>14800</v>
      </c>
      <c r="O21">
        <v>0</v>
      </c>
      <c r="P21">
        <f t="shared" si="0"/>
        <v>14800</v>
      </c>
    </row>
    <row r="22" spans="1:16">
      <c r="A22" s="87">
        <v>10</v>
      </c>
      <c r="B22" s="1" t="s">
        <v>207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 t="shared" si="0"/>
        <v>0</v>
      </c>
    </row>
    <row r="23" spans="1:16">
      <c r="A23" s="87">
        <v>11</v>
      </c>
      <c r="B23" s="1" t="s">
        <v>208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 t="shared" si="0"/>
        <v>0</v>
      </c>
    </row>
    <row r="24" spans="1:16">
      <c r="A24" s="87">
        <v>12</v>
      </c>
      <c r="B24" s="1" t="s">
        <v>209</v>
      </c>
      <c r="D24">
        <v>3000</v>
      </c>
      <c r="E24">
        <v>1000</v>
      </c>
      <c r="F24">
        <v>0</v>
      </c>
      <c r="G24">
        <v>37000</v>
      </c>
      <c r="H24">
        <v>100</v>
      </c>
      <c r="I24">
        <v>100</v>
      </c>
      <c r="J24">
        <v>100</v>
      </c>
      <c r="K24">
        <v>0</v>
      </c>
      <c r="L24">
        <v>0</v>
      </c>
      <c r="M24">
        <v>0</v>
      </c>
      <c r="N24">
        <v>41300</v>
      </c>
      <c r="O24">
        <v>0</v>
      </c>
      <c r="P24">
        <f t="shared" si="0"/>
        <v>41300</v>
      </c>
    </row>
    <row r="25" spans="1:16">
      <c r="A25" s="87">
        <v>13</v>
      </c>
      <c r="B25" s="1" t="s">
        <v>210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f t="shared" si="0"/>
        <v>0</v>
      </c>
    </row>
    <row r="26" spans="1:16">
      <c r="A26" s="87">
        <v>14</v>
      </c>
      <c r="B26" s="1" t="s">
        <v>211</v>
      </c>
      <c r="D26">
        <v>1000</v>
      </c>
      <c r="E26">
        <v>10000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3000</v>
      </c>
      <c r="M26">
        <v>0</v>
      </c>
      <c r="N26">
        <v>14000</v>
      </c>
      <c r="O26">
        <v>0</v>
      </c>
      <c r="P26">
        <f t="shared" si="0"/>
        <v>14000</v>
      </c>
    </row>
    <row r="27" spans="1:16">
      <c r="A27" s="87">
        <v>15</v>
      </c>
      <c r="B27" s="1" t="s">
        <v>186</v>
      </c>
      <c r="D27">
        <v>15000</v>
      </c>
      <c r="E27">
        <v>5000</v>
      </c>
      <c r="F27">
        <v>0</v>
      </c>
      <c r="G27">
        <v>100</v>
      </c>
      <c r="H27">
        <v>1200</v>
      </c>
      <c r="I27">
        <v>300</v>
      </c>
      <c r="J27">
        <v>1200</v>
      </c>
      <c r="K27">
        <v>0</v>
      </c>
      <c r="L27">
        <v>0</v>
      </c>
      <c r="M27">
        <v>100</v>
      </c>
      <c r="N27">
        <v>22900</v>
      </c>
      <c r="O27">
        <v>0</v>
      </c>
      <c r="P27">
        <f t="shared" si="0"/>
        <v>22900</v>
      </c>
    </row>
    <row r="28" spans="1:16">
      <c r="A28" s="87">
        <v>16</v>
      </c>
      <c r="B28" s="1"/>
    </row>
    <row r="29" spans="1:16">
      <c r="A29" s="87">
        <v>17</v>
      </c>
    </row>
    <row r="30" spans="1:16">
      <c r="A30" s="87">
        <v>18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87">
        <v>19</v>
      </c>
      <c r="B31" s="5" t="s">
        <v>49</v>
      </c>
      <c r="D31">
        <f t="shared" ref="D31:P31" si="1">SUM(D13:D30)</f>
        <v>318000</v>
      </c>
      <c r="E31">
        <f t="shared" si="1"/>
        <v>97100</v>
      </c>
      <c r="F31">
        <f t="shared" si="1"/>
        <v>25000</v>
      </c>
      <c r="G31">
        <f t="shared" si="1"/>
        <v>199300</v>
      </c>
      <c r="H31">
        <f t="shared" si="1"/>
        <v>13100</v>
      </c>
      <c r="I31">
        <f t="shared" si="1"/>
        <v>10200</v>
      </c>
      <c r="J31">
        <f t="shared" si="1"/>
        <v>31500</v>
      </c>
      <c r="K31">
        <f t="shared" si="1"/>
        <v>0</v>
      </c>
      <c r="L31">
        <f t="shared" si="1"/>
        <v>32000</v>
      </c>
      <c r="M31">
        <f t="shared" si="1"/>
        <v>2600</v>
      </c>
      <c r="N31">
        <f t="shared" si="1"/>
        <v>728800</v>
      </c>
      <c r="O31">
        <f t="shared" si="1"/>
        <v>0</v>
      </c>
      <c r="P31">
        <f t="shared" si="1"/>
        <v>728800</v>
      </c>
    </row>
    <row r="32" spans="1:16">
      <c r="A32" s="87">
        <v>20</v>
      </c>
      <c r="B32" s="5" t="s">
        <v>72</v>
      </c>
    </row>
    <row r="33" spans="1:16">
      <c r="A33" s="87">
        <v>21</v>
      </c>
      <c r="B33" s="5" t="s">
        <v>73</v>
      </c>
    </row>
    <row r="34" spans="1:16">
      <c r="A34" s="87">
        <v>22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ht="15.75" thickBot="1">
      <c r="A35" s="87">
        <v>23</v>
      </c>
      <c r="B35" s="5" t="s">
        <v>74</v>
      </c>
      <c r="D35" s="19">
        <f t="shared" ref="D35:L35" si="2">D31-D33</f>
        <v>318000</v>
      </c>
      <c r="E35" s="19">
        <f t="shared" si="2"/>
        <v>97100</v>
      </c>
      <c r="F35" s="19">
        <f t="shared" si="2"/>
        <v>25000</v>
      </c>
      <c r="G35" s="19">
        <f t="shared" si="2"/>
        <v>199300</v>
      </c>
      <c r="H35" s="19">
        <f t="shared" si="2"/>
        <v>13100</v>
      </c>
      <c r="I35" s="19">
        <f t="shared" si="2"/>
        <v>10200</v>
      </c>
      <c r="J35" s="19">
        <f t="shared" si="2"/>
        <v>31500</v>
      </c>
      <c r="K35" s="19">
        <f t="shared" si="2"/>
        <v>0</v>
      </c>
      <c r="L35" s="19">
        <f t="shared" si="2"/>
        <v>32000</v>
      </c>
      <c r="M35" s="19">
        <f>M31-M33</f>
        <v>2600</v>
      </c>
      <c r="N35" s="19">
        <f>N31-N33</f>
        <v>728800</v>
      </c>
      <c r="O35" s="19">
        <f>O31-O33</f>
        <v>0</v>
      </c>
      <c r="P35" s="19">
        <f>P31-P33</f>
        <v>728800</v>
      </c>
    </row>
    <row r="36" spans="1:16" ht="15.75" thickTop="1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40" spans="1:16">
      <c r="N40" s="60" t="s">
        <v>41</v>
      </c>
    </row>
    <row r="41" spans="1:16">
      <c r="N41" s="61" t="str">
        <f>+'C-2 1 of 3'!M47</f>
        <v>DOCKET NO. 20180002-EG</v>
      </c>
    </row>
    <row r="42" spans="1:16">
      <c r="N42" s="60" t="s">
        <v>18</v>
      </c>
    </row>
    <row r="43" spans="1:16">
      <c r="N43" s="61" t="str">
        <f>+'C-2 1 of 3'!M49</f>
        <v>(DNBM-1)</v>
      </c>
    </row>
    <row r="44" spans="1:16">
      <c r="N44" s="62" t="s">
        <v>214</v>
      </c>
    </row>
    <row r="45" spans="1:16">
      <c r="N45" s="60"/>
    </row>
    <row r="46" spans="1:16">
      <c r="N46" s="60"/>
    </row>
  </sheetData>
  <phoneticPr fontId="0" type="noConversion"/>
  <pageMargins left="0.75" right="0.75" top="1" bottom="1" header="0.5" footer="0.5"/>
  <pageSetup scale="47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R54"/>
  <sheetViews>
    <sheetView zoomScale="75" zoomScaleNormal="75" workbookViewId="0">
      <selection activeCell="F6" sqref="F6"/>
    </sheetView>
  </sheetViews>
  <sheetFormatPr defaultRowHeight="15"/>
  <cols>
    <col min="1" max="1" width="5.77734375" customWidth="1"/>
    <col min="2" max="2" width="15.77734375" customWidth="1"/>
    <col min="3" max="3" width="11.21875" customWidth="1"/>
    <col min="4" max="4" width="13" bestFit="1" customWidth="1"/>
    <col min="5" max="5" width="11.77734375" customWidth="1"/>
    <col min="6" max="6" width="15.44140625" bestFit="1" customWidth="1"/>
    <col min="7" max="18" width="11.77734375" customWidth="1"/>
  </cols>
  <sheetData>
    <row r="2" spans="1:18" ht="15.75">
      <c r="B2" s="8" t="str">
        <f>+'C-1 '!B2</f>
        <v>COMPANY: FLORIDA PUBLIC UTILITIES COMPANY - CONSOLIDATED ELECTRIC DIVISION</v>
      </c>
      <c r="L2" s="8"/>
      <c r="M2" s="8"/>
      <c r="N2" s="8"/>
      <c r="O2" s="8"/>
      <c r="P2" s="8"/>
      <c r="Q2" s="8" t="s">
        <v>42</v>
      </c>
    </row>
    <row r="3" spans="1:18" ht="15.75">
      <c r="B3" s="8"/>
      <c r="L3" s="8"/>
      <c r="M3" s="8"/>
      <c r="N3" s="8"/>
      <c r="O3" s="8"/>
      <c r="P3" s="8"/>
      <c r="Q3" s="8" t="s">
        <v>75</v>
      </c>
    </row>
    <row r="4" spans="1:18" ht="15.75">
      <c r="B4" s="9" t="s">
        <v>76</v>
      </c>
    </row>
    <row r="5" spans="1:18" ht="15.75">
      <c r="B5" s="8"/>
      <c r="C5" s="5" t="s">
        <v>40</v>
      </c>
    </row>
    <row r="6" spans="1:18" ht="15.75">
      <c r="B6" s="9" t="s">
        <v>77</v>
      </c>
      <c r="D6" s="35">
        <v>43466</v>
      </c>
      <c r="E6" s="10" t="s">
        <v>19</v>
      </c>
      <c r="F6" s="35">
        <v>43800</v>
      </c>
      <c r="G6" s="8"/>
    </row>
    <row r="9" spans="1:18" ht="15.75">
      <c r="B9" s="10" t="s">
        <v>78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5.75">
      <c r="B10" s="8"/>
      <c r="C10" s="8"/>
      <c r="D10" s="8"/>
      <c r="E10" s="10" t="s">
        <v>79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>
      <c r="B11" s="8"/>
      <c r="C11" s="8"/>
      <c r="D11" s="8"/>
      <c r="E11" s="15" t="s">
        <v>80</v>
      </c>
      <c r="F11" s="15" t="s">
        <v>5</v>
      </c>
      <c r="G11" s="15" t="s">
        <v>6</v>
      </c>
      <c r="H11" s="15" t="s">
        <v>7</v>
      </c>
      <c r="I11" s="15" t="s">
        <v>8</v>
      </c>
      <c r="J11" s="15" t="s">
        <v>9</v>
      </c>
      <c r="K11" s="15" t="s">
        <v>10</v>
      </c>
      <c r="L11" s="15" t="s">
        <v>13</v>
      </c>
      <c r="M11" s="15" t="s">
        <v>11</v>
      </c>
      <c r="N11" s="15" t="s">
        <v>12</v>
      </c>
      <c r="O11" s="15" t="s">
        <v>2</v>
      </c>
      <c r="P11" s="15" t="s">
        <v>3</v>
      </c>
      <c r="Q11" s="15" t="s">
        <v>4</v>
      </c>
      <c r="R11" s="15" t="s">
        <v>0</v>
      </c>
    </row>
    <row r="13" spans="1:18">
      <c r="A13" t="s">
        <v>27</v>
      </c>
      <c r="B13" s="7" t="s">
        <v>81</v>
      </c>
      <c r="E13" t="s">
        <v>93</v>
      </c>
    </row>
    <row r="14" spans="1:18">
      <c r="B14" s="7"/>
    </row>
    <row r="15" spans="1:18">
      <c r="A15" t="s">
        <v>29</v>
      </c>
      <c r="B15" s="7" t="s">
        <v>82</v>
      </c>
    </row>
    <row r="16" spans="1:18">
      <c r="B16" s="7"/>
    </row>
    <row r="17" spans="1:18" ht="15.75" thickBot="1">
      <c r="A17" t="s">
        <v>31</v>
      </c>
      <c r="B17" s="7" t="s">
        <v>83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5.75" thickTop="1">
      <c r="B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B19" s="7"/>
    </row>
    <row r="20" spans="1:18">
      <c r="A20" t="s">
        <v>33</v>
      </c>
      <c r="B20" s="7" t="s">
        <v>84</v>
      </c>
    </row>
    <row r="21" spans="1:18">
      <c r="B21" s="7"/>
    </row>
    <row r="22" spans="1:18">
      <c r="A22" t="s">
        <v>34</v>
      </c>
      <c r="B22" s="7" t="s">
        <v>85</v>
      </c>
    </row>
    <row r="23" spans="1:18">
      <c r="B23" s="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>
      <c r="B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>
      <c r="A25" t="s">
        <v>35</v>
      </c>
      <c r="B25" s="7" t="s">
        <v>86</v>
      </c>
    </row>
    <row r="26" spans="1:18">
      <c r="B26" s="7"/>
    </row>
    <row r="27" spans="1:18">
      <c r="B27" s="7"/>
    </row>
    <row r="28" spans="1:18">
      <c r="A28" t="s">
        <v>36</v>
      </c>
      <c r="B28" s="7" t="s">
        <v>87</v>
      </c>
    </row>
    <row r="29" spans="1:18">
      <c r="B29" s="7"/>
    </row>
    <row r="30" spans="1:18">
      <c r="A30" t="s">
        <v>38</v>
      </c>
      <c r="B30" s="7" t="s">
        <v>88</v>
      </c>
    </row>
    <row r="31" spans="1:18">
      <c r="B31" s="7"/>
    </row>
    <row r="32" spans="1:18">
      <c r="A32" t="s">
        <v>47</v>
      </c>
      <c r="B32" s="7" t="s">
        <v>89</v>
      </c>
    </row>
    <row r="33" spans="1:18">
      <c r="B33" s="7"/>
    </row>
    <row r="34" spans="1:18">
      <c r="A34" t="s">
        <v>21</v>
      </c>
      <c r="B34" s="7" t="s">
        <v>90</v>
      </c>
    </row>
    <row r="35" spans="1:18">
      <c r="B35" s="7"/>
    </row>
    <row r="36" spans="1:18">
      <c r="A36" t="s">
        <v>22</v>
      </c>
      <c r="B36" s="7" t="s">
        <v>91</v>
      </c>
    </row>
    <row r="37" spans="1:18" ht="15.75" thickBot="1">
      <c r="B37" s="7" t="s">
        <v>92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5" t="s">
        <v>93</v>
      </c>
    </row>
    <row r="38" spans="1:18" ht="15.75" thickTop="1">
      <c r="E38" s="5" t="s">
        <v>40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47" spans="1:18">
      <c r="P47" s="50"/>
    </row>
    <row r="48" spans="1:18">
      <c r="P48" s="50" t="s">
        <v>41</v>
      </c>
    </row>
    <row r="49" spans="16:16">
      <c r="P49" s="55" t="str">
        <f>+'C-2 2 of 3'!N41</f>
        <v>DOCKET NO. 20180002-EG</v>
      </c>
    </row>
    <row r="50" spans="16:16">
      <c r="P50" s="50" t="s">
        <v>18</v>
      </c>
    </row>
    <row r="51" spans="16:16">
      <c r="P51" s="55" t="str">
        <f>+'C-2 2 of 3'!N43</f>
        <v>(DNBM-1)</v>
      </c>
    </row>
    <row r="52" spans="16:16">
      <c r="P52" s="72" t="s">
        <v>215</v>
      </c>
    </row>
    <row r="53" spans="16:16">
      <c r="P53" s="50"/>
    </row>
    <row r="54" spans="16:16">
      <c r="P54" s="50"/>
    </row>
  </sheetData>
  <phoneticPr fontId="0" type="noConversion"/>
  <pageMargins left="0.75" right="0.75" top="1" bottom="1" header="0.5" footer="0.5"/>
  <pageSetup scale="47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3:Q133"/>
  <sheetViews>
    <sheetView zoomScale="66" zoomScaleNormal="66" workbookViewId="0">
      <selection activeCell="K55" sqref="K55"/>
    </sheetView>
  </sheetViews>
  <sheetFormatPr defaultRowHeight="15"/>
  <cols>
    <col min="1" max="1" width="5.77734375" customWidth="1"/>
    <col min="2" max="2" width="15.77734375" customWidth="1"/>
    <col min="3" max="3" width="13.77734375" customWidth="1"/>
    <col min="4" max="4" width="16.33203125" bestFit="1" customWidth="1"/>
    <col min="5" max="5" width="13.21875" customWidth="1"/>
    <col min="6" max="6" width="15.44140625" bestFit="1" customWidth="1"/>
    <col min="7" max="7" width="13.44140625" customWidth="1"/>
    <col min="8" max="8" width="12.6640625" customWidth="1"/>
    <col min="9" max="17" width="11.77734375" customWidth="1"/>
  </cols>
  <sheetData>
    <row r="3" spans="1:17" ht="15.75">
      <c r="B3" s="9" t="str">
        <f>+'C-2 2 of 3'!C2</f>
        <v>COMPANY: FLORIDA PUBLIC UTILITIES COMPANY - CONSOLIDATED ELECTRIC DIVISION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 t="s">
        <v>94</v>
      </c>
      <c r="Q3" s="8"/>
    </row>
    <row r="4" spans="1:17" ht="15.75">
      <c r="B4" s="9" t="s">
        <v>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96</v>
      </c>
      <c r="Q4" s="8"/>
    </row>
    <row r="5" spans="1:17" ht="15.75"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5.75">
      <c r="B6" s="9" t="s">
        <v>97</v>
      </c>
      <c r="C6" s="8"/>
      <c r="D6" s="35">
        <v>43101</v>
      </c>
      <c r="E6" s="10" t="s">
        <v>19</v>
      </c>
      <c r="F6" s="35">
        <v>43252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.75">
      <c r="B7" s="9" t="s">
        <v>77</v>
      </c>
      <c r="C7" s="8"/>
      <c r="D7" s="35">
        <v>43282</v>
      </c>
      <c r="E7" s="10" t="s">
        <v>19</v>
      </c>
      <c r="F7" s="35">
        <v>43435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5.75">
      <c r="B8" s="9"/>
      <c r="C8" s="8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5.75"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5.75">
      <c r="B10" s="9"/>
      <c r="C10" s="8"/>
      <c r="D10" s="10" t="str">
        <f>+'C-2 2 of 3'!D9</f>
        <v>LABOR</v>
      </c>
      <c r="E10" s="10"/>
      <c r="F10" s="10"/>
      <c r="G10" s="10"/>
      <c r="H10" s="10"/>
      <c r="I10" s="10" t="str">
        <f>+'C-2 2 of 3'!I9</f>
        <v>MATERIALS</v>
      </c>
      <c r="J10" s="10"/>
      <c r="K10" s="10" t="str">
        <f>+'C-2 2 of 3'!K9</f>
        <v>GENERAL</v>
      </c>
      <c r="L10" s="10"/>
      <c r="M10" s="10"/>
      <c r="N10" s="10"/>
      <c r="O10" s="10"/>
      <c r="P10" s="10"/>
      <c r="Q10" s="8"/>
    </row>
    <row r="11" spans="1:17" ht="15.75">
      <c r="B11" s="9"/>
      <c r="C11" s="10" t="s">
        <v>40</v>
      </c>
      <c r="D11" s="10" t="str">
        <f>+'C-2 2 of 3'!D10</f>
        <v>&amp;</v>
      </c>
      <c r="E11" s="10"/>
      <c r="F11" s="10"/>
      <c r="G11" s="10" t="str">
        <f>+'C-2 2 of 3'!G10</f>
        <v>OUTSIDE</v>
      </c>
      <c r="H11" s="10" t="str">
        <f>+'C-2 2 of 3'!H10</f>
        <v>VEHICLE</v>
      </c>
      <c r="I11" s="10" t="str">
        <f>+'C-2 2 of 3'!I10</f>
        <v>&amp;</v>
      </c>
      <c r="J11" s="10"/>
      <c r="K11" s="10" t="str">
        <f>+'C-2 2 of 3'!K10</f>
        <v>&amp;</v>
      </c>
      <c r="L11" s="10"/>
      <c r="M11" s="10"/>
      <c r="N11" s="10" t="str">
        <f>+'C-2 2 of 3'!N10</f>
        <v>SUB</v>
      </c>
      <c r="O11" s="10" t="str">
        <f>+'C-2 2 of 3'!O10</f>
        <v>PROGRAM</v>
      </c>
      <c r="P11" s="10"/>
      <c r="Q11" s="8"/>
    </row>
    <row r="12" spans="1:17" ht="15.75">
      <c r="B12" s="9" t="s">
        <v>64</v>
      </c>
      <c r="C12" s="8"/>
      <c r="D12" s="15" t="str">
        <f>+'C-2 2 of 3'!D11</f>
        <v>PAYROLL</v>
      </c>
      <c r="E12" s="15" t="str">
        <f>+'C-2 2 of 3'!E11</f>
        <v>ADVERTISING</v>
      </c>
      <c r="F12" s="15" t="str">
        <f>+'C-2 2 of 3'!F11</f>
        <v>LEGAL</v>
      </c>
      <c r="G12" s="15" t="str">
        <f>+'C-2 2 of 3'!G11</f>
        <v>SERVICES</v>
      </c>
      <c r="H12" s="15" t="str">
        <f>+'C-2 2 of 3'!H11</f>
        <v>COST</v>
      </c>
      <c r="I12" s="15" t="str">
        <f>+'C-2 2 of 3'!I11</f>
        <v>SUPPLIES</v>
      </c>
      <c r="J12" s="15" t="str">
        <f>+'C-2 2 of 3'!J11</f>
        <v>TRAVEL</v>
      </c>
      <c r="K12" s="15" t="str">
        <f>+'C-2 2 of 3'!K11</f>
        <v>ADMIN.</v>
      </c>
      <c r="L12" s="15" t="str">
        <f>+'C-2 2 of 3'!L11</f>
        <v>INCENTIVES</v>
      </c>
      <c r="M12" s="15" t="str">
        <f>+'C-2 2 of 3'!M11</f>
        <v>OTHER</v>
      </c>
      <c r="N12" s="15" t="str">
        <f>+'C-2 2 of 3'!N11</f>
        <v>TOTAL</v>
      </c>
      <c r="O12" s="15" t="str">
        <f>+'C-2 2 of 3'!O11</f>
        <v>REVENUES</v>
      </c>
      <c r="P12" s="15" t="str">
        <f>+'C-2 2 of 3'!P11</f>
        <v>TOTAL</v>
      </c>
      <c r="Q12" s="10"/>
    </row>
    <row r="13" spans="1:17" ht="15.75">
      <c r="B13" s="9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32" t="s">
        <v>27</v>
      </c>
      <c r="B14" s="7" t="str">
        <f>+'C-2 2 of 3'!B13</f>
        <v>Common</v>
      </c>
    </row>
    <row r="15" spans="1:17">
      <c r="B15" s="7" t="s">
        <v>98</v>
      </c>
      <c r="D15">
        <v>135155.82</v>
      </c>
      <c r="E15">
        <v>18705.37</v>
      </c>
      <c r="F15">
        <v>3336</v>
      </c>
      <c r="G15">
        <v>44379.17</v>
      </c>
      <c r="H15">
        <v>4565.47</v>
      </c>
      <c r="I15">
        <v>2073.91</v>
      </c>
      <c r="J15">
        <v>13856.9</v>
      </c>
      <c r="K15">
        <v>0</v>
      </c>
      <c r="L15">
        <v>0</v>
      </c>
      <c r="M15">
        <v>4039.91</v>
      </c>
      <c r="N15">
        <f>SUM(D15:M15)</f>
        <v>226112.55</v>
      </c>
      <c r="P15">
        <f>+N15</f>
        <v>226112.55</v>
      </c>
    </row>
    <row r="16" spans="1:17">
      <c r="B16" s="7" t="s">
        <v>99</v>
      </c>
      <c r="D16">
        <v>132500</v>
      </c>
      <c r="E16">
        <v>22500</v>
      </c>
      <c r="F16">
        <v>5000</v>
      </c>
      <c r="G16">
        <v>7500</v>
      </c>
      <c r="H16">
        <v>3250</v>
      </c>
      <c r="I16">
        <v>3000</v>
      </c>
      <c r="J16">
        <v>16000</v>
      </c>
      <c r="K16">
        <v>0</v>
      </c>
      <c r="L16">
        <v>0</v>
      </c>
      <c r="M16">
        <v>6100</v>
      </c>
      <c r="N16">
        <f>SUM(D16:M16)</f>
        <v>195850</v>
      </c>
      <c r="P16">
        <f>+N16</f>
        <v>195850</v>
      </c>
    </row>
    <row r="17" spans="1:16">
      <c r="B17" s="7" t="s">
        <v>100</v>
      </c>
      <c r="D17">
        <f>D15+D16</f>
        <v>267655.82</v>
      </c>
      <c r="E17">
        <f t="shared" ref="E17:M17" si="0">E15+E16</f>
        <v>41205.369999999995</v>
      </c>
      <c r="F17">
        <f t="shared" si="0"/>
        <v>8336</v>
      </c>
      <c r="G17">
        <f t="shared" si="0"/>
        <v>51879.17</v>
      </c>
      <c r="H17">
        <f t="shared" si="0"/>
        <v>7815.47</v>
      </c>
      <c r="I17">
        <f t="shared" si="0"/>
        <v>5073.91</v>
      </c>
      <c r="J17">
        <f t="shared" si="0"/>
        <v>29856.9</v>
      </c>
      <c r="K17">
        <f t="shared" si="0"/>
        <v>0</v>
      </c>
      <c r="L17">
        <f t="shared" si="0"/>
        <v>0</v>
      </c>
      <c r="M17">
        <f t="shared" si="0"/>
        <v>10139.91</v>
      </c>
      <c r="N17">
        <f>N15+N16</f>
        <v>421962.55</v>
      </c>
      <c r="P17">
        <f>+N17</f>
        <v>421962.55</v>
      </c>
    </row>
    <row r="18" spans="1:16">
      <c r="B18" s="7"/>
    </row>
    <row r="19" spans="1:16">
      <c r="A19" s="32" t="s">
        <v>29</v>
      </c>
      <c r="B19" s="58" t="str">
        <f>'C-2 2 of 3'!B14</f>
        <v>Residential Energy Survey Program</v>
      </c>
    </row>
    <row r="20" spans="1:16">
      <c r="B20" s="58" t="s">
        <v>98</v>
      </c>
      <c r="D20">
        <v>24792.880000000001</v>
      </c>
      <c r="E20">
        <v>3849.57</v>
      </c>
      <c r="F20">
        <v>0</v>
      </c>
      <c r="G20">
        <v>7654.35</v>
      </c>
      <c r="H20">
        <v>1213.8800000000001</v>
      </c>
      <c r="I20">
        <v>453.67</v>
      </c>
      <c r="J20">
        <v>2434.63</v>
      </c>
      <c r="K20">
        <v>0</v>
      </c>
      <c r="L20">
        <v>0</v>
      </c>
      <c r="M20">
        <v>163.5</v>
      </c>
      <c r="N20">
        <f>SUM(D20:M20)</f>
        <v>40562.479999999996</v>
      </c>
      <c r="P20">
        <f>+N20</f>
        <v>40562.479999999996</v>
      </c>
    </row>
    <row r="21" spans="1:16">
      <c r="B21" s="58" t="s">
        <v>99</v>
      </c>
      <c r="D21">
        <v>30000</v>
      </c>
      <c r="E21">
        <v>2550</v>
      </c>
      <c r="F21">
        <v>0</v>
      </c>
      <c r="G21">
        <v>10000</v>
      </c>
      <c r="H21">
        <v>1500</v>
      </c>
      <c r="I21">
        <v>750</v>
      </c>
      <c r="J21">
        <v>5000</v>
      </c>
      <c r="K21">
        <v>0</v>
      </c>
      <c r="L21">
        <v>0</v>
      </c>
      <c r="M21">
        <v>2500</v>
      </c>
      <c r="N21">
        <f>SUM(D21:M21)</f>
        <v>52300</v>
      </c>
      <c r="P21">
        <f>+N21</f>
        <v>52300</v>
      </c>
    </row>
    <row r="22" spans="1:16">
      <c r="B22" s="58" t="s">
        <v>100</v>
      </c>
      <c r="D22">
        <f>D20+D21</f>
        <v>54792.880000000005</v>
      </c>
      <c r="E22">
        <f t="shared" ref="E22:M22" si="1">E20+E21</f>
        <v>6399.57</v>
      </c>
      <c r="F22">
        <f t="shared" si="1"/>
        <v>0</v>
      </c>
      <c r="G22">
        <f t="shared" si="1"/>
        <v>17654.349999999999</v>
      </c>
      <c r="H22">
        <f t="shared" si="1"/>
        <v>2713.88</v>
      </c>
      <c r="I22">
        <f t="shared" si="1"/>
        <v>1203.67</v>
      </c>
      <c r="J22">
        <f t="shared" si="1"/>
        <v>7434.63</v>
      </c>
      <c r="K22">
        <f t="shared" si="1"/>
        <v>0</v>
      </c>
      <c r="L22">
        <f t="shared" si="1"/>
        <v>0</v>
      </c>
      <c r="M22">
        <f t="shared" si="1"/>
        <v>2663.5</v>
      </c>
      <c r="N22">
        <f>N20+N21</f>
        <v>92862.48</v>
      </c>
      <c r="P22">
        <f>+N22</f>
        <v>92862.48</v>
      </c>
    </row>
    <row r="23" spans="1:16">
      <c r="B23" s="58"/>
    </row>
    <row r="24" spans="1:16">
      <c r="A24" s="32" t="s">
        <v>31</v>
      </c>
      <c r="B24" s="58" t="str">
        <f>'C-2 2 of 3'!B15</f>
        <v>Commercial Energy Survey</v>
      </c>
    </row>
    <row r="25" spans="1:16">
      <c r="B25" s="58" t="s">
        <v>98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 t="shared" ref="N25:N27" si="2">SUM(D25:M25)</f>
        <v>0</v>
      </c>
      <c r="P25">
        <f>+N25</f>
        <v>0</v>
      </c>
    </row>
    <row r="26" spans="1:16">
      <c r="B26" s="58" t="s">
        <v>99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f t="shared" si="2"/>
        <v>0</v>
      </c>
      <c r="P26">
        <f>+N26</f>
        <v>0</v>
      </c>
    </row>
    <row r="27" spans="1:16">
      <c r="B27" s="58" t="s">
        <v>100</v>
      </c>
      <c r="D27">
        <f>D25+D26</f>
        <v>0</v>
      </c>
      <c r="E27">
        <f t="shared" ref="E27:M27" si="3">E25+E26</f>
        <v>0</v>
      </c>
      <c r="F27">
        <f t="shared" si="3"/>
        <v>0</v>
      </c>
      <c r="G27">
        <f t="shared" si="3"/>
        <v>0</v>
      </c>
      <c r="H27">
        <f t="shared" si="3"/>
        <v>0</v>
      </c>
      <c r="I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  <c r="N27">
        <f t="shared" si="2"/>
        <v>0</v>
      </c>
      <c r="P27">
        <f>+N27</f>
        <v>0</v>
      </c>
    </row>
    <row r="28" spans="1:16">
      <c r="B28" s="58"/>
    </row>
    <row r="29" spans="1:16">
      <c r="A29" s="32" t="s">
        <v>33</v>
      </c>
      <c r="B29" s="58" t="str">
        <f>'C-2 2 of 3'!B16</f>
        <v>Low Income Program</v>
      </c>
    </row>
    <row r="30" spans="1:16">
      <c r="B30" s="58" t="s">
        <v>98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>SUM(D30:M30)</f>
        <v>0</v>
      </c>
      <c r="P30">
        <f>+N30</f>
        <v>0</v>
      </c>
    </row>
    <row r="31" spans="1:16">
      <c r="B31" s="58" t="s">
        <v>99</v>
      </c>
      <c r="D31">
        <v>350</v>
      </c>
      <c r="E31">
        <v>0</v>
      </c>
      <c r="F31">
        <v>0</v>
      </c>
      <c r="G31">
        <v>7500</v>
      </c>
      <c r="H31">
        <v>50</v>
      </c>
      <c r="I31">
        <v>250</v>
      </c>
      <c r="J31">
        <v>100</v>
      </c>
      <c r="K31">
        <v>0</v>
      </c>
      <c r="L31">
        <v>0</v>
      </c>
      <c r="M31">
        <v>0</v>
      </c>
      <c r="N31">
        <f>SUM(D31:M31)</f>
        <v>8250</v>
      </c>
      <c r="P31">
        <f>+N31</f>
        <v>8250</v>
      </c>
    </row>
    <row r="32" spans="1:16">
      <c r="B32" s="58" t="s">
        <v>100</v>
      </c>
      <c r="D32">
        <f>D30+D31</f>
        <v>350</v>
      </c>
      <c r="E32">
        <f t="shared" ref="E32:M32" si="4">E30+E31</f>
        <v>0</v>
      </c>
      <c r="F32">
        <f t="shared" si="4"/>
        <v>0</v>
      </c>
      <c r="G32">
        <f t="shared" si="4"/>
        <v>7500</v>
      </c>
      <c r="H32">
        <f t="shared" si="4"/>
        <v>50</v>
      </c>
      <c r="I32">
        <f t="shared" si="4"/>
        <v>250</v>
      </c>
      <c r="J32">
        <f t="shared" si="4"/>
        <v>100</v>
      </c>
      <c r="K32">
        <f t="shared" si="4"/>
        <v>0</v>
      </c>
      <c r="L32">
        <f t="shared" si="4"/>
        <v>0</v>
      </c>
      <c r="M32">
        <f t="shared" si="4"/>
        <v>0</v>
      </c>
      <c r="N32">
        <f>N30+N31</f>
        <v>8250</v>
      </c>
      <c r="P32">
        <f>+N32</f>
        <v>8250</v>
      </c>
    </row>
    <row r="33" spans="1:16">
      <c r="B33" s="58"/>
    </row>
    <row r="34" spans="1:16">
      <c r="A34" s="32" t="s">
        <v>34</v>
      </c>
      <c r="B34" s="58" t="str">
        <f>'C-2 2 of 3'!B17</f>
        <v>Commercial Heating &amp; Cooling Upgrade</v>
      </c>
    </row>
    <row r="35" spans="1:16">
      <c r="B35" s="58" t="s">
        <v>98</v>
      </c>
      <c r="D35">
        <v>248.45</v>
      </c>
      <c r="E35">
        <v>1228.3699999999999</v>
      </c>
      <c r="F35">
        <v>0</v>
      </c>
      <c r="G35">
        <v>94.35</v>
      </c>
      <c r="H35">
        <v>9.56</v>
      </c>
      <c r="I35">
        <v>6.78</v>
      </c>
      <c r="J35">
        <v>12.49</v>
      </c>
      <c r="K35">
        <v>0</v>
      </c>
      <c r="L35">
        <v>0</v>
      </c>
      <c r="M35">
        <v>1.08</v>
      </c>
      <c r="N35">
        <f>SUM(D35:M35)</f>
        <v>1601.0799999999997</v>
      </c>
      <c r="P35">
        <f>+N35</f>
        <v>1601.0799999999997</v>
      </c>
    </row>
    <row r="36" spans="1:16">
      <c r="B36" s="7" t="s">
        <v>99</v>
      </c>
      <c r="D36">
        <v>50</v>
      </c>
      <c r="E36">
        <v>5000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500</v>
      </c>
      <c r="M36">
        <v>0</v>
      </c>
      <c r="N36">
        <f>SUM(D36:M36)</f>
        <v>5550</v>
      </c>
      <c r="P36">
        <f>+N36</f>
        <v>5550</v>
      </c>
    </row>
    <row r="37" spans="1:16">
      <c r="B37" s="7" t="s">
        <v>100</v>
      </c>
      <c r="D37" s="27">
        <f>D35+D36</f>
        <v>298.45</v>
      </c>
      <c r="E37" s="27">
        <f t="shared" ref="E37:M37" si="5">E35+E36</f>
        <v>6228.37</v>
      </c>
      <c r="F37" s="27">
        <f t="shared" si="5"/>
        <v>0</v>
      </c>
      <c r="G37" s="27">
        <f t="shared" si="5"/>
        <v>94.35</v>
      </c>
      <c r="H37" s="27">
        <f t="shared" si="5"/>
        <v>9.56</v>
      </c>
      <c r="I37" s="27">
        <f t="shared" si="5"/>
        <v>6.78</v>
      </c>
      <c r="J37" s="27">
        <f t="shared" si="5"/>
        <v>12.49</v>
      </c>
      <c r="K37" s="27">
        <f t="shared" si="5"/>
        <v>0</v>
      </c>
      <c r="L37" s="27">
        <f t="shared" si="5"/>
        <v>500</v>
      </c>
      <c r="M37" s="27">
        <f t="shared" si="5"/>
        <v>1.08</v>
      </c>
      <c r="N37" s="27">
        <f>N35+N36</f>
        <v>7151.08</v>
      </c>
      <c r="O37" s="27"/>
      <c r="P37" s="27">
        <f>+N37</f>
        <v>7151.08</v>
      </c>
    </row>
    <row r="38" spans="1:16">
      <c r="B38" s="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>
      <c r="A39" s="43" t="s">
        <v>182</v>
      </c>
      <c r="B39" s="7" t="str">
        <f>'C-2 2 of 3'!B18</f>
        <v>Residential Heating &amp; Cooling Upgrade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>
      <c r="B40" s="7" t="s">
        <v>98</v>
      </c>
      <c r="D40" s="27">
        <v>321.66000000000003</v>
      </c>
      <c r="E40" s="27">
        <v>4051.85</v>
      </c>
      <c r="F40" s="27">
        <v>0</v>
      </c>
      <c r="G40" s="27">
        <v>94.35</v>
      </c>
      <c r="H40" s="27">
        <v>13.19</v>
      </c>
      <c r="I40" s="27">
        <v>1.96</v>
      </c>
      <c r="J40" s="27">
        <v>2937.09</v>
      </c>
      <c r="K40" s="27">
        <v>0</v>
      </c>
      <c r="L40" s="27">
        <v>5974.72</v>
      </c>
      <c r="M40" s="27">
        <v>0</v>
      </c>
      <c r="N40" s="27">
        <f>SUM(D40:M40)</f>
        <v>13394.82</v>
      </c>
      <c r="O40" s="27"/>
      <c r="P40" s="27">
        <f>+N40</f>
        <v>13394.82</v>
      </c>
    </row>
    <row r="41" spans="1:16">
      <c r="B41" s="7" t="s">
        <v>99</v>
      </c>
      <c r="D41" s="27">
        <v>1000</v>
      </c>
      <c r="E41" s="27">
        <v>3000</v>
      </c>
      <c r="F41" s="27">
        <v>0</v>
      </c>
      <c r="G41" s="27">
        <v>0</v>
      </c>
      <c r="H41" s="27">
        <v>75</v>
      </c>
      <c r="I41" s="27">
        <v>50</v>
      </c>
      <c r="J41" s="27">
        <v>150</v>
      </c>
      <c r="K41" s="27">
        <v>0</v>
      </c>
      <c r="L41" s="27">
        <v>15000</v>
      </c>
      <c r="M41" s="27">
        <v>50</v>
      </c>
      <c r="N41" s="27">
        <f>SUM(D41:M41)</f>
        <v>19325</v>
      </c>
      <c r="O41" s="27"/>
      <c r="P41" s="27">
        <f>+N41</f>
        <v>19325</v>
      </c>
    </row>
    <row r="42" spans="1:16">
      <c r="B42" s="7" t="s">
        <v>100</v>
      </c>
      <c r="D42" s="27">
        <f>D40+D41</f>
        <v>1321.66</v>
      </c>
      <c r="E42" s="27">
        <f t="shared" ref="E42:M42" si="6">E40+E41</f>
        <v>7051.85</v>
      </c>
      <c r="F42" s="27">
        <f t="shared" si="6"/>
        <v>0</v>
      </c>
      <c r="G42" s="27">
        <f t="shared" si="6"/>
        <v>94.35</v>
      </c>
      <c r="H42" s="27">
        <f t="shared" si="6"/>
        <v>88.19</v>
      </c>
      <c r="I42" s="27">
        <f t="shared" si="6"/>
        <v>51.96</v>
      </c>
      <c r="J42" s="27">
        <f t="shared" si="6"/>
        <v>3087.09</v>
      </c>
      <c r="K42" s="27">
        <f t="shared" si="6"/>
        <v>0</v>
      </c>
      <c r="L42" s="27">
        <f t="shared" si="6"/>
        <v>20974.720000000001</v>
      </c>
      <c r="M42" s="27">
        <f t="shared" si="6"/>
        <v>50</v>
      </c>
      <c r="N42" s="27">
        <f>N40+N41</f>
        <v>32719.82</v>
      </c>
      <c r="O42" s="27"/>
      <c r="P42" s="27">
        <f>+N42</f>
        <v>32719.82</v>
      </c>
    </row>
    <row r="43" spans="1:16">
      <c r="B43" s="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>
      <c r="A44" s="43" t="s">
        <v>20</v>
      </c>
      <c r="B44" s="7" t="str">
        <f>'C-2 2 of 3'!B19</f>
        <v>Commercial Indoor Efficient Lighting Rebate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>
      <c r="B45" s="7" t="s">
        <v>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f>SUM(D45:M45)</f>
        <v>0</v>
      </c>
      <c r="O45" s="27"/>
      <c r="P45" s="27">
        <f>+N45</f>
        <v>0</v>
      </c>
    </row>
    <row r="46" spans="1:16">
      <c r="B46" s="7" t="s">
        <v>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f>SUM(D46:M46)</f>
        <v>0</v>
      </c>
      <c r="O46" s="27"/>
      <c r="P46" s="27">
        <f>+N46</f>
        <v>0</v>
      </c>
    </row>
    <row r="47" spans="1:16">
      <c r="B47" s="7" t="s">
        <v>100</v>
      </c>
      <c r="D47" s="27">
        <f>D45+D46</f>
        <v>0</v>
      </c>
      <c r="E47" s="27">
        <f t="shared" ref="E47:M47" si="7">E45+E46</f>
        <v>0</v>
      </c>
      <c r="F47" s="27">
        <f t="shared" si="7"/>
        <v>0</v>
      </c>
      <c r="G47" s="27">
        <f t="shared" si="7"/>
        <v>0</v>
      </c>
      <c r="H47" s="27">
        <f t="shared" si="7"/>
        <v>0</v>
      </c>
      <c r="I47" s="27">
        <f t="shared" si="7"/>
        <v>0</v>
      </c>
      <c r="J47" s="27">
        <f t="shared" si="7"/>
        <v>0</v>
      </c>
      <c r="K47" s="27">
        <f t="shared" si="7"/>
        <v>0</v>
      </c>
      <c r="L47" s="27">
        <f t="shared" si="7"/>
        <v>0</v>
      </c>
      <c r="M47" s="27">
        <f t="shared" si="7"/>
        <v>0</v>
      </c>
      <c r="N47" s="27">
        <f>N45+N46</f>
        <v>0</v>
      </c>
      <c r="O47" s="27"/>
      <c r="P47" s="27">
        <f>+N47</f>
        <v>0</v>
      </c>
    </row>
    <row r="48" spans="1:16">
      <c r="B48" s="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7">
      <c r="B49" s="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7">
      <c r="B50" s="7" t="s">
        <v>101</v>
      </c>
      <c r="D50" s="74">
        <f>D15+D20+D25+D30+D35+D40+D45</f>
        <v>160518.81000000003</v>
      </c>
      <c r="E50" s="74">
        <f t="shared" ref="E50:P50" si="8">E15+E20+E25+E30+E35+E40+E45</f>
        <v>27835.159999999996</v>
      </c>
      <c r="F50" s="74">
        <f t="shared" si="8"/>
        <v>3336</v>
      </c>
      <c r="G50" s="74">
        <f t="shared" si="8"/>
        <v>52222.219999999994</v>
      </c>
      <c r="H50" s="74">
        <f t="shared" si="8"/>
        <v>5802.1</v>
      </c>
      <c r="I50" s="74">
        <f t="shared" si="8"/>
        <v>2536.3200000000002</v>
      </c>
      <c r="J50" s="74">
        <f t="shared" si="8"/>
        <v>19241.11</v>
      </c>
      <c r="K50" s="74">
        <f t="shared" si="8"/>
        <v>0</v>
      </c>
      <c r="L50" s="74">
        <f t="shared" si="8"/>
        <v>5974.72</v>
      </c>
      <c r="M50" s="74">
        <f t="shared" si="8"/>
        <v>4204.49</v>
      </c>
      <c r="N50" s="74">
        <f t="shared" si="8"/>
        <v>281670.93</v>
      </c>
      <c r="O50" s="74">
        <f t="shared" si="8"/>
        <v>0</v>
      </c>
      <c r="P50" s="74">
        <f t="shared" si="8"/>
        <v>281670.93</v>
      </c>
    </row>
    <row r="51" spans="1:17">
      <c r="B51" s="7" t="s">
        <v>102</v>
      </c>
      <c r="D51" s="27">
        <f>D16+D21+D26+D31+D36+D41</f>
        <v>163900</v>
      </c>
      <c r="E51" s="27">
        <f t="shared" ref="E51:O51" si="9">E16+E21+E26+E31+E36+E41</f>
        <v>33050</v>
      </c>
      <c r="F51" s="27">
        <f t="shared" si="9"/>
        <v>5000</v>
      </c>
      <c r="G51" s="27">
        <f t="shared" si="9"/>
        <v>25000</v>
      </c>
      <c r="H51" s="27">
        <f t="shared" si="9"/>
        <v>4875</v>
      </c>
      <c r="I51" s="27">
        <f t="shared" si="9"/>
        <v>4050</v>
      </c>
      <c r="J51" s="27">
        <f t="shared" si="9"/>
        <v>21250</v>
      </c>
      <c r="K51" s="27">
        <f t="shared" si="9"/>
        <v>0</v>
      </c>
      <c r="L51" s="27">
        <f t="shared" si="9"/>
        <v>15500</v>
      </c>
      <c r="M51" s="27">
        <f t="shared" si="9"/>
        <v>8650</v>
      </c>
      <c r="N51" s="27">
        <f t="shared" si="9"/>
        <v>281275</v>
      </c>
      <c r="O51" s="27">
        <f t="shared" si="9"/>
        <v>0</v>
      </c>
      <c r="P51" s="27">
        <f>P16+P21+P26+P31+P36+P41+P46</f>
        <v>281275</v>
      </c>
    </row>
    <row r="52" spans="1:17">
      <c r="B52" s="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7">
      <c r="B53" s="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>
      <c r="A54" s="7"/>
      <c r="B54" s="7" t="s">
        <v>174</v>
      </c>
    </row>
    <row r="55" spans="1:17">
      <c r="B55" s="7" t="s">
        <v>103</v>
      </c>
      <c r="N55">
        <f>SUM(D55:M55)</f>
        <v>0</v>
      </c>
      <c r="P55">
        <f>+N55</f>
        <v>0</v>
      </c>
    </row>
    <row r="56" spans="1:17">
      <c r="B56" s="7" t="s">
        <v>104</v>
      </c>
    </row>
    <row r="57" spans="1:17">
      <c r="B57" s="7" t="s">
        <v>105</v>
      </c>
    </row>
    <row r="58" spans="1:17"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5"/>
    </row>
    <row r="59" spans="1:17" ht="15.75" thickBot="1">
      <c r="A59" s="5"/>
      <c r="B59" s="7" t="s">
        <v>226</v>
      </c>
      <c r="D59" s="19"/>
      <c r="E59" s="19" t="s">
        <v>106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7" ht="15.75" thickTop="1">
      <c r="A60" s="5"/>
      <c r="B60" s="5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1:17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s="27" customFormat="1"/>
    <row r="63" spans="1:17" s="27" customFormat="1">
      <c r="N63" s="16" t="s">
        <v>41</v>
      </c>
      <c r="O63" s="75"/>
    </row>
    <row r="64" spans="1:17" s="27" customFormat="1">
      <c r="N64" s="61" t="str">
        <f>'C-2 3 of 3'!P49</f>
        <v>DOCKET NO. 20180002-EG</v>
      </c>
      <c r="O64" s="76"/>
    </row>
    <row r="65" spans="1:17" s="27" customFormat="1">
      <c r="N65" s="60" t="s">
        <v>18</v>
      </c>
      <c r="O65" s="77"/>
    </row>
    <row r="66" spans="1:17" s="27" customFormat="1">
      <c r="N66" s="61" t="str">
        <f>'C-2 3 of 3'!P51</f>
        <v>(DNBM-1)</v>
      </c>
      <c r="O66" s="76"/>
    </row>
    <row r="67" spans="1:17" s="27" customFormat="1">
      <c r="N67" s="62" t="s">
        <v>224</v>
      </c>
      <c r="O67" s="78"/>
    </row>
    <row r="68" spans="1:17" s="27" customFormat="1"/>
    <row r="69" spans="1:17" s="27" customFormat="1" ht="15.75">
      <c r="B69" s="34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</row>
    <row r="70" spans="1:17" s="27" customFormat="1" ht="15.75">
      <c r="B70" s="34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</row>
    <row r="71" spans="1:17" s="27" customFormat="1" ht="15.75">
      <c r="B71" s="34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</row>
    <row r="72" spans="1:17" s="27" customFormat="1" ht="15.75">
      <c r="B72" s="34"/>
      <c r="C72" s="79"/>
      <c r="D72" s="80"/>
      <c r="E72" s="33"/>
      <c r="F72" s="80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</row>
    <row r="73" spans="1:17" s="27" customFormat="1" ht="15.75">
      <c r="B73" s="34"/>
      <c r="C73" s="79"/>
      <c r="D73" s="80"/>
      <c r="E73" s="33"/>
      <c r="F73" s="80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</row>
    <row r="74" spans="1:17" s="27" customFormat="1" ht="15.75">
      <c r="B74" s="34"/>
      <c r="C74" s="79"/>
      <c r="D74" s="33"/>
      <c r="E74" s="33"/>
      <c r="F74" s="33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7" s="27" customFormat="1" ht="15.75">
      <c r="B75" s="34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</row>
    <row r="76" spans="1:17" s="27" customFormat="1" ht="15.75">
      <c r="B76" s="34"/>
      <c r="C76" s="79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79"/>
    </row>
    <row r="77" spans="1:17" s="27" customFormat="1" ht="15.75">
      <c r="B77" s="34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79"/>
    </row>
    <row r="78" spans="1:17" s="27" customFormat="1" ht="15.75">
      <c r="B78" s="34"/>
      <c r="C78" s="79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</row>
    <row r="79" spans="1:17" s="27" customFormat="1" ht="15.75">
      <c r="B79" s="34"/>
      <c r="C79" s="79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s="27" customFormat="1">
      <c r="A80" s="82"/>
      <c r="B80" s="40"/>
    </row>
    <row r="81" spans="1:2" s="27" customFormat="1">
      <c r="B81" s="40"/>
    </row>
    <row r="82" spans="1:2" s="27" customFormat="1">
      <c r="B82" s="40"/>
    </row>
    <row r="83" spans="1:2" s="27" customFormat="1">
      <c r="B83" s="40"/>
    </row>
    <row r="84" spans="1:2" s="27" customFormat="1">
      <c r="B84" s="40"/>
    </row>
    <row r="85" spans="1:2" s="27" customFormat="1">
      <c r="A85" s="82"/>
      <c r="B85" s="83"/>
    </row>
    <row r="86" spans="1:2" s="27" customFormat="1">
      <c r="B86" s="83"/>
    </row>
    <row r="87" spans="1:2" s="27" customFormat="1">
      <c r="B87" s="83"/>
    </row>
    <row r="88" spans="1:2" s="27" customFormat="1">
      <c r="B88" s="83"/>
    </row>
    <row r="89" spans="1:2" s="27" customFormat="1">
      <c r="B89" s="83"/>
    </row>
    <row r="90" spans="1:2" s="27" customFormat="1">
      <c r="A90" s="82"/>
      <c r="B90" s="83"/>
    </row>
    <row r="91" spans="1:2" s="27" customFormat="1">
      <c r="B91" s="83"/>
    </row>
    <row r="92" spans="1:2" s="27" customFormat="1">
      <c r="B92" s="83"/>
    </row>
    <row r="93" spans="1:2" s="27" customFormat="1">
      <c r="B93" s="83"/>
    </row>
    <row r="94" spans="1:2" s="27" customFormat="1">
      <c r="B94" s="83"/>
    </row>
    <row r="95" spans="1:2" s="27" customFormat="1">
      <c r="A95" s="82"/>
      <c r="B95" s="83"/>
    </row>
    <row r="96" spans="1:2" s="27" customFormat="1">
      <c r="B96" s="83"/>
    </row>
    <row r="97" spans="1:2" s="27" customFormat="1">
      <c r="B97" s="83"/>
    </row>
    <row r="98" spans="1:2" s="27" customFormat="1">
      <c r="B98" s="83"/>
    </row>
    <row r="99" spans="1:2" s="27" customFormat="1">
      <c r="B99" s="83"/>
    </row>
    <row r="100" spans="1:2" s="27" customFormat="1">
      <c r="A100" s="82"/>
      <c r="B100" s="83"/>
    </row>
    <row r="101" spans="1:2" s="27" customFormat="1">
      <c r="B101" s="83"/>
    </row>
    <row r="102" spans="1:2" s="27" customFormat="1">
      <c r="B102" s="40"/>
    </row>
    <row r="103" spans="1:2" s="27" customFormat="1">
      <c r="B103" s="40"/>
    </row>
    <row r="104" spans="1:2" s="27" customFormat="1">
      <c r="B104" s="40"/>
    </row>
    <row r="105" spans="1:2" s="27" customFormat="1">
      <c r="A105" s="84"/>
      <c r="B105" s="40"/>
    </row>
    <row r="106" spans="1:2" s="27" customFormat="1">
      <c r="B106" s="40"/>
    </row>
    <row r="107" spans="1:2" s="27" customFormat="1">
      <c r="B107" s="40"/>
    </row>
    <row r="108" spans="1:2" s="27" customFormat="1">
      <c r="B108" s="40"/>
    </row>
    <row r="109" spans="1:2" s="27" customFormat="1">
      <c r="B109" s="40"/>
    </row>
    <row r="110" spans="1:2" s="27" customFormat="1">
      <c r="A110" s="84"/>
      <c r="B110" s="40"/>
    </row>
    <row r="111" spans="1:2" s="27" customFormat="1">
      <c r="B111" s="40"/>
    </row>
    <row r="112" spans="1:2" s="27" customFormat="1">
      <c r="B112" s="40"/>
    </row>
    <row r="113" spans="1:17" s="27" customFormat="1">
      <c r="B113" s="40"/>
    </row>
    <row r="114" spans="1:17" s="27" customFormat="1">
      <c r="B114" s="40"/>
    </row>
    <row r="115" spans="1:17" s="27" customFormat="1">
      <c r="B115" s="40"/>
    </row>
    <row r="116" spans="1:17" s="27" customFormat="1">
      <c r="B116" s="40"/>
    </row>
    <row r="117" spans="1:17" s="27" customFormat="1">
      <c r="B117" s="40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s="27" customFormat="1">
      <c r="B118" s="85"/>
    </row>
    <row r="119" spans="1:17" s="27" customFormat="1">
      <c r="B119" s="40"/>
    </row>
    <row r="120" spans="1:17" s="27" customFormat="1">
      <c r="B120" s="40"/>
    </row>
    <row r="121" spans="1:17" s="27" customFormat="1">
      <c r="B121" s="40"/>
    </row>
    <row r="122" spans="1:17" s="27" customFormat="1"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1:17" s="27" customFormat="1">
      <c r="A123" s="85"/>
      <c r="B123" s="85"/>
    </row>
    <row r="124" spans="1:17" s="27" customFormat="1">
      <c r="A124" s="85"/>
      <c r="B124" s="85"/>
    </row>
    <row r="125" spans="1:17" s="27" customFormat="1"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7" s="27" customFormat="1"/>
    <row r="127" spans="1:17" s="27" customFormat="1">
      <c r="O127" s="75"/>
    </row>
    <row r="128" spans="1:17" s="27" customFormat="1">
      <c r="O128" s="76"/>
    </row>
    <row r="129" spans="15:15" s="27" customFormat="1">
      <c r="O129" s="77"/>
    </row>
    <row r="130" spans="15:15" s="27" customFormat="1">
      <c r="O130" s="76"/>
    </row>
    <row r="131" spans="15:15" s="27" customFormat="1">
      <c r="O131" s="78"/>
    </row>
    <row r="132" spans="15:15" s="27" customFormat="1"/>
    <row r="133" spans="15:15" s="27" customFormat="1"/>
  </sheetData>
  <phoneticPr fontId="0" type="noConversion"/>
  <pageMargins left="0.75" right="0.75" top="1" bottom="1" header="0.5" footer="0.5"/>
  <pageSetup scale="39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71"/>
  <sheetViews>
    <sheetView zoomScale="64" zoomScaleNormal="64" workbookViewId="0">
      <selection activeCell="D12" sqref="D12"/>
    </sheetView>
  </sheetViews>
  <sheetFormatPr defaultRowHeight="15"/>
  <cols>
    <col min="1" max="1" width="5.6640625" customWidth="1"/>
    <col min="2" max="2" width="21.77734375" customWidth="1"/>
    <col min="3" max="3" width="18.5546875" customWidth="1"/>
    <col min="4" max="4" width="16.33203125" bestFit="1" customWidth="1"/>
    <col min="5" max="5" width="13.6640625" customWidth="1"/>
    <col min="6" max="6" width="15.44140625" bestFit="1" customWidth="1"/>
    <col min="7" max="7" width="14.109375" customWidth="1"/>
    <col min="8" max="8" width="12.109375" customWidth="1"/>
    <col min="9" max="16" width="11.77734375" customWidth="1"/>
  </cols>
  <sheetData>
    <row r="1" spans="1:16">
      <c r="A1" s="36"/>
    </row>
    <row r="3" spans="1:16" ht="15.75">
      <c r="B3" s="9" t="str">
        <f>+'C-3 1 of 5'!B3</f>
        <v>COMPANY: FLORIDA PUBLIC UTILITIES COMPANY - CONSOLIDATED ELECTRIC DIVISION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94</v>
      </c>
    </row>
    <row r="4" spans="1:16" ht="15.75">
      <c r="B4" s="9" t="s">
        <v>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 t="s">
        <v>107</v>
      </c>
    </row>
    <row r="5" spans="1:16" ht="15.75"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>
      <c r="B6" s="9" t="s">
        <v>97</v>
      </c>
      <c r="C6" s="8"/>
      <c r="D6" s="35">
        <f>+'C-3 1 of 5'!D6</f>
        <v>43101</v>
      </c>
      <c r="E6" s="10" t="s">
        <v>19</v>
      </c>
      <c r="F6" s="35">
        <f>+'C-3 1 of 5'!F6</f>
        <v>43252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>
      <c r="B7" s="9" t="s">
        <v>77</v>
      </c>
      <c r="C7" s="8"/>
      <c r="D7" s="35">
        <f>+'C-3 1 of 5'!D7</f>
        <v>43282</v>
      </c>
      <c r="E7" s="10" t="s">
        <v>19</v>
      </c>
      <c r="F7" s="35">
        <f>+'C-3 1 of 5'!F7</f>
        <v>43435</v>
      </c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>
      <c r="B8" s="9"/>
      <c r="C8" s="8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>
      <c r="B10" s="8"/>
      <c r="C10" s="8"/>
      <c r="D10" s="10" t="str">
        <f>+'C-3 1 of 5'!D10</f>
        <v>LABOR</v>
      </c>
      <c r="E10" s="10"/>
      <c r="F10" s="10"/>
      <c r="G10" s="10"/>
      <c r="H10" s="10"/>
      <c r="I10" s="10" t="str">
        <f>+'C-3 1 of 5'!I10</f>
        <v>MATERIALS</v>
      </c>
      <c r="J10" s="10"/>
      <c r="K10" s="10" t="str">
        <f>+'C-3 1 of 5'!K10</f>
        <v>GENERAL</v>
      </c>
      <c r="L10" s="10"/>
      <c r="M10" s="10"/>
      <c r="N10" s="10"/>
      <c r="O10" s="10"/>
      <c r="P10" s="10"/>
    </row>
    <row r="11" spans="1:16" ht="15.75">
      <c r="B11" s="8"/>
      <c r="C11" s="10" t="s">
        <v>40</v>
      </c>
      <c r="D11" s="10" t="str">
        <f>+'C-3 1 of 5'!D11</f>
        <v>&amp;</v>
      </c>
      <c r="E11" s="10"/>
      <c r="F11" s="10"/>
      <c r="G11" s="10" t="str">
        <f>+'C-3 1 of 5'!G11</f>
        <v>OUTSIDE</v>
      </c>
      <c r="H11" s="10" t="str">
        <f>+'C-3 1 of 5'!H11</f>
        <v>VEHICLE</v>
      </c>
      <c r="I11" s="10" t="str">
        <f>+'C-3 1 of 5'!I11</f>
        <v>&amp;</v>
      </c>
      <c r="J11" s="10"/>
      <c r="K11" s="10" t="str">
        <f>+'C-3 1 of 5'!K11</f>
        <v>&amp;</v>
      </c>
      <c r="L11" s="10"/>
      <c r="M11" s="10"/>
      <c r="N11" s="10" t="str">
        <f>+'C-3 1 of 5'!N11</f>
        <v>SUB</v>
      </c>
      <c r="O11" s="10" t="str">
        <f>+'C-3 1 of 5'!O11</f>
        <v>PROGRAM</v>
      </c>
      <c r="P11" s="10"/>
    </row>
    <row r="12" spans="1:16" ht="15.75">
      <c r="B12" s="8" t="s">
        <v>64</v>
      </c>
      <c r="C12" s="8"/>
      <c r="D12" s="15" t="str">
        <f>+'C-3 1 of 5'!D12</f>
        <v>PAYROLL</v>
      </c>
      <c r="E12" s="15" t="str">
        <f>+'C-3 1 of 5'!E12</f>
        <v>ADVERTISING</v>
      </c>
      <c r="F12" s="15" t="str">
        <f>+'C-3 1 of 5'!F12</f>
        <v>LEGAL</v>
      </c>
      <c r="G12" s="15" t="str">
        <f>+'C-3 1 of 5'!G12</f>
        <v>SERVICES</v>
      </c>
      <c r="H12" s="15" t="str">
        <f>+'C-3 1 of 5'!H12</f>
        <v>COST</v>
      </c>
      <c r="I12" s="15" t="str">
        <f>+'C-3 1 of 5'!I12</f>
        <v>SUPPLIES</v>
      </c>
      <c r="J12" s="15" t="str">
        <f>+'C-3 1 of 5'!J12</f>
        <v>TRAVEL</v>
      </c>
      <c r="K12" s="15" t="str">
        <f>+'C-3 1 of 5'!K12</f>
        <v>ADMIN.</v>
      </c>
      <c r="L12" s="15" t="str">
        <f>+'C-3 1 of 5'!L12</f>
        <v>INCENTIVES</v>
      </c>
      <c r="M12" s="15" t="str">
        <f>+'C-3 1 of 5'!M12</f>
        <v>OTHER</v>
      </c>
      <c r="N12" s="15" t="str">
        <f>+'C-3 1 of 5'!N12</f>
        <v>TOTAL</v>
      </c>
      <c r="O12" s="15" t="str">
        <f>+'C-3 1 of 5'!O12</f>
        <v>REVENUES</v>
      </c>
      <c r="P12" s="15" t="str">
        <f>+'C-3 1 of 5'!P12</f>
        <v>TOTAL</v>
      </c>
    </row>
    <row r="13" spans="1:16" ht="15.75"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A14" s="32" t="s">
        <v>38</v>
      </c>
      <c r="B14" s="7" t="str">
        <f>'C-2 2 of 3'!B20</f>
        <v>Commercial Window Film Installation Program</v>
      </c>
    </row>
    <row r="15" spans="1:16">
      <c r="B15" t="s">
        <v>98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>SUM(D15:M15)</f>
        <v>0</v>
      </c>
      <c r="P15">
        <f>+N15</f>
        <v>0</v>
      </c>
    </row>
    <row r="16" spans="1:16">
      <c r="B16" t="s">
        <v>99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>SUM(D16:M16)</f>
        <v>0</v>
      </c>
      <c r="P16">
        <f>+N16</f>
        <v>0</v>
      </c>
    </row>
    <row r="17" spans="1:16">
      <c r="B17" t="s">
        <v>100</v>
      </c>
      <c r="D17">
        <f>D15+D16</f>
        <v>0</v>
      </c>
      <c r="E17">
        <f t="shared" ref="E17:M17" si="0">E15+E16</f>
        <v>0</v>
      </c>
      <c r="F17">
        <f t="shared" si="0"/>
        <v>0</v>
      </c>
      <c r="G17">
        <f t="shared" si="0"/>
        <v>0</v>
      </c>
      <c r="H17">
        <f t="shared" si="0"/>
        <v>0</v>
      </c>
      <c r="I17">
        <f t="shared" si="0"/>
        <v>0</v>
      </c>
      <c r="J17">
        <f t="shared" si="0"/>
        <v>0</v>
      </c>
      <c r="K17">
        <f t="shared" si="0"/>
        <v>0</v>
      </c>
      <c r="L17">
        <f t="shared" si="0"/>
        <v>0</v>
      </c>
      <c r="M17">
        <f t="shared" si="0"/>
        <v>0</v>
      </c>
      <c r="N17">
        <f>N15+N16</f>
        <v>0</v>
      </c>
      <c r="P17">
        <f>+N17</f>
        <v>0</v>
      </c>
    </row>
    <row r="19" spans="1:16">
      <c r="A19" s="32" t="s">
        <v>47</v>
      </c>
      <c r="B19" s="58" t="str">
        <f>'C-2 2 of 3'!B21</f>
        <v>Commercial Chiller Upgrade Program</v>
      </c>
    </row>
    <row r="20" spans="1:16">
      <c r="B20" t="s">
        <v>98</v>
      </c>
      <c r="D20">
        <v>0</v>
      </c>
      <c r="E20">
        <v>1228.3699999999999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>SUM(D20:M20)</f>
        <v>1228.3699999999999</v>
      </c>
      <c r="P20">
        <f>+N20</f>
        <v>1228.3699999999999</v>
      </c>
    </row>
    <row r="21" spans="1:16">
      <c r="B21" t="s">
        <v>99</v>
      </c>
      <c r="D21">
        <v>3000</v>
      </c>
      <c r="E21">
        <v>5000</v>
      </c>
      <c r="F21">
        <v>0</v>
      </c>
      <c r="G21">
        <v>0</v>
      </c>
      <c r="H21">
        <v>175</v>
      </c>
      <c r="I21">
        <v>50</v>
      </c>
      <c r="J21">
        <v>500</v>
      </c>
      <c r="K21">
        <v>0</v>
      </c>
      <c r="L21">
        <v>500</v>
      </c>
      <c r="M21">
        <v>50</v>
      </c>
      <c r="N21">
        <f>SUM(D21:M21)</f>
        <v>9275</v>
      </c>
      <c r="P21">
        <f>+N21</f>
        <v>9275</v>
      </c>
    </row>
    <row r="22" spans="1:16">
      <c r="B22" t="s">
        <v>100</v>
      </c>
      <c r="D22">
        <f>D20+D21</f>
        <v>3000</v>
      </c>
      <c r="E22">
        <f t="shared" ref="E22:M22" si="1">E20+E21</f>
        <v>6228.37</v>
      </c>
      <c r="F22">
        <f t="shared" si="1"/>
        <v>0</v>
      </c>
      <c r="G22">
        <f t="shared" si="1"/>
        <v>0</v>
      </c>
      <c r="H22">
        <f t="shared" si="1"/>
        <v>175</v>
      </c>
      <c r="I22">
        <f t="shared" si="1"/>
        <v>50</v>
      </c>
      <c r="J22">
        <f t="shared" si="1"/>
        <v>500</v>
      </c>
      <c r="K22">
        <f t="shared" si="1"/>
        <v>0</v>
      </c>
      <c r="L22">
        <f t="shared" si="1"/>
        <v>500</v>
      </c>
      <c r="M22">
        <f t="shared" si="1"/>
        <v>50</v>
      </c>
      <c r="N22">
        <f>N20+N21</f>
        <v>10503.369999999999</v>
      </c>
      <c r="P22">
        <f>+N22</f>
        <v>10503.369999999999</v>
      </c>
    </row>
    <row r="24" spans="1:16">
      <c r="A24" s="32" t="s">
        <v>108</v>
      </c>
      <c r="B24" s="7" t="str">
        <f>'C-2 2 of 3'!B22</f>
        <v>Solar Water Heating Program</v>
      </c>
    </row>
    <row r="25" spans="1:16">
      <c r="B25" t="s">
        <v>98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>SUM(D25:M25)</f>
        <v>0</v>
      </c>
      <c r="P25">
        <f>+N25</f>
        <v>0</v>
      </c>
    </row>
    <row r="26" spans="1:16">
      <c r="B26" t="s">
        <v>99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f>SUM(D26:M26)</f>
        <v>0</v>
      </c>
      <c r="P26">
        <f>+N26</f>
        <v>0</v>
      </c>
    </row>
    <row r="27" spans="1:16">
      <c r="B27" t="s">
        <v>100</v>
      </c>
      <c r="D27">
        <f>D25+D26</f>
        <v>0</v>
      </c>
      <c r="E27">
        <f t="shared" ref="E27:M27" si="2">E25+E26</f>
        <v>0</v>
      </c>
      <c r="F27">
        <f t="shared" si="2"/>
        <v>0</v>
      </c>
      <c r="G27">
        <f t="shared" si="2"/>
        <v>0</v>
      </c>
      <c r="H27">
        <f t="shared" si="2"/>
        <v>0</v>
      </c>
      <c r="I27">
        <f t="shared" si="2"/>
        <v>0</v>
      </c>
      <c r="J27">
        <f t="shared" si="2"/>
        <v>0</v>
      </c>
      <c r="K27">
        <f t="shared" si="2"/>
        <v>0</v>
      </c>
      <c r="L27">
        <f t="shared" si="2"/>
        <v>0</v>
      </c>
      <c r="M27">
        <f t="shared" si="2"/>
        <v>0</v>
      </c>
      <c r="N27">
        <f>N25+N26</f>
        <v>0</v>
      </c>
      <c r="P27">
        <f>+N27</f>
        <v>0</v>
      </c>
    </row>
    <row r="29" spans="1:16">
      <c r="A29" s="32" t="s">
        <v>165</v>
      </c>
      <c r="B29" s="7" t="str">
        <f>'C-2 2 of 3'!B23</f>
        <v>Solar Photovoltaic Program</v>
      </c>
    </row>
    <row r="30" spans="1:16">
      <c r="B30" t="s">
        <v>98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>SUM(D30:M30)</f>
        <v>0</v>
      </c>
      <c r="P30">
        <f>+N30</f>
        <v>0</v>
      </c>
    </row>
    <row r="31" spans="1:16">
      <c r="B31" t="s">
        <v>99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>SUM(D31:M31)</f>
        <v>0</v>
      </c>
      <c r="P31">
        <f>+N31</f>
        <v>0</v>
      </c>
    </row>
    <row r="32" spans="1:16">
      <c r="B32" t="s">
        <v>100</v>
      </c>
      <c r="D32">
        <f>D30+D31</f>
        <v>0</v>
      </c>
      <c r="E32">
        <f t="shared" ref="E32:M32" si="3">E30+E31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>N30+N31</f>
        <v>0</v>
      </c>
      <c r="P32">
        <f>+N32</f>
        <v>0</v>
      </c>
    </row>
    <row r="34" spans="1:16">
      <c r="A34" s="32" t="s">
        <v>166</v>
      </c>
      <c r="B34" s="7" t="str">
        <f>'C-2 2 of 3'!B24</f>
        <v>Demonstration and Development</v>
      </c>
    </row>
    <row r="35" spans="1:16">
      <c r="B35" t="s">
        <v>98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f>SUM(D35:M35)</f>
        <v>0</v>
      </c>
      <c r="P35">
        <f>+N35</f>
        <v>0</v>
      </c>
    </row>
    <row r="36" spans="1:16">
      <c r="B36" t="s">
        <v>99</v>
      </c>
      <c r="D36">
        <v>2500</v>
      </c>
      <c r="E36">
        <v>0</v>
      </c>
      <c r="F36">
        <v>0</v>
      </c>
      <c r="G36">
        <v>34250</v>
      </c>
      <c r="H36">
        <v>125</v>
      </c>
      <c r="I36">
        <v>75</v>
      </c>
      <c r="J36">
        <v>500</v>
      </c>
      <c r="K36">
        <v>0</v>
      </c>
      <c r="L36">
        <v>0</v>
      </c>
      <c r="M36">
        <v>50</v>
      </c>
      <c r="N36">
        <f>SUM(D36:M36)</f>
        <v>37500</v>
      </c>
      <c r="O36" s="27"/>
      <c r="P36" s="27">
        <f>+N36</f>
        <v>37500</v>
      </c>
    </row>
    <row r="37" spans="1:16">
      <c r="B37" t="s">
        <v>100</v>
      </c>
      <c r="D37" s="27">
        <f>D35+D36</f>
        <v>2500</v>
      </c>
      <c r="E37" s="27">
        <f t="shared" ref="E37:M37" si="4">E35+E36</f>
        <v>0</v>
      </c>
      <c r="F37" s="27">
        <f t="shared" si="4"/>
        <v>0</v>
      </c>
      <c r="G37" s="27">
        <f t="shared" si="4"/>
        <v>34250</v>
      </c>
      <c r="H37" s="27">
        <f t="shared" si="4"/>
        <v>125</v>
      </c>
      <c r="I37" s="27">
        <f t="shared" si="4"/>
        <v>75</v>
      </c>
      <c r="J37" s="27">
        <f t="shared" si="4"/>
        <v>500</v>
      </c>
      <c r="K37" s="27">
        <f t="shared" si="4"/>
        <v>0</v>
      </c>
      <c r="L37" s="27">
        <f t="shared" si="4"/>
        <v>0</v>
      </c>
      <c r="M37" s="27">
        <f t="shared" si="4"/>
        <v>50</v>
      </c>
      <c r="N37">
        <f>N35+N36</f>
        <v>37500</v>
      </c>
      <c r="O37" s="27"/>
      <c r="P37" s="27">
        <f>+N37</f>
        <v>37500</v>
      </c>
    </row>
    <row r="38" spans="1:16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>
      <c r="A39" s="43" t="s">
        <v>183</v>
      </c>
      <c r="B39" s="7" t="str">
        <f>'C-2 2 of 3'!B25</f>
        <v>Affordable Housing Builders and Providers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>
      <c r="B40" t="s">
        <v>98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f>SUM(D40:M40)</f>
        <v>0</v>
      </c>
      <c r="P40">
        <f>+N40</f>
        <v>0</v>
      </c>
    </row>
    <row r="41" spans="1:16">
      <c r="B41" t="s">
        <v>99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f>SUM(D41:M41)</f>
        <v>0</v>
      </c>
      <c r="O41" s="27"/>
      <c r="P41" s="27">
        <f>+N41</f>
        <v>0</v>
      </c>
    </row>
    <row r="42" spans="1:16">
      <c r="B42" t="s">
        <v>100</v>
      </c>
      <c r="D42" s="27">
        <f>D40+D41</f>
        <v>0</v>
      </c>
      <c r="E42" s="27">
        <f t="shared" ref="E42:M42" si="5">E40+E41</f>
        <v>0</v>
      </c>
      <c r="F42" s="27">
        <f t="shared" si="5"/>
        <v>0</v>
      </c>
      <c r="G42" s="27">
        <f t="shared" si="5"/>
        <v>0</v>
      </c>
      <c r="H42" s="27">
        <f t="shared" si="5"/>
        <v>0</v>
      </c>
      <c r="I42" s="27">
        <f t="shared" si="5"/>
        <v>0</v>
      </c>
      <c r="J42" s="27">
        <f t="shared" si="5"/>
        <v>0</v>
      </c>
      <c r="K42" s="27">
        <f t="shared" si="5"/>
        <v>0</v>
      </c>
      <c r="L42" s="27">
        <f t="shared" si="5"/>
        <v>0</v>
      </c>
      <c r="M42" s="27">
        <f t="shared" si="5"/>
        <v>0</v>
      </c>
      <c r="N42">
        <f>N40+N41</f>
        <v>0</v>
      </c>
      <c r="O42" s="27"/>
      <c r="P42" s="27">
        <f>+N42</f>
        <v>0</v>
      </c>
    </row>
    <row r="43" spans="1:16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>
      <c r="A44" s="32" t="s">
        <v>168</v>
      </c>
      <c r="B44" s="7" t="str">
        <f>'C-2 2 of 3'!B26</f>
        <v>Commercial Reflective Roof Program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>
      <c r="B45" t="s">
        <v>98</v>
      </c>
      <c r="D45">
        <v>0</v>
      </c>
      <c r="E45">
        <v>2211.7199999999998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f>SUM(D45:M45)</f>
        <v>2211.7199999999998</v>
      </c>
      <c r="P45">
        <f>+N45</f>
        <v>2211.7199999999998</v>
      </c>
    </row>
    <row r="46" spans="1:16">
      <c r="B46" t="s">
        <v>99</v>
      </c>
      <c r="D46">
        <v>2250</v>
      </c>
      <c r="E46">
        <v>5000</v>
      </c>
      <c r="F46">
        <v>0</v>
      </c>
      <c r="G46">
        <v>0</v>
      </c>
      <c r="H46">
        <v>75</v>
      </c>
      <c r="I46">
        <v>50</v>
      </c>
      <c r="J46">
        <v>400</v>
      </c>
      <c r="K46">
        <v>0</v>
      </c>
      <c r="L46">
        <v>2500</v>
      </c>
      <c r="M46">
        <v>50</v>
      </c>
      <c r="N46">
        <f>SUM(D46:M46)</f>
        <v>10325</v>
      </c>
      <c r="O46" s="27"/>
      <c r="P46" s="27">
        <f>+N46</f>
        <v>10325</v>
      </c>
    </row>
    <row r="47" spans="1:16">
      <c r="B47" t="s">
        <v>100</v>
      </c>
      <c r="D47" s="27">
        <f>D45+D46</f>
        <v>2250</v>
      </c>
      <c r="E47" s="27">
        <f t="shared" ref="E47:M47" si="6">E45+E46</f>
        <v>7211.7199999999993</v>
      </c>
      <c r="F47" s="27">
        <f t="shared" si="6"/>
        <v>0</v>
      </c>
      <c r="G47" s="27">
        <f t="shared" si="6"/>
        <v>0</v>
      </c>
      <c r="H47" s="27">
        <f t="shared" si="6"/>
        <v>75</v>
      </c>
      <c r="I47" s="27">
        <f t="shared" si="6"/>
        <v>50</v>
      </c>
      <c r="J47" s="27">
        <f t="shared" si="6"/>
        <v>400</v>
      </c>
      <c r="K47" s="27">
        <f t="shared" si="6"/>
        <v>0</v>
      </c>
      <c r="L47" s="27">
        <f t="shared" si="6"/>
        <v>2500</v>
      </c>
      <c r="M47" s="27">
        <f t="shared" si="6"/>
        <v>50</v>
      </c>
      <c r="N47">
        <f>N45+N46</f>
        <v>12536.72</v>
      </c>
      <c r="O47" s="27"/>
      <c r="P47" s="27">
        <f>+N47</f>
        <v>12536.72</v>
      </c>
    </row>
    <row r="48" spans="1:16">
      <c r="D48" s="27"/>
      <c r="E48" s="27"/>
      <c r="F48" s="27"/>
      <c r="G48" s="27"/>
      <c r="H48" s="27"/>
      <c r="I48" s="27"/>
      <c r="J48" s="27"/>
      <c r="K48" s="27"/>
      <c r="L48" s="27"/>
      <c r="M48" s="27"/>
      <c r="O48" s="27"/>
      <c r="P48" s="27"/>
    </row>
    <row r="49" spans="1:16">
      <c r="A49" s="32" t="s">
        <v>225</v>
      </c>
      <c r="B49" s="7" t="str">
        <f>'C-2 2 of 3'!B27</f>
        <v>Commercial Energy Consultation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>
      <c r="B50" t="s">
        <v>98</v>
      </c>
      <c r="D50">
        <v>1274.6099999999999</v>
      </c>
      <c r="E50">
        <v>514.59</v>
      </c>
      <c r="F50">
        <v>0</v>
      </c>
      <c r="G50">
        <v>94.35</v>
      </c>
      <c r="H50">
        <v>51.66</v>
      </c>
      <c r="I50">
        <v>15.66</v>
      </c>
      <c r="J50">
        <v>187.85</v>
      </c>
      <c r="K50">
        <v>0</v>
      </c>
      <c r="L50">
        <v>0</v>
      </c>
      <c r="M50">
        <v>1.56</v>
      </c>
      <c r="N50">
        <f>SUM(D50:M50)</f>
        <v>2140.2799999999997</v>
      </c>
      <c r="P50">
        <f>+N50</f>
        <v>2140.2799999999997</v>
      </c>
    </row>
    <row r="51" spans="1:16">
      <c r="B51" t="s">
        <v>99</v>
      </c>
      <c r="D51">
        <v>12500</v>
      </c>
      <c r="E51">
        <v>50</v>
      </c>
      <c r="F51">
        <v>0</v>
      </c>
      <c r="G51">
        <v>7500</v>
      </c>
      <c r="H51">
        <v>600</v>
      </c>
      <c r="I51">
        <v>250</v>
      </c>
      <c r="J51">
        <v>2000</v>
      </c>
      <c r="K51">
        <v>0</v>
      </c>
      <c r="L51">
        <v>0</v>
      </c>
      <c r="M51">
        <v>150</v>
      </c>
      <c r="N51">
        <f>SUM(D51:M51)</f>
        <v>23050</v>
      </c>
      <c r="O51" s="27"/>
      <c r="P51" s="27">
        <f>+N51</f>
        <v>23050</v>
      </c>
    </row>
    <row r="52" spans="1:16">
      <c r="B52" t="s">
        <v>100</v>
      </c>
      <c r="D52" s="27">
        <f>D50+D51</f>
        <v>13774.61</v>
      </c>
      <c r="E52" s="27">
        <f t="shared" ref="E52:M52" si="7">E50+E51</f>
        <v>564.59</v>
      </c>
      <c r="F52" s="27">
        <f t="shared" si="7"/>
        <v>0</v>
      </c>
      <c r="G52" s="27">
        <f t="shared" si="7"/>
        <v>7594.35</v>
      </c>
      <c r="H52" s="27">
        <f t="shared" si="7"/>
        <v>651.66</v>
      </c>
      <c r="I52" s="27">
        <f t="shared" si="7"/>
        <v>265.66000000000003</v>
      </c>
      <c r="J52" s="27">
        <f t="shared" si="7"/>
        <v>2187.85</v>
      </c>
      <c r="K52" s="27">
        <f t="shared" si="7"/>
        <v>0</v>
      </c>
      <c r="L52" s="27">
        <f t="shared" si="7"/>
        <v>0</v>
      </c>
      <c r="M52" s="27">
        <f t="shared" si="7"/>
        <v>151.56</v>
      </c>
      <c r="N52">
        <f>N50+N51</f>
        <v>25190.28</v>
      </c>
      <c r="O52" s="27"/>
      <c r="P52" s="27">
        <f>+N52</f>
        <v>25190.28</v>
      </c>
    </row>
    <row r="53" spans="1:16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B54" t="s">
        <v>109</v>
      </c>
      <c r="D54">
        <f>SUM(D15+D20+D25+D30+D35+D40+D45+D50)+'C-3 1 of 5'!D50</f>
        <v>161793.42000000001</v>
      </c>
      <c r="E54">
        <f>SUM(E15+E20+E25+E30+E35+E40+E45+E50)+'C-3 1 of 5'!E50</f>
        <v>31789.839999999997</v>
      </c>
      <c r="F54">
        <f>SUM(F15+F20+F25+F30+F35+F40+F45+F50)+'C-3 1 of 5'!F50</f>
        <v>3336</v>
      </c>
      <c r="G54">
        <f>SUM(G15+G20+G25+G30+G35+G40+G45+G50)+'C-3 1 of 5'!G50</f>
        <v>52316.569999999992</v>
      </c>
      <c r="H54">
        <f>SUM(H15+H20+H25+H30+H35+H40+H45+H50)+'C-3 1 of 5'!H50</f>
        <v>5853.76</v>
      </c>
      <c r="I54">
        <f>SUM(I15+I20+I25+I30+I35+I40+I45+I50)+'C-3 1 of 5'!I50</f>
        <v>2551.98</v>
      </c>
      <c r="J54">
        <f>SUM(J15+J20+J25+J30+J35+J40+J45+J50)+'C-3 1 of 5'!J50</f>
        <v>19428.96</v>
      </c>
      <c r="K54">
        <f>SUM(K15+K20+K25+K30+K35+K40+K45+K50)+'C-3 1 of 5'!K50</f>
        <v>0</v>
      </c>
      <c r="L54">
        <f>SUM(L15+L20+L25+L30+L35+L40+L45+L50)+'C-3 1 of 5'!L50</f>
        <v>5974.72</v>
      </c>
      <c r="M54">
        <f>SUM(M15+M20+M25+M30+M35+M40+M45+M50)+'C-3 1 of 5'!M50</f>
        <v>4206.05</v>
      </c>
      <c r="N54">
        <f>SUM(N15+N20+N25+N30+N35+N40+N45+N50)+'C-3 1 of 5'!N50</f>
        <v>287251.3</v>
      </c>
      <c r="O54">
        <f>SUM(O15+O20+O25+O30+O35+O45)+'C-3 1 of 5'!O51</f>
        <v>0</v>
      </c>
      <c r="P54">
        <f>SUM(P15+P20+P25+P30+P35+P40+P45+P50)+'C-3 1 of 5'!P50</f>
        <v>287251.3</v>
      </c>
    </row>
    <row r="55" spans="1:16">
      <c r="B55" s="5" t="s">
        <v>110</v>
      </c>
      <c r="D55" s="20">
        <f>SUM(D16+D21+D26+D31+D36+D41+D46+D51)+'C-3 1 of 5'!D51</f>
        <v>184150</v>
      </c>
      <c r="E55" s="20">
        <f>SUM(E16+E21+E26+E31+E36+E41+E46+E51)+'C-3 1 of 5'!E51</f>
        <v>43100</v>
      </c>
      <c r="F55" s="20">
        <f>SUM(F16+F21+F26+F31+F36+F41+F46+F51)+'C-3 1 of 5'!F51</f>
        <v>5000</v>
      </c>
      <c r="G55" s="20">
        <f>SUM(G16+G21+G26+G31+G36+G41+G46+G51)+'C-3 1 of 5'!G51</f>
        <v>66750</v>
      </c>
      <c r="H55" s="20">
        <f>SUM(H16+H21+H26+H31+H36+H41+H46+H51)+'C-3 1 of 5'!H51</f>
        <v>5850</v>
      </c>
      <c r="I55" s="20">
        <f>SUM(I16+I21+I26+I31+I36+I41+I46+I51)+'C-3 1 of 5'!I51</f>
        <v>4475</v>
      </c>
      <c r="J55" s="20">
        <f>SUM(J16+J21+J26+J31+J36+J41+J46+J51)+'C-3 1 of 5'!J51</f>
        <v>24650</v>
      </c>
      <c r="K55" s="20">
        <f>SUM(K16+K21+K26+K31+K36+K41+K46+K51)+'C-3 1 of 5'!K51</f>
        <v>0</v>
      </c>
      <c r="L55" s="20">
        <f>SUM(L16+L21+L26+L31+L36+L41+L46+L51)+'C-3 1 of 5'!L51</f>
        <v>18500</v>
      </c>
      <c r="M55" s="20">
        <f>SUM(M16+M21+M26+M31+M36+M41+M46+M51)+'C-3 1 of 5'!M51</f>
        <v>8950</v>
      </c>
      <c r="N55" s="20">
        <f>SUM(N16+N21+N26+N31+N36+N41+N46+N51)+'C-3 1 of 5'!N51</f>
        <v>361425</v>
      </c>
      <c r="O55" s="20">
        <f>SUM(O16+O21+O26+O31+O36+O46)+'C-3 1 of 5'!O52</f>
        <v>0</v>
      </c>
      <c r="P55" s="20">
        <f>SUM(P16+P21+P26+P31+P36+P41+P46+P51)+'C-3 1 of 5'!P51</f>
        <v>361425</v>
      </c>
    </row>
    <row r="56" spans="1:16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>
      <c r="B57" s="7" t="s">
        <v>174</v>
      </c>
    </row>
    <row r="58" spans="1:16">
      <c r="B58" s="5" t="s">
        <v>103</v>
      </c>
      <c r="N58">
        <f>SUM(D58:M58)</f>
        <v>0</v>
      </c>
      <c r="P58">
        <f>+N58</f>
        <v>0</v>
      </c>
    </row>
    <row r="59" spans="1:16">
      <c r="B59" s="5" t="s">
        <v>104</v>
      </c>
    </row>
    <row r="60" spans="1:16">
      <c r="B60" s="5" t="s">
        <v>105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5.75" thickBot="1">
      <c r="A62" s="5"/>
      <c r="B62" s="7" t="s">
        <v>74</v>
      </c>
      <c r="D62" s="19">
        <f>D54+D55</f>
        <v>345943.42000000004</v>
      </c>
      <c r="E62" s="19">
        <f t="shared" ref="E62:O62" si="8">E54+E55</f>
        <v>74889.84</v>
      </c>
      <c r="F62" s="19">
        <f t="shared" si="8"/>
        <v>8336</v>
      </c>
      <c r="G62" s="19">
        <f t="shared" si="8"/>
        <v>119066.56999999999</v>
      </c>
      <c r="H62" s="19">
        <f t="shared" si="8"/>
        <v>11703.76</v>
      </c>
      <c r="I62" s="19">
        <f t="shared" si="8"/>
        <v>7026.98</v>
      </c>
      <c r="J62" s="19">
        <f t="shared" si="8"/>
        <v>44078.96</v>
      </c>
      <c r="K62" s="19">
        <f t="shared" si="8"/>
        <v>0</v>
      </c>
      <c r="L62" s="19">
        <f t="shared" si="8"/>
        <v>24474.720000000001</v>
      </c>
      <c r="M62" s="19">
        <f t="shared" si="8"/>
        <v>13156.05</v>
      </c>
      <c r="N62" s="19">
        <f>N54+N55+N58</f>
        <v>648676.30000000005</v>
      </c>
      <c r="O62" s="19">
        <f t="shared" si="8"/>
        <v>0</v>
      </c>
      <c r="P62" s="19">
        <f>P54+P55+P58</f>
        <v>648676.30000000005</v>
      </c>
    </row>
    <row r="63" spans="1:16" ht="15.75" thickTop="1">
      <c r="A63" s="5"/>
      <c r="B63" s="5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6" spans="14:14">
      <c r="N66" s="16" t="s">
        <v>41</v>
      </c>
    </row>
    <row r="67" spans="14:14">
      <c r="N67" s="61" t="str">
        <f>'C-3 1 of 5'!N64</f>
        <v>DOCKET NO. 20180002-EG</v>
      </c>
    </row>
    <row r="68" spans="14:14">
      <c r="N68" s="60" t="s">
        <v>18</v>
      </c>
    </row>
    <row r="69" spans="14:14">
      <c r="N69" s="61" t="str">
        <f>'C-3 1 of 5'!N66</f>
        <v>(DNBM-1)</v>
      </c>
    </row>
    <row r="70" spans="14:14">
      <c r="N70" s="62" t="s">
        <v>216</v>
      </c>
    </row>
    <row r="71" spans="14:14">
      <c r="N71" s="60"/>
    </row>
  </sheetData>
  <phoneticPr fontId="0" type="noConversion"/>
  <pageMargins left="0.75" right="0.75" top="1" bottom="1" header="0.5" footer="0.5"/>
  <pageSetup scale="44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3:R49"/>
  <sheetViews>
    <sheetView zoomScale="75" zoomScaleNormal="75" workbookViewId="0">
      <selection activeCell="D6" sqref="D6"/>
    </sheetView>
  </sheetViews>
  <sheetFormatPr defaultRowHeight="15"/>
  <cols>
    <col min="1" max="1" width="5.77734375" customWidth="1"/>
    <col min="2" max="2" width="15.77734375" customWidth="1"/>
    <col min="3" max="3" width="12.6640625" customWidth="1"/>
    <col min="4" max="4" width="16.33203125" bestFit="1" customWidth="1"/>
    <col min="5" max="5" width="11.77734375" customWidth="1"/>
    <col min="6" max="6" width="14.6640625" customWidth="1"/>
    <col min="7" max="7" width="11.77734375" customWidth="1"/>
    <col min="8" max="8" width="10.6640625" customWidth="1"/>
    <col min="9" max="9" width="9.33203125" customWidth="1"/>
    <col min="10" max="10" width="9.77734375" customWidth="1"/>
    <col min="11" max="11" width="7.44140625" customWidth="1"/>
    <col min="12" max="12" width="10.88671875" customWidth="1"/>
    <col min="13" max="13" width="10.77734375" customWidth="1"/>
    <col min="14" max="14" width="13.109375" customWidth="1"/>
    <col min="15" max="15" width="10.6640625" customWidth="1"/>
    <col min="16" max="16" width="11.77734375" customWidth="1"/>
    <col min="17" max="17" width="13.77734375" customWidth="1"/>
    <col min="18" max="21" width="11.77734375" customWidth="1"/>
  </cols>
  <sheetData>
    <row r="3" spans="1:18" ht="15.75">
      <c r="B3" s="9" t="str">
        <f>+'C-3 1A of 5'!B3</f>
        <v>COMPANY: FLORIDA PUBLIC UTILITIES COMPANY - CONSOLIDATED ELECTRIC DIVISION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 t="s">
        <v>94</v>
      </c>
      <c r="R3" s="8"/>
    </row>
    <row r="4" spans="1:18" ht="15.75">
      <c r="B4" s="9" t="s">
        <v>111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 t="s">
        <v>112</v>
      </c>
      <c r="R4" s="8"/>
    </row>
    <row r="5" spans="1:18" ht="15.75">
      <c r="B5" s="9"/>
      <c r="C5" s="10" t="s">
        <v>40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.75">
      <c r="B6" s="9" t="s">
        <v>97</v>
      </c>
      <c r="C6" s="8"/>
      <c r="D6" s="35">
        <f>+'C-3 1A of 5'!D6</f>
        <v>43101</v>
      </c>
      <c r="E6" s="10" t="s">
        <v>19</v>
      </c>
      <c r="F6" s="35">
        <f>+'C-3 1A of 5'!F6</f>
        <v>43252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.75">
      <c r="B7" s="9" t="s">
        <v>77</v>
      </c>
      <c r="C7" s="8"/>
      <c r="D7" s="35">
        <f>+'C-3 1A of 5'!D7</f>
        <v>43282</v>
      </c>
      <c r="E7" s="10" t="s">
        <v>19</v>
      </c>
      <c r="F7" s="35">
        <f>+'C-3 1A of 5'!F7</f>
        <v>43435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5.7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5.7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5.7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>
      <c r="B11" s="8"/>
      <c r="C11" s="8"/>
      <c r="D11" s="8"/>
      <c r="E11" s="10" t="s">
        <v>79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5.75">
      <c r="B12" s="8"/>
      <c r="C12" s="8"/>
      <c r="D12" s="8"/>
      <c r="E12" s="15" t="s">
        <v>80</v>
      </c>
      <c r="F12" s="15" t="s">
        <v>5</v>
      </c>
      <c r="G12" s="15" t="s">
        <v>6</v>
      </c>
      <c r="H12" s="15" t="s">
        <v>7</v>
      </c>
      <c r="I12" s="15" t="s">
        <v>8</v>
      </c>
      <c r="J12" s="15" t="s">
        <v>9</v>
      </c>
      <c r="K12" s="15" t="s">
        <v>10</v>
      </c>
      <c r="L12" s="15" t="s">
        <v>13</v>
      </c>
      <c r="M12" s="15" t="s">
        <v>11</v>
      </c>
      <c r="N12" s="15" t="s">
        <v>12</v>
      </c>
      <c r="O12" s="15" t="s">
        <v>2</v>
      </c>
      <c r="P12" s="15" t="s">
        <v>3</v>
      </c>
      <c r="Q12" s="15" t="s">
        <v>4</v>
      </c>
      <c r="R12" s="15" t="s">
        <v>0</v>
      </c>
    </row>
    <row r="14" spans="1:18">
      <c r="A14" t="s">
        <v>27</v>
      </c>
      <c r="B14" s="7" t="s">
        <v>81</v>
      </c>
      <c r="E14" t="s">
        <v>93</v>
      </c>
    </row>
    <row r="15" spans="1:18">
      <c r="B15" s="7"/>
    </row>
    <row r="16" spans="1:18">
      <c r="A16" t="s">
        <v>29</v>
      </c>
      <c r="B16" s="7" t="s">
        <v>82</v>
      </c>
    </row>
    <row r="17" spans="1:18">
      <c r="B17" s="7"/>
    </row>
    <row r="18" spans="1:18" ht="15.75" thickBot="1">
      <c r="A18" t="s">
        <v>31</v>
      </c>
      <c r="B18" s="7" t="s">
        <v>83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15.75" thickTop="1">
      <c r="B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B20" s="7"/>
    </row>
    <row r="21" spans="1:18">
      <c r="A21" t="s">
        <v>33</v>
      </c>
      <c r="B21" s="7" t="s">
        <v>84</v>
      </c>
    </row>
    <row r="22" spans="1:18">
      <c r="B22" s="7"/>
    </row>
    <row r="23" spans="1:18">
      <c r="A23" t="s">
        <v>34</v>
      </c>
      <c r="B23" s="7" t="s">
        <v>85</v>
      </c>
    </row>
    <row r="24" spans="1:18">
      <c r="B24" s="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>
      <c r="B25" s="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t="s">
        <v>35</v>
      </c>
      <c r="B26" s="7" t="s">
        <v>86</v>
      </c>
    </row>
    <row r="27" spans="1:18">
      <c r="B27" s="7"/>
    </row>
    <row r="28" spans="1:18">
      <c r="B28" s="7"/>
    </row>
    <row r="29" spans="1:18">
      <c r="A29" t="s">
        <v>36</v>
      </c>
      <c r="B29" s="7" t="s">
        <v>87</v>
      </c>
    </row>
    <row r="30" spans="1:18">
      <c r="B30" s="7"/>
    </row>
    <row r="31" spans="1:18">
      <c r="A31" t="s">
        <v>38</v>
      </c>
      <c r="B31" s="7" t="s">
        <v>88</v>
      </c>
    </row>
    <row r="32" spans="1:18">
      <c r="B32" s="7"/>
    </row>
    <row r="33" spans="1:18">
      <c r="A33" t="s">
        <v>47</v>
      </c>
      <c r="B33" s="7" t="s">
        <v>89</v>
      </c>
    </row>
    <row r="34" spans="1:18">
      <c r="B34" s="7"/>
    </row>
    <row r="35" spans="1:18">
      <c r="A35" t="s">
        <v>21</v>
      </c>
      <c r="B35" s="7" t="s">
        <v>90</v>
      </c>
    </row>
    <row r="36" spans="1:18">
      <c r="B36" s="7"/>
    </row>
    <row r="37" spans="1:18">
      <c r="A37" t="s">
        <v>22</v>
      </c>
      <c r="B37" s="7" t="s">
        <v>91</v>
      </c>
    </row>
    <row r="38" spans="1:18" ht="15.75" thickBot="1">
      <c r="B38" s="7" t="s">
        <v>92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5" t="s">
        <v>93</v>
      </c>
    </row>
    <row r="39" spans="1:18" ht="15.75" thickTop="1">
      <c r="E39" s="5" t="s">
        <v>40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3" spans="1:18">
      <c r="P43" s="16" t="s">
        <v>41</v>
      </c>
    </row>
    <row r="44" spans="1:18">
      <c r="P44" s="61" t="str">
        <f>+'C-3 1A of 5'!N67</f>
        <v>DOCKET NO. 20180002-EG</v>
      </c>
    </row>
    <row r="45" spans="1:18">
      <c r="P45" s="60" t="s">
        <v>18</v>
      </c>
    </row>
    <row r="46" spans="1:18">
      <c r="P46" s="61" t="str">
        <f>+'C-3 1A of 5'!N69</f>
        <v>(DNBM-1)</v>
      </c>
    </row>
    <row r="47" spans="1:18">
      <c r="P47" s="62" t="s">
        <v>217</v>
      </c>
    </row>
    <row r="48" spans="1:18">
      <c r="P48" s="60"/>
    </row>
    <row r="49" spans="16:16">
      <c r="P49" s="60"/>
    </row>
  </sheetData>
  <phoneticPr fontId="0" type="noConversion"/>
  <pageMargins left="0.75" right="0.75" top="1" bottom="1" header="0.5" footer="0.5"/>
  <pageSetup scale="49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3:S51"/>
  <sheetViews>
    <sheetView zoomScaleNormal="100" workbookViewId="0">
      <selection activeCell="C3" sqref="C3"/>
    </sheetView>
  </sheetViews>
  <sheetFormatPr defaultRowHeight="15"/>
  <cols>
    <col min="1" max="1" width="3.77734375" customWidth="1"/>
    <col min="2" max="2" width="7.109375" customWidth="1"/>
    <col min="3" max="3" width="20.109375" customWidth="1"/>
    <col min="4" max="4" width="16.44140625" customWidth="1"/>
    <col min="5" max="5" width="16.33203125" bestFit="1" customWidth="1"/>
    <col min="6" max="6" width="11.77734375" customWidth="1"/>
    <col min="7" max="7" width="14.5546875" customWidth="1"/>
    <col min="8" max="11" width="11.77734375" customWidth="1"/>
    <col min="12" max="13" width="10.5546875" customWidth="1"/>
    <col min="14" max="14" width="12.33203125" bestFit="1" customWidth="1"/>
    <col min="15" max="15" width="11.109375" customWidth="1"/>
    <col min="16" max="17" width="11.44140625" bestFit="1" customWidth="1"/>
    <col min="18" max="18" width="13.109375" customWidth="1"/>
    <col min="19" max="19" width="11.77734375" customWidth="1"/>
  </cols>
  <sheetData>
    <row r="3" spans="1:19" ht="15.75">
      <c r="C3" s="9" t="str">
        <f>+'C-3 2 of 5'!B3</f>
        <v>COMPANY: FLORIDA PUBLIC UTILITIES COMPANY - CONSOLIDATED ELECTRIC DIVISION</v>
      </c>
      <c r="R3" s="8" t="s">
        <v>94</v>
      </c>
    </row>
    <row r="4" spans="1:19" ht="15.75">
      <c r="C4" s="9" t="s">
        <v>95</v>
      </c>
      <c r="R4" s="8" t="s">
        <v>113</v>
      </c>
    </row>
    <row r="5" spans="1:19" ht="15.75">
      <c r="C5" s="9"/>
      <c r="D5" s="5" t="s">
        <v>40</v>
      </c>
    </row>
    <row r="6" spans="1:19" ht="15.75">
      <c r="C6" s="9" t="s">
        <v>97</v>
      </c>
      <c r="E6" s="35">
        <f>+'C-3 2 of 5'!D6</f>
        <v>43101</v>
      </c>
      <c r="F6" s="10" t="s">
        <v>19</v>
      </c>
      <c r="G6" s="35">
        <f>+'C-3 2 of 5'!F6</f>
        <v>43252</v>
      </c>
    </row>
    <row r="7" spans="1:19" ht="15.75">
      <c r="C7" s="9" t="s">
        <v>77</v>
      </c>
      <c r="E7" s="35">
        <f>+'C-3 2 of 5'!D7</f>
        <v>43282</v>
      </c>
      <c r="F7" s="10" t="s">
        <v>19</v>
      </c>
      <c r="G7" s="35">
        <f>+'C-3 2 of 5'!F7</f>
        <v>43435</v>
      </c>
    </row>
    <row r="11" spans="1:19" ht="15.75">
      <c r="A11" s="8"/>
      <c r="B11" s="8"/>
      <c r="C11" s="8"/>
      <c r="D11" s="8"/>
      <c r="E11" s="91" t="s">
        <v>167</v>
      </c>
      <c r="F11" s="91"/>
      <c r="G11" s="91"/>
      <c r="H11" s="91"/>
      <c r="I11" s="91"/>
      <c r="J11" s="91"/>
      <c r="K11" s="10" t="s">
        <v>0</v>
      </c>
      <c r="L11" s="91" t="s">
        <v>185</v>
      </c>
      <c r="M11" s="91"/>
      <c r="N11" s="91"/>
      <c r="O11" s="91"/>
      <c r="P11" s="91"/>
      <c r="Q11" s="91"/>
      <c r="R11" s="10" t="s">
        <v>0</v>
      </c>
      <c r="S11" s="10" t="s">
        <v>114</v>
      </c>
    </row>
    <row r="12" spans="1:19" ht="15.75">
      <c r="A12" s="8"/>
      <c r="B12" s="8"/>
      <c r="C12" s="8"/>
      <c r="D12" s="8"/>
      <c r="E12" s="8"/>
      <c r="F12" s="8"/>
      <c r="G12" s="33"/>
      <c r="H12" s="8"/>
      <c r="I12" s="8"/>
      <c r="J12" s="8"/>
      <c r="K12" s="15" t="s">
        <v>1</v>
      </c>
      <c r="L12" s="33"/>
      <c r="M12" s="33"/>
      <c r="N12" s="8"/>
      <c r="O12" s="8"/>
      <c r="P12" s="8"/>
      <c r="Q12" s="8"/>
      <c r="R12" s="15" t="s">
        <v>115</v>
      </c>
      <c r="S12" s="15" t="s">
        <v>0</v>
      </c>
    </row>
    <row r="13" spans="1:19" ht="15.75">
      <c r="A13" s="13"/>
      <c r="B13" s="13" t="s">
        <v>45</v>
      </c>
      <c r="C13" s="12" t="s">
        <v>46</v>
      </c>
      <c r="D13" s="8"/>
      <c r="E13" s="15" t="s">
        <v>5</v>
      </c>
      <c r="F13" s="15" t="s">
        <v>6</v>
      </c>
      <c r="G13" s="15" t="s">
        <v>7</v>
      </c>
      <c r="H13" s="15" t="s">
        <v>8</v>
      </c>
      <c r="I13" s="15" t="s">
        <v>9</v>
      </c>
      <c r="J13" s="15" t="s">
        <v>10</v>
      </c>
      <c r="L13" s="46" t="s">
        <v>13</v>
      </c>
      <c r="M13" s="46" t="s">
        <v>173</v>
      </c>
      <c r="N13" s="15" t="s">
        <v>12</v>
      </c>
      <c r="O13" s="15" t="s">
        <v>2</v>
      </c>
      <c r="P13" s="15" t="s">
        <v>3</v>
      </c>
      <c r="Q13" s="15" t="s">
        <v>4</v>
      </c>
      <c r="R13" s="33"/>
      <c r="S13" s="8"/>
    </row>
    <row r="14" spans="1:19">
      <c r="C14" s="7"/>
    </row>
    <row r="15" spans="1:19">
      <c r="A15">
        <v>1</v>
      </c>
      <c r="B15" s="50" t="s">
        <v>188</v>
      </c>
      <c r="C15" t="s">
        <v>48</v>
      </c>
      <c r="E15">
        <v>32031.31</v>
      </c>
      <c r="F15">
        <v>41300.449999999997</v>
      </c>
      <c r="G15">
        <v>31116.7</v>
      </c>
      <c r="H15">
        <v>34710.049999999996</v>
      </c>
      <c r="I15">
        <v>40881.369999999995</v>
      </c>
      <c r="J15">
        <v>46072.67</v>
      </c>
      <c r="K15">
        <f>SUM(E15:J15)</f>
        <v>226112.55</v>
      </c>
      <c r="L15">
        <v>32641.666666666668</v>
      </c>
      <c r="M15">
        <v>32641.666666666668</v>
      </c>
      <c r="N15">
        <v>32641.666666666668</v>
      </c>
      <c r="O15">
        <v>32641.666666666668</v>
      </c>
      <c r="P15">
        <v>32641.666666666668</v>
      </c>
      <c r="Q15">
        <v>32641.666666666668</v>
      </c>
      <c r="R15">
        <f>SUM(L15:Q15)</f>
        <v>195850</v>
      </c>
      <c r="S15">
        <f>+R15+K15</f>
        <v>421962.55</v>
      </c>
    </row>
    <row r="16" spans="1:19">
      <c r="A16">
        <v>2</v>
      </c>
      <c r="B16" s="50" t="s">
        <v>189</v>
      </c>
      <c r="C16" s="18" t="s">
        <v>181</v>
      </c>
      <c r="E16">
        <v>7541.65</v>
      </c>
      <c r="F16">
        <v>10122.709999999999</v>
      </c>
      <c r="G16">
        <v>9664.18</v>
      </c>
      <c r="H16">
        <v>5655.67</v>
      </c>
      <c r="I16">
        <v>3665.28</v>
      </c>
      <c r="J16">
        <v>3912.99</v>
      </c>
      <c r="K16">
        <f t="shared" ref="K16:K32" si="0">SUM(E16:J16)</f>
        <v>40562.479999999996</v>
      </c>
      <c r="L16">
        <v>8716.6666666666661</v>
      </c>
      <c r="M16">
        <v>8716.6666666666661</v>
      </c>
      <c r="N16">
        <v>8716.6666666666661</v>
      </c>
      <c r="O16">
        <v>8716.6666666666661</v>
      </c>
      <c r="P16">
        <v>8716.6666666666661</v>
      </c>
      <c r="Q16">
        <v>8716.6666666666661</v>
      </c>
      <c r="R16">
        <f t="shared" ref="R16:R26" si="1">SUM(L16:Q16)</f>
        <v>52299.999999999993</v>
      </c>
      <c r="S16">
        <f t="shared" ref="S16:S26" si="2">+R16+K16</f>
        <v>92862.479999999981</v>
      </c>
    </row>
    <row r="17" spans="1:19">
      <c r="A17">
        <v>3</v>
      </c>
      <c r="B17" s="50" t="s">
        <v>199</v>
      </c>
      <c r="C17" s="1" t="s">
        <v>187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0"/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f t="shared" si="1"/>
        <v>0</v>
      </c>
      <c r="S17">
        <f t="shared" si="2"/>
        <v>0</v>
      </c>
    </row>
    <row r="18" spans="1:19">
      <c r="A18">
        <v>4</v>
      </c>
      <c r="B18" s="50" t="s">
        <v>200</v>
      </c>
      <c r="C18" s="1" t="s">
        <v>184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ref="K18" si="3">SUM(E18:J18)</f>
        <v>0</v>
      </c>
      <c r="L18">
        <v>1375</v>
      </c>
      <c r="M18">
        <v>1375</v>
      </c>
      <c r="N18">
        <v>1375</v>
      </c>
      <c r="O18">
        <v>1375</v>
      </c>
      <c r="P18">
        <v>1375</v>
      </c>
      <c r="Q18">
        <v>1375</v>
      </c>
      <c r="R18">
        <f t="shared" ref="R18" si="4">SUM(L18:Q18)</f>
        <v>8250</v>
      </c>
      <c r="S18">
        <f t="shared" ref="S18" si="5">+R18+K18</f>
        <v>8250</v>
      </c>
    </row>
    <row r="19" spans="1:19">
      <c r="A19">
        <v>5</v>
      </c>
      <c r="B19" s="50" t="s">
        <v>190</v>
      </c>
      <c r="C19" s="1" t="s">
        <v>203</v>
      </c>
      <c r="E19">
        <v>486.96</v>
      </c>
      <c r="F19">
        <v>332.29</v>
      </c>
      <c r="G19">
        <v>165.62</v>
      </c>
      <c r="H19">
        <v>165.62</v>
      </c>
      <c r="I19">
        <v>259.97000000000003</v>
      </c>
      <c r="J19">
        <v>190.62</v>
      </c>
      <c r="K19">
        <f t="shared" si="0"/>
        <v>1601.08</v>
      </c>
      <c r="L19">
        <v>925</v>
      </c>
      <c r="M19">
        <v>925</v>
      </c>
      <c r="N19">
        <v>925</v>
      </c>
      <c r="O19">
        <v>925</v>
      </c>
      <c r="P19">
        <v>925</v>
      </c>
      <c r="Q19">
        <v>925</v>
      </c>
      <c r="R19">
        <f t="shared" si="1"/>
        <v>5550</v>
      </c>
      <c r="S19">
        <f t="shared" si="2"/>
        <v>7151.08</v>
      </c>
    </row>
    <row r="20" spans="1:19">
      <c r="A20">
        <v>6</v>
      </c>
      <c r="B20" s="50" t="s">
        <v>191</v>
      </c>
      <c r="C20" s="1" t="s">
        <v>204</v>
      </c>
      <c r="E20">
        <v>1516.12</v>
      </c>
      <c r="F20">
        <v>1383.21</v>
      </c>
      <c r="G20">
        <v>1487.45</v>
      </c>
      <c r="H20">
        <v>4893.8500000000004</v>
      </c>
      <c r="I20">
        <v>1088.82</v>
      </c>
      <c r="J20">
        <v>3025.37</v>
      </c>
      <c r="K20">
        <f t="shared" si="0"/>
        <v>13394.82</v>
      </c>
      <c r="L20">
        <v>3220.8333333333335</v>
      </c>
      <c r="M20">
        <v>3220.8333333333335</v>
      </c>
      <c r="N20">
        <v>3220.8333333333335</v>
      </c>
      <c r="O20">
        <v>3220.8333333333335</v>
      </c>
      <c r="P20">
        <v>3220.8333333333335</v>
      </c>
      <c r="Q20">
        <v>3220.8333333333335</v>
      </c>
      <c r="R20">
        <f t="shared" si="1"/>
        <v>19325</v>
      </c>
      <c r="S20">
        <f t="shared" si="2"/>
        <v>32719.82</v>
      </c>
    </row>
    <row r="21" spans="1:19">
      <c r="A21">
        <v>7</v>
      </c>
      <c r="B21" s="50" t="s">
        <v>192</v>
      </c>
      <c r="C21" s="1" t="s">
        <v>205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f t="shared" si="1"/>
        <v>0</v>
      </c>
      <c r="S21">
        <f t="shared" si="2"/>
        <v>0</v>
      </c>
    </row>
    <row r="22" spans="1:19">
      <c r="A22">
        <v>8</v>
      </c>
      <c r="B22" s="50" t="s">
        <v>201</v>
      </c>
      <c r="C22" s="1" t="s">
        <v>206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0"/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f t="shared" si="1"/>
        <v>0</v>
      </c>
      <c r="S22">
        <f t="shared" si="2"/>
        <v>0</v>
      </c>
    </row>
    <row r="23" spans="1:19">
      <c r="A23">
        <v>9</v>
      </c>
      <c r="B23" s="50" t="s">
        <v>193</v>
      </c>
      <c r="C23" s="1" t="s">
        <v>180</v>
      </c>
      <c r="E23">
        <v>208.6</v>
      </c>
      <c r="F23">
        <v>332.29</v>
      </c>
      <c r="G23">
        <v>165.62</v>
      </c>
      <c r="H23">
        <v>165.62</v>
      </c>
      <c r="I23">
        <v>165.62</v>
      </c>
      <c r="J23">
        <v>190.62</v>
      </c>
      <c r="K23">
        <f t="shared" si="0"/>
        <v>1228.3699999999999</v>
      </c>
      <c r="L23">
        <v>1545.8333333333333</v>
      </c>
      <c r="M23">
        <v>1545.8333333333333</v>
      </c>
      <c r="N23">
        <v>1545.8333333333333</v>
      </c>
      <c r="O23">
        <v>1545.8333333333333</v>
      </c>
      <c r="P23">
        <v>1545.8333333333333</v>
      </c>
      <c r="Q23">
        <v>1545.8333333333333</v>
      </c>
      <c r="R23">
        <f t="shared" si="1"/>
        <v>9275</v>
      </c>
      <c r="S23">
        <f t="shared" si="2"/>
        <v>10503.369999999999</v>
      </c>
    </row>
    <row r="24" spans="1:19">
      <c r="A24">
        <v>10</v>
      </c>
      <c r="B24" s="50" t="s">
        <v>202</v>
      </c>
      <c r="C24" s="1" t="s">
        <v>207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0"/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f t="shared" si="1"/>
        <v>0</v>
      </c>
      <c r="S24">
        <f t="shared" si="2"/>
        <v>0</v>
      </c>
    </row>
    <row r="25" spans="1:19">
      <c r="A25">
        <v>11</v>
      </c>
      <c r="B25" s="50" t="s">
        <v>194</v>
      </c>
      <c r="C25" s="1" t="s">
        <v>208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0"/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f t="shared" si="1"/>
        <v>0</v>
      </c>
      <c r="S25">
        <f t="shared" si="2"/>
        <v>0</v>
      </c>
    </row>
    <row r="26" spans="1:19">
      <c r="A26">
        <v>12</v>
      </c>
      <c r="B26" s="50" t="s">
        <v>195</v>
      </c>
      <c r="C26" s="1" t="s">
        <v>209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0"/>
        <v>0</v>
      </c>
      <c r="L26">
        <v>6250</v>
      </c>
      <c r="M26">
        <v>6250</v>
      </c>
      <c r="N26">
        <v>6250</v>
      </c>
      <c r="O26">
        <v>6250</v>
      </c>
      <c r="P26">
        <v>6250</v>
      </c>
      <c r="Q26">
        <v>6250</v>
      </c>
      <c r="R26">
        <f t="shared" si="1"/>
        <v>37500</v>
      </c>
      <c r="S26">
        <f t="shared" si="2"/>
        <v>37500</v>
      </c>
    </row>
    <row r="27" spans="1:19">
      <c r="A27">
        <v>13</v>
      </c>
      <c r="B27" s="50" t="s">
        <v>196</v>
      </c>
      <c r="C27" s="1" t="s">
        <v>210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ref="K27" si="6">SUM(E27:J27)</f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f t="shared" ref="R27" si="7">SUM(L27:Q27)</f>
        <v>0</v>
      </c>
      <c r="S27">
        <f t="shared" ref="S27" si="8">+R27+K27</f>
        <v>0</v>
      </c>
    </row>
    <row r="28" spans="1:19">
      <c r="A28">
        <v>14</v>
      </c>
      <c r="B28" s="50" t="s">
        <v>197</v>
      </c>
      <c r="C28" s="1" t="s">
        <v>211</v>
      </c>
      <c r="E28">
        <v>1191.96</v>
      </c>
      <c r="F28">
        <v>332.28</v>
      </c>
      <c r="G28">
        <v>165.62</v>
      </c>
      <c r="H28">
        <v>165.62</v>
      </c>
      <c r="I28">
        <v>165.62</v>
      </c>
      <c r="J28">
        <v>190.62</v>
      </c>
      <c r="K28">
        <f t="shared" si="0"/>
        <v>2211.7199999999998</v>
      </c>
      <c r="L28">
        <v>1720.8333333333333</v>
      </c>
      <c r="M28">
        <v>1720.8333333333333</v>
      </c>
      <c r="N28">
        <v>1720.8333333333333</v>
      </c>
      <c r="O28">
        <v>1720.8333333333333</v>
      </c>
      <c r="P28">
        <v>1720.8333333333333</v>
      </c>
      <c r="Q28">
        <v>1720.8333333333333</v>
      </c>
      <c r="R28">
        <f t="shared" ref="R28:R32" si="9">SUM(L28:Q28)</f>
        <v>10325</v>
      </c>
      <c r="S28">
        <f t="shared" ref="S28:S32" si="10">+R28+K28</f>
        <v>12536.72</v>
      </c>
    </row>
    <row r="29" spans="1:19">
      <c r="A29">
        <v>15</v>
      </c>
      <c r="B29" s="50" t="s">
        <v>198</v>
      </c>
      <c r="C29" s="1" t="s">
        <v>186</v>
      </c>
      <c r="E29">
        <v>271.55</v>
      </c>
      <c r="F29">
        <v>0</v>
      </c>
      <c r="G29">
        <v>0</v>
      </c>
      <c r="H29">
        <v>805.35</v>
      </c>
      <c r="I29">
        <v>588.38</v>
      </c>
      <c r="J29">
        <v>475</v>
      </c>
      <c r="K29">
        <f t="shared" si="0"/>
        <v>2140.2800000000002</v>
      </c>
      <c r="L29">
        <v>3841.6666666666665</v>
      </c>
      <c r="M29">
        <v>3841.6666666666665</v>
      </c>
      <c r="N29">
        <v>3841.6666666666665</v>
      </c>
      <c r="O29">
        <v>3841.6666666666665</v>
      </c>
      <c r="P29">
        <v>3841.6666666666665</v>
      </c>
      <c r="Q29">
        <v>3841.6666666666665</v>
      </c>
      <c r="R29">
        <f t="shared" si="9"/>
        <v>23050</v>
      </c>
      <c r="S29">
        <f t="shared" si="10"/>
        <v>25190.28</v>
      </c>
    </row>
    <row r="30" spans="1:19">
      <c r="A30">
        <v>16</v>
      </c>
      <c r="C30" s="7"/>
      <c r="K30">
        <f t="shared" si="0"/>
        <v>0</v>
      </c>
      <c r="R30">
        <f t="shared" si="9"/>
        <v>0</v>
      </c>
      <c r="S30">
        <f t="shared" si="10"/>
        <v>0</v>
      </c>
    </row>
    <row r="31" spans="1:19">
      <c r="A31">
        <v>17</v>
      </c>
      <c r="C31" s="7" t="s">
        <v>171</v>
      </c>
      <c r="J31" s="38"/>
      <c r="K31">
        <f t="shared" si="0"/>
        <v>0</v>
      </c>
      <c r="N31" s="38"/>
      <c r="R31">
        <f t="shared" si="9"/>
        <v>0</v>
      </c>
      <c r="S31">
        <f t="shared" si="10"/>
        <v>0</v>
      </c>
    </row>
    <row r="32" spans="1:19">
      <c r="A32">
        <v>18</v>
      </c>
      <c r="C32" s="7"/>
      <c r="K32">
        <f t="shared" si="0"/>
        <v>0</v>
      </c>
      <c r="R32">
        <f t="shared" si="9"/>
        <v>0</v>
      </c>
      <c r="S32">
        <f t="shared" si="10"/>
        <v>0</v>
      </c>
    </row>
    <row r="33" spans="1:19">
      <c r="A33">
        <v>19</v>
      </c>
      <c r="C33" s="7"/>
    </row>
    <row r="34" spans="1:19">
      <c r="A34">
        <v>20</v>
      </c>
      <c r="B34" s="5"/>
      <c r="C34" s="7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>
      <c r="A35">
        <v>21</v>
      </c>
      <c r="C35" s="7" t="s">
        <v>49</v>
      </c>
      <c r="E35">
        <f>SUM(E15:E33)</f>
        <v>43248.15</v>
      </c>
      <c r="F35">
        <f t="shared" ref="F35:S35" si="11">SUM(F15:F33)</f>
        <v>53803.229999999996</v>
      </c>
      <c r="G35">
        <f t="shared" si="11"/>
        <v>42765.19000000001</v>
      </c>
      <c r="H35">
        <f t="shared" si="11"/>
        <v>46561.78</v>
      </c>
      <c r="I35">
        <f t="shared" si="11"/>
        <v>46815.06</v>
      </c>
      <c r="J35">
        <f t="shared" si="11"/>
        <v>54057.890000000007</v>
      </c>
      <c r="K35">
        <f t="shared" si="11"/>
        <v>287251.3</v>
      </c>
      <c r="L35">
        <f t="shared" si="11"/>
        <v>60237.500000000007</v>
      </c>
      <c r="M35">
        <f t="shared" si="11"/>
        <v>60237.500000000007</v>
      </c>
      <c r="N35">
        <f t="shared" si="11"/>
        <v>60237.500000000007</v>
      </c>
      <c r="O35">
        <f t="shared" si="11"/>
        <v>60237.500000000007</v>
      </c>
      <c r="P35">
        <f t="shared" si="11"/>
        <v>60237.500000000007</v>
      </c>
      <c r="Q35">
        <f t="shared" si="11"/>
        <v>60237.500000000007</v>
      </c>
      <c r="R35">
        <f t="shared" si="11"/>
        <v>361425</v>
      </c>
      <c r="S35">
        <f t="shared" si="11"/>
        <v>648676.29999999993</v>
      </c>
    </row>
    <row r="36" spans="1:19">
      <c r="A36">
        <v>22</v>
      </c>
      <c r="C36" s="7"/>
    </row>
    <row r="37" spans="1:19">
      <c r="A37">
        <v>23</v>
      </c>
      <c r="C37" s="7" t="s">
        <v>50</v>
      </c>
    </row>
    <row r="38" spans="1:19">
      <c r="A38">
        <v>24</v>
      </c>
      <c r="C38" s="7" t="s">
        <v>51</v>
      </c>
    </row>
    <row r="39" spans="1:19">
      <c r="A39">
        <v>25</v>
      </c>
      <c r="C39" s="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>
      <c r="A40">
        <v>26</v>
      </c>
      <c r="C40" s="7" t="s">
        <v>52</v>
      </c>
    </row>
    <row r="41" spans="1:19" ht="15.75" thickBot="1">
      <c r="A41">
        <v>27</v>
      </c>
      <c r="C41" s="7" t="s">
        <v>53</v>
      </c>
      <c r="E41" s="19">
        <f t="shared" ref="E41:S41" si="12">E35-E38</f>
        <v>43248.15</v>
      </c>
      <c r="F41" s="19">
        <f t="shared" si="12"/>
        <v>53803.229999999996</v>
      </c>
      <c r="G41" s="19">
        <f t="shared" si="12"/>
        <v>42765.19000000001</v>
      </c>
      <c r="H41" s="19">
        <f t="shared" si="12"/>
        <v>46561.78</v>
      </c>
      <c r="I41" s="19">
        <f t="shared" si="12"/>
        <v>46815.06</v>
      </c>
      <c r="J41" s="19">
        <f t="shared" si="12"/>
        <v>54057.890000000007</v>
      </c>
      <c r="K41" s="19">
        <f t="shared" si="12"/>
        <v>287251.3</v>
      </c>
      <c r="L41" s="19">
        <f t="shared" si="12"/>
        <v>60237.500000000007</v>
      </c>
      <c r="M41" s="19">
        <f t="shared" si="12"/>
        <v>60237.500000000007</v>
      </c>
      <c r="N41" s="19">
        <f t="shared" si="12"/>
        <v>60237.500000000007</v>
      </c>
      <c r="O41" s="19">
        <f t="shared" si="12"/>
        <v>60237.500000000007</v>
      </c>
      <c r="P41" s="19">
        <f t="shared" si="12"/>
        <v>60237.500000000007</v>
      </c>
      <c r="Q41" s="19">
        <f t="shared" si="12"/>
        <v>60237.500000000007</v>
      </c>
      <c r="R41" s="19">
        <f t="shared" si="12"/>
        <v>361425</v>
      </c>
      <c r="S41" s="19">
        <f t="shared" si="12"/>
        <v>648676.29999999993</v>
      </c>
    </row>
    <row r="42" spans="1:19" ht="15.75" thickTop="1">
      <c r="C42" s="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>
      <c r="C43" s="7"/>
    </row>
    <row r="44" spans="1:19">
      <c r="C44" s="7"/>
    </row>
    <row r="45" spans="1:19">
      <c r="C45" s="7"/>
    </row>
    <row r="46" spans="1:19">
      <c r="R46" s="60" t="s">
        <v>41</v>
      </c>
    </row>
    <row r="47" spans="1:19">
      <c r="R47" s="61" t="str">
        <f>+'C-3 2 of 5'!P44</f>
        <v>DOCKET NO. 20180002-EG</v>
      </c>
    </row>
    <row r="48" spans="1:19">
      <c r="R48" s="60" t="s">
        <v>18</v>
      </c>
    </row>
    <row r="49" spans="18:18">
      <c r="R49" s="61" t="str">
        <f>+'C-3 2 of 5'!P46</f>
        <v>(DNBM-1)</v>
      </c>
    </row>
    <row r="50" spans="18:18">
      <c r="R50" s="62" t="s">
        <v>218</v>
      </c>
    </row>
    <row r="51" spans="18:18">
      <c r="R51" s="60"/>
    </row>
  </sheetData>
  <mergeCells count="2">
    <mergeCell ref="E11:J11"/>
    <mergeCell ref="L11:Q11"/>
  </mergeCells>
  <phoneticPr fontId="0" type="noConversion"/>
  <pageMargins left="0.75" right="0.75" top="1" bottom="1" header="0.5" footer="0.5"/>
  <pageSetup scale="43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3:T70"/>
  <sheetViews>
    <sheetView zoomScale="75" zoomScaleNormal="75" workbookViewId="0">
      <selection activeCell="D8" sqref="D8"/>
    </sheetView>
  </sheetViews>
  <sheetFormatPr defaultRowHeight="15"/>
  <cols>
    <col min="1" max="1" width="5.77734375" customWidth="1"/>
    <col min="2" max="2" width="15.77734375" customWidth="1"/>
    <col min="3" max="3" width="12.44140625" customWidth="1"/>
    <col min="4" max="4" width="16.33203125" bestFit="1" customWidth="1"/>
    <col min="5" max="5" width="11.77734375" customWidth="1"/>
    <col min="6" max="6" width="15.44140625" bestFit="1" customWidth="1"/>
    <col min="7" max="15" width="11.77734375" customWidth="1"/>
    <col min="16" max="16" width="13" customWidth="1"/>
    <col min="17" max="17" width="10.88671875" customWidth="1"/>
    <col min="18" max="25" width="11.77734375" customWidth="1"/>
  </cols>
  <sheetData>
    <row r="3" spans="1:20" ht="15.75">
      <c r="B3" s="9" t="str">
        <f>+'C-3 3 of 5'!C3</f>
        <v>COMPANY: FLORIDA PUBLIC UTILITIES COMPANY - CONSOLIDATED ELECTRIC DIVISION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 t="s">
        <v>94</v>
      </c>
      <c r="Q3" s="8"/>
      <c r="R3" s="8"/>
      <c r="S3" s="8"/>
      <c r="T3" s="8"/>
    </row>
    <row r="4" spans="1:20" ht="15.75">
      <c r="B4" s="9" t="s">
        <v>25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116</v>
      </c>
      <c r="Q4" s="8"/>
      <c r="R4" s="8"/>
      <c r="S4" s="8"/>
      <c r="T4" s="8"/>
    </row>
    <row r="5" spans="1:20" ht="15.75">
      <c r="B5" s="9" t="s">
        <v>117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.75">
      <c r="B8" s="9" t="s">
        <v>97</v>
      </c>
      <c r="C8" s="8"/>
      <c r="D8" s="35">
        <f>+'C-3 3 of 5'!E6</f>
        <v>43101</v>
      </c>
      <c r="E8" s="10" t="s">
        <v>19</v>
      </c>
      <c r="F8" s="35">
        <f>+'C-3 3 of 5'!G6</f>
        <v>43252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>
      <c r="B9" s="9" t="s">
        <v>77</v>
      </c>
      <c r="C9" s="8"/>
      <c r="D9" s="35">
        <f>+'C-3 3 of 5'!E7</f>
        <v>43282</v>
      </c>
      <c r="E9" s="10" t="s">
        <v>19</v>
      </c>
      <c r="F9" s="35">
        <f>+'C-3 3 of 5'!G7</f>
        <v>43435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B10" s="7"/>
    </row>
    <row r="11" spans="1:20">
      <c r="B11" s="7"/>
    </row>
    <row r="12" spans="1:20" ht="15.75">
      <c r="B12" s="7"/>
      <c r="E12" s="15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13</v>
      </c>
      <c r="L12" s="15" t="s">
        <v>11</v>
      </c>
      <c r="M12" s="15" t="s">
        <v>12</v>
      </c>
      <c r="N12" s="15" t="s">
        <v>2</v>
      </c>
      <c r="O12" s="15" t="s">
        <v>3</v>
      </c>
      <c r="P12" s="15" t="s">
        <v>4</v>
      </c>
      <c r="Q12" s="15" t="s">
        <v>0</v>
      </c>
    </row>
    <row r="13" spans="1:20">
      <c r="A13" s="5" t="s">
        <v>118</v>
      </c>
      <c r="B13" s="7" t="s">
        <v>119</v>
      </c>
    </row>
    <row r="14" spans="1:20">
      <c r="A14" t="s">
        <v>27</v>
      </c>
      <c r="B14" s="7" t="s">
        <v>120</v>
      </c>
    </row>
    <row r="15" spans="1:20">
      <c r="B15" s="7" t="s">
        <v>121</v>
      </c>
    </row>
    <row r="16" spans="1:20">
      <c r="B16" s="7" t="s">
        <v>122</v>
      </c>
    </row>
    <row r="17" spans="1:17">
      <c r="B17" s="7" t="s">
        <v>123</v>
      </c>
    </row>
    <row r="18" spans="1:17">
      <c r="A18" t="s">
        <v>29</v>
      </c>
      <c r="B18" s="7" t="s">
        <v>124</v>
      </c>
    </row>
    <row r="19" spans="1:17">
      <c r="B19" s="7" t="s">
        <v>125</v>
      </c>
      <c r="E19" s="20">
        <v>-63940</v>
      </c>
      <c r="F19" s="20">
        <v>-49968</v>
      </c>
      <c r="G19" s="20">
        <v>-41403</v>
      </c>
      <c r="H19" s="20">
        <v>-44349</v>
      </c>
      <c r="I19" s="20">
        <v>-43727</v>
      </c>
      <c r="J19" s="20">
        <v>-60694</v>
      </c>
      <c r="K19" s="20">
        <v>-69683</v>
      </c>
      <c r="L19" s="20">
        <v>-69664</v>
      </c>
      <c r="M19" s="20">
        <v>-67969</v>
      </c>
      <c r="N19" s="20">
        <v>-56642</v>
      </c>
      <c r="O19" s="20">
        <v>-47297</v>
      </c>
      <c r="P19" s="20">
        <v>-47081</v>
      </c>
      <c r="Q19" s="20">
        <f>SUM(E19:P19)</f>
        <v>-662417</v>
      </c>
    </row>
    <row r="20" spans="1:17">
      <c r="B20" s="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t="s">
        <v>31</v>
      </c>
      <c r="B21" s="7" t="s">
        <v>126</v>
      </c>
      <c r="E21">
        <f t="shared" ref="E21:Q21" si="0">SUM(E15:E19)</f>
        <v>-63940</v>
      </c>
      <c r="F21">
        <f t="shared" si="0"/>
        <v>-49968</v>
      </c>
      <c r="G21">
        <f t="shared" si="0"/>
        <v>-41403</v>
      </c>
      <c r="H21">
        <f t="shared" si="0"/>
        <v>-44349</v>
      </c>
      <c r="I21">
        <f t="shared" si="0"/>
        <v>-43727</v>
      </c>
      <c r="J21">
        <f t="shared" si="0"/>
        <v>-60694</v>
      </c>
      <c r="K21">
        <f t="shared" si="0"/>
        <v>-69683</v>
      </c>
      <c r="L21">
        <f t="shared" si="0"/>
        <v>-69664</v>
      </c>
      <c r="M21">
        <f t="shared" si="0"/>
        <v>-67969</v>
      </c>
      <c r="N21">
        <f t="shared" si="0"/>
        <v>-56642</v>
      </c>
      <c r="O21">
        <f t="shared" si="0"/>
        <v>-47297</v>
      </c>
      <c r="P21">
        <f t="shared" si="0"/>
        <v>-47081</v>
      </c>
      <c r="Q21">
        <f t="shared" si="0"/>
        <v>-662417</v>
      </c>
    </row>
    <row r="22" spans="1:17">
      <c r="A22" t="s">
        <v>33</v>
      </c>
      <c r="B22" s="7" t="s">
        <v>127</v>
      </c>
    </row>
    <row r="23" spans="1:17">
      <c r="B23" s="7" t="s">
        <v>128</v>
      </c>
      <c r="E23" s="20">
        <f t="shared" ref="E23:O23" si="1">ROUND(+$Q$23/12,0)</f>
        <v>-5004</v>
      </c>
      <c r="F23" s="20">
        <f t="shared" si="1"/>
        <v>-5004</v>
      </c>
      <c r="G23" s="20">
        <f t="shared" si="1"/>
        <v>-5004</v>
      </c>
      <c r="H23" s="20">
        <f t="shared" si="1"/>
        <v>-5004</v>
      </c>
      <c r="I23" s="20">
        <f t="shared" si="1"/>
        <v>-5004</v>
      </c>
      <c r="J23" s="20">
        <f t="shared" si="1"/>
        <v>-5004</v>
      </c>
      <c r="K23" s="20">
        <f t="shared" si="1"/>
        <v>-5004</v>
      </c>
      <c r="L23" s="20">
        <f t="shared" si="1"/>
        <v>-5004</v>
      </c>
      <c r="M23" s="20">
        <f>ROUND(+$Q$23/12,0)</f>
        <v>-5004</v>
      </c>
      <c r="N23" s="20">
        <f t="shared" si="1"/>
        <v>-5004</v>
      </c>
      <c r="O23" s="20">
        <f t="shared" si="1"/>
        <v>-5004</v>
      </c>
      <c r="P23" s="20">
        <f>Q23-SUM(E23:O23)</f>
        <v>-4998</v>
      </c>
      <c r="Q23" s="20">
        <v>-60042</v>
      </c>
    </row>
    <row r="24" spans="1:17">
      <c r="B24" s="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t="s">
        <v>34</v>
      </c>
      <c r="B25" s="7" t="s">
        <v>119</v>
      </c>
    </row>
    <row r="26" spans="1:17">
      <c r="B26" s="7" t="s">
        <v>129</v>
      </c>
      <c r="E26">
        <f t="shared" ref="E26:Q26" si="2">E21+E23</f>
        <v>-68944</v>
      </c>
      <c r="F26">
        <f t="shared" si="2"/>
        <v>-54972</v>
      </c>
      <c r="G26">
        <f t="shared" si="2"/>
        <v>-46407</v>
      </c>
      <c r="H26">
        <f t="shared" si="2"/>
        <v>-49353</v>
      </c>
      <c r="I26">
        <f t="shared" si="2"/>
        <v>-48731</v>
      </c>
      <c r="J26">
        <f t="shared" si="2"/>
        <v>-65698</v>
      </c>
      <c r="K26">
        <f t="shared" si="2"/>
        <v>-74687</v>
      </c>
      <c r="L26">
        <f t="shared" si="2"/>
        <v>-74668</v>
      </c>
      <c r="M26">
        <f t="shared" si="2"/>
        <v>-72973</v>
      </c>
      <c r="N26">
        <f t="shared" si="2"/>
        <v>-61646</v>
      </c>
      <c r="O26">
        <f t="shared" si="2"/>
        <v>-52301</v>
      </c>
      <c r="P26">
        <f t="shared" si="2"/>
        <v>-52079</v>
      </c>
      <c r="Q26">
        <f t="shared" si="2"/>
        <v>-722459</v>
      </c>
    </row>
    <row r="27" spans="1:17">
      <c r="A27" t="s">
        <v>35</v>
      </c>
      <c r="B27" s="7" t="s">
        <v>130</v>
      </c>
    </row>
    <row r="28" spans="1:17">
      <c r="B28" s="7" t="s">
        <v>131</v>
      </c>
      <c r="E28" s="20">
        <f>+'C-3 3 of 5'!E41</f>
        <v>43248.15</v>
      </c>
      <c r="F28" s="20">
        <f>+'C-3 3 of 5'!F41</f>
        <v>53803.229999999996</v>
      </c>
      <c r="G28" s="20">
        <f>+'C-3 3 of 5'!G41</f>
        <v>42765.19000000001</v>
      </c>
      <c r="H28" s="20">
        <f>+'C-3 3 of 5'!H41</f>
        <v>46561.78</v>
      </c>
      <c r="I28" s="20">
        <f>+'C-3 3 of 5'!I41</f>
        <v>46815.06</v>
      </c>
      <c r="J28" s="20">
        <f>+'C-3 3 of 5'!J41</f>
        <v>54057.890000000007</v>
      </c>
      <c r="K28" s="20">
        <f>+'C-3 3 of 5'!L41</f>
        <v>60237.500000000007</v>
      </c>
      <c r="L28" s="20">
        <f>+'C-3 3 of 5'!M41</f>
        <v>60237.500000000007</v>
      </c>
      <c r="M28" s="20">
        <f>+'C-3 3 of 5'!N41</f>
        <v>60237.500000000007</v>
      </c>
      <c r="N28" s="20">
        <f>+'C-3 3 of 5'!O41</f>
        <v>60237.500000000007</v>
      </c>
      <c r="O28" s="20">
        <f>+'C-3 3 of 5'!P41</f>
        <v>60237.500000000007</v>
      </c>
      <c r="P28" s="20">
        <f>+'C-3 3 of 5'!Q41</f>
        <v>60237.500000000007</v>
      </c>
      <c r="Q28" s="20">
        <f>SUM(E28:P28)</f>
        <v>648676.30000000005</v>
      </c>
    </row>
    <row r="29" spans="1:17">
      <c r="B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t="s">
        <v>36</v>
      </c>
      <c r="B30" s="7" t="s">
        <v>132</v>
      </c>
      <c r="E30">
        <f>E26+E28</f>
        <v>-25695.85</v>
      </c>
      <c r="F30">
        <f t="shared" ref="F30:Q30" si="3">F26+F28</f>
        <v>-1168.7700000000041</v>
      </c>
      <c r="G30">
        <f t="shared" si="3"/>
        <v>-3641.8099999999904</v>
      </c>
      <c r="H30">
        <f t="shared" si="3"/>
        <v>-2791.2200000000012</v>
      </c>
      <c r="I30">
        <f t="shared" si="3"/>
        <v>-1915.9400000000023</v>
      </c>
      <c r="J30">
        <f t="shared" si="3"/>
        <v>-11640.109999999993</v>
      </c>
      <c r="K30">
        <f t="shared" si="3"/>
        <v>-14449.499999999993</v>
      </c>
      <c r="L30">
        <f t="shared" si="3"/>
        <v>-14430.499999999993</v>
      </c>
      <c r="M30">
        <f t="shared" si="3"/>
        <v>-12735.499999999993</v>
      </c>
      <c r="N30">
        <f t="shared" si="3"/>
        <v>-1408.4999999999927</v>
      </c>
      <c r="O30">
        <f t="shared" si="3"/>
        <v>7936.5000000000073</v>
      </c>
      <c r="P30">
        <f t="shared" si="3"/>
        <v>8158.5000000000073</v>
      </c>
      <c r="Q30">
        <f t="shared" si="3"/>
        <v>-73782.699999999953</v>
      </c>
    </row>
    <row r="31" spans="1:17">
      <c r="B31" s="7"/>
    </row>
    <row r="32" spans="1:17">
      <c r="A32" t="s">
        <v>38</v>
      </c>
      <c r="B32" s="7" t="s">
        <v>133</v>
      </c>
    </row>
    <row r="33" spans="1:17">
      <c r="B33" s="7" t="s">
        <v>134</v>
      </c>
      <c r="E33">
        <f>+'C-3 5 of 5'!E31</f>
        <v>-88</v>
      </c>
      <c r="F33">
        <f>+'C-3 5 of 5'!F31</f>
        <v>-104</v>
      </c>
      <c r="G33">
        <f>+'C-3 5 of 5'!G31</f>
        <v>-112</v>
      </c>
      <c r="H33">
        <f>+'C-3 5 of 5'!H31</f>
        <v>-117</v>
      </c>
      <c r="I33">
        <f>+'C-3 5 of 5'!I31</f>
        <v>-113</v>
      </c>
      <c r="J33">
        <f>+'C-3 5 of 5'!J31</f>
        <v>-119</v>
      </c>
      <c r="K33">
        <f>+'C-3 5 of 5'!K31</f>
        <v>-137</v>
      </c>
      <c r="L33">
        <f>+'C-3 5 of 5'!L31</f>
        <v>-153</v>
      </c>
      <c r="M33">
        <f>+'C-3 5 of 5'!M31</f>
        <v>-168</v>
      </c>
      <c r="N33">
        <f>+'C-3 5 of 5'!N31</f>
        <v>-171</v>
      </c>
      <c r="O33">
        <f>+'C-3 5 of 5'!O31</f>
        <v>-158</v>
      </c>
      <c r="P33">
        <f>+'C-3 5 of 5'!P31</f>
        <v>-136</v>
      </c>
      <c r="Q33">
        <f>+'C-3 5 of 5'!Q31</f>
        <v>-1576</v>
      </c>
    </row>
    <row r="34" spans="1:17">
      <c r="A34" t="s">
        <v>47</v>
      </c>
      <c r="B34" s="7" t="s">
        <v>135</v>
      </c>
      <c r="E34">
        <f>+Q23</f>
        <v>-60042</v>
      </c>
      <c r="F34">
        <f t="shared" ref="F34:P34" si="4">E41</f>
        <v>-80821.850000000006</v>
      </c>
      <c r="G34">
        <f t="shared" si="4"/>
        <v>-77090.62000000001</v>
      </c>
      <c r="H34">
        <f t="shared" si="4"/>
        <v>-75840.429999999993</v>
      </c>
      <c r="I34">
        <f t="shared" si="4"/>
        <v>-73744.649999999994</v>
      </c>
      <c r="J34">
        <f t="shared" si="4"/>
        <v>-70769.59</v>
      </c>
      <c r="K34">
        <f t="shared" si="4"/>
        <v>-77524.699999999983</v>
      </c>
      <c r="L34">
        <f t="shared" si="4"/>
        <v>-87107.199999999983</v>
      </c>
      <c r="M34">
        <f t="shared" si="4"/>
        <v>-96686.699999999983</v>
      </c>
      <c r="N34">
        <f t="shared" si="4"/>
        <v>-104586.19999999998</v>
      </c>
      <c r="O34">
        <f t="shared" si="4"/>
        <v>-101161.69999999998</v>
      </c>
      <c r="P34">
        <f t="shared" si="4"/>
        <v>-88379.199999999983</v>
      </c>
      <c r="Q34">
        <f>+E34</f>
        <v>-60042</v>
      </c>
    </row>
    <row r="35" spans="1:17">
      <c r="B35" s="7"/>
    </row>
    <row r="36" spans="1:17">
      <c r="A36" t="s">
        <v>21</v>
      </c>
      <c r="B36" s="7" t="s">
        <v>175</v>
      </c>
    </row>
    <row r="37" spans="1:17">
      <c r="B37" s="7" t="s">
        <v>176</v>
      </c>
      <c r="E37" s="20">
        <f t="shared" ref="E37:Q37" si="5">E23*-1</f>
        <v>5004</v>
      </c>
      <c r="F37" s="20">
        <f t="shared" si="5"/>
        <v>5004</v>
      </c>
      <c r="G37" s="20">
        <f t="shared" si="5"/>
        <v>5004</v>
      </c>
      <c r="H37" s="20">
        <f t="shared" si="5"/>
        <v>5004</v>
      </c>
      <c r="I37" s="20">
        <f t="shared" si="5"/>
        <v>5004</v>
      </c>
      <c r="J37" s="20">
        <f t="shared" si="5"/>
        <v>5004</v>
      </c>
      <c r="K37" s="20">
        <f t="shared" si="5"/>
        <v>5004</v>
      </c>
      <c r="L37" s="20">
        <f t="shared" si="5"/>
        <v>5004</v>
      </c>
      <c r="M37" s="20">
        <f t="shared" si="5"/>
        <v>5004</v>
      </c>
      <c r="N37" s="20">
        <f t="shared" si="5"/>
        <v>5004</v>
      </c>
      <c r="O37" s="20">
        <f t="shared" si="5"/>
        <v>5004</v>
      </c>
      <c r="P37" s="20">
        <f t="shared" si="5"/>
        <v>4998</v>
      </c>
      <c r="Q37" s="20">
        <f t="shared" si="5"/>
        <v>60042</v>
      </c>
    </row>
    <row r="38" spans="1:17">
      <c r="B38" s="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>
      <c r="B39" s="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>
        <f>SUM(E39:P39)</f>
        <v>0</v>
      </c>
    </row>
    <row r="40" spans="1:17">
      <c r="A40" t="s">
        <v>22</v>
      </c>
      <c r="B40" s="7" t="s">
        <v>136</v>
      </c>
    </row>
    <row r="41" spans="1:17" ht="15.75" thickBot="1">
      <c r="B41" s="7" t="s">
        <v>137</v>
      </c>
      <c r="E41" s="19">
        <f t="shared" ref="E41:P41" si="6">SUM(E30:E37)</f>
        <v>-80821.850000000006</v>
      </c>
      <c r="F41" s="19">
        <f t="shared" si="6"/>
        <v>-77090.62000000001</v>
      </c>
      <c r="G41" s="19">
        <f t="shared" si="6"/>
        <v>-75840.429999999993</v>
      </c>
      <c r="H41" s="19">
        <f t="shared" si="6"/>
        <v>-73744.649999999994</v>
      </c>
      <c r="I41" s="19">
        <f t="shared" si="6"/>
        <v>-70769.59</v>
      </c>
      <c r="J41" s="19">
        <f t="shared" si="6"/>
        <v>-77524.699999999983</v>
      </c>
      <c r="K41" s="56">
        <f>SUM(K30:K37)+K39</f>
        <v>-87107.199999999983</v>
      </c>
      <c r="L41" s="56">
        <f>SUM(L30:L37)</f>
        <v>-96686.699999999983</v>
      </c>
      <c r="M41" s="56">
        <f t="shared" si="6"/>
        <v>-104586.19999999998</v>
      </c>
      <c r="N41" s="56">
        <f t="shared" si="6"/>
        <v>-101161.69999999998</v>
      </c>
      <c r="O41" s="56">
        <f t="shared" si="6"/>
        <v>-88379.199999999983</v>
      </c>
      <c r="P41" s="19">
        <f t="shared" si="6"/>
        <v>-75358.699999999983</v>
      </c>
      <c r="Q41" s="19">
        <f>SUM(Q30:Q37)+Q39</f>
        <v>-75358.699999999953</v>
      </c>
    </row>
    <row r="42" spans="1:17" ht="15.75" thickTop="1">
      <c r="B42" s="7"/>
      <c r="E42" s="4"/>
      <c r="F42" s="4"/>
      <c r="G42" s="4"/>
      <c r="H42" s="4"/>
      <c r="I42" s="4"/>
      <c r="J42" s="4"/>
      <c r="K42" s="48"/>
      <c r="L42" s="48"/>
      <c r="M42" s="48"/>
      <c r="N42" s="48"/>
      <c r="O42" s="48"/>
      <c r="P42" s="4"/>
      <c r="Q42" s="4"/>
    </row>
    <row r="43" spans="1:17">
      <c r="B43" s="7"/>
      <c r="K43" s="50"/>
      <c r="L43" s="50"/>
      <c r="M43" s="50"/>
      <c r="N43" s="50"/>
      <c r="O43" s="50"/>
    </row>
    <row r="44" spans="1:17">
      <c r="B44" s="7"/>
      <c r="K44" s="50"/>
      <c r="L44" s="50"/>
      <c r="M44" s="50"/>
      <c r="N44" s="50"/>
      <c r="O44" s="50"/>
    </row>
    <row r="45" spans="1:17">
      <c r="B45" s="7"/>
      <c r="K45" s="50"/>
      <c r="L45" s="50"/>
      <c r="M45" s="50"/>
      <c r="N45" s="50"/>
      <c r="O45" s="50"/>
    </row>
    <row r="46" spans="1:17">
      <c r="B46" s="7"/>
      <c r="K46" s="50"/>
      <c r="L46" s="50"/>
      <c r="M46" s="50"/>
      <c r="N46" s="50"/>
      <c r="O46" s="50" t="s">
        <v>41</v>
      </c>
    </row>
    <row r="47" spans="1:17">
      <c r="B47" s="7"/>
      <c r="K47" s="50"/>
      <c r="L47" s="50"/>
      <c r="M47" s="50"/>
      <c r="N47" s="50"/>
      <c r="O47" s="55" t="str">
        <f>+'C-3 3 of 5'!R47</f>
        <v>DOCKET NO. 20180002-EG</v>
      </c>
    </row>
    <row r="48" spans="1:17">
      <c r="K48" s="50"/>
      <c r="L48" s="50"/>
      <c r="M48" s="50"/>
      <c r="N48" s="50"/>
      <c r="O48" s="50" t="s">
        <v>18</v>
      </c>
    </row>
    <row r="49" spans="11:15">
      <c r="K49" s="50"/>
      <c r="L49" s="50"/>
      <c r="M49" s="50"/>
      <c r="N49" s="50"/>
      <c r="O49" s="55" t="str">
        <f>+'C-3 3 of 5'!R49</f>
        <v>(DNBM-1)</v>
      </c>
    </row>
    <row r="50" spans="11:15">
      <c r="K50" s="50"/>
      <c r="L50" s="50"/>
      <c r="M50" s="50"/>
      <c r="N50" s="50"/>
      <c r="O50" s="72" t="s">
        <v>219</v>
      </c>
    </row>
    <row r="51" spans="11:15">
      <c r="K51" s="50"/>
      <c r="L51" s="50"/>
      <c r="M51" s="50"/>
      <c r="N51" s="50"/>
      <c r="O51" s="50"/>
    </row>
    <row r="52" spans="11:15">
      <c r="K52" s="50"/>
      <c r="L52" s="50"/>
      <c r="M52" s="50"/>
      <c r="N52" s="50"/>
      <c r="O52" s="50"/>
    </row>
    <row r="53" spans="11:15">
      <c r="K53" s="50"/>
      <c r="L53" s="50"/>
      <c r="M53" s="50"/>
      <c r="N53" s="50"/>
      <c r="O53" s="50"/>
    </row>
    <row r="54" spans="11:15">
      <c r="K54" s="50"/>
      <c r="L54" s="50"/>
      <c r="M54" s="50"/>
      <c r="N54" s="50"/>
      <c r="O54" s="50"/>
    </row>
    <row r="55" spans="11:15">
      <c r="K55" s="50"/>
      <c r="L55" s="50"/>
      <c r="M55" s="50"/>
      <c r="N55" s="50"/>
      <c r="O55" s="50"/>
    </row>
    <row r="56" spans="11:15">
      <c r="K56" s="50"/>
      <c r="L56" s="50"/>
      <c r="M56" s="50"/>
      <c r="N56" s="50"/>
      <c r="O56" s="50"/>
    </row>
    <row r="57" spans="11:15">
      <c r="K57" s="50"/>
      <c r="L57" s="50"/>
      <c r="M57" s="50"/>
      <c r="N57" s="50"/>
      <c r="O57" s="50"/>
    </row>
    <row r="58" spans="11:15">
      <c r="K58" s="50"/>
      <c r="L58" s="50"/>
      <c r="M58" s="50"/>
      <c r="N58" s="50"/>
      <c r="O58" s="50"/>
    </row>
    <row r="59" spans="11:15">
      <c r="K59" s="50"/>
      <c r="L59" s="50"/>
      <c r="M59" s="50"/>
      <c r="N59" s="50"/>
      <c r="O59" s="50"/>
    </row>
    <row r="60" spans="11:15">
      <c r="K60" s="50"/>
      <c r="L60" s="50"/>
      <c r="M60" s="50"/>
      <c r="N60" s="50"/>
      <c r="O60" s="50"/>
    </row>
    <row r="61" spans="11:15">
      <c r="K61" s="50"/>
      <c r="L61" s="50"/>
      <c r="M61" s="50"/>
      <c r="N61" s="50"/>
      <c r="O61" s="50"/>
    </row>
    <row r="62" spans="11:15">
      <c r="K62" s="50"/>
      <c r="L62" s="50"/>
      <c r="M62" s="50"/>
      <c r="N62" s="50"/>
      <c r="O62" s="50"/>
    </row>
    <row r="63" spans="11:15">
      <c r="K63" s="50"/>
      <c r="L63" s="50"/>
      <c r="M63" s="50"/>
      <c r="N63" s="50"/>
      <c r="O63" s="50"/>
    </row>
    <row r="64" spans="11:15">
      <c r="K64" s="50"/>
      <c r="L64" s="50"/>
      <c r="M64" s="50"/>
      <c r="N64" s="50"/>
      <c r="O64" s="50"/>
    </row>
    <row r="65" spans="11:15">
      <c r="K65" s="50"/>
      <c r="L65" s="50"/>
      <c r="M65" s="50"/>
      <c r="N65" s="50"/>
      <c r="O65" s="50"/>
    </row>
    <row r="66" spans="11:15">
      <c r="K66" s="50"/>
      <c r="L66" s="50"/>
      <c r="M66" s="50"/>
      <c r="N66" s="50"/>
      <c r="O66" s="50"/>
    </row>
    <row r="67" spans="11:15">
      <c r="K67" s="50"/>
      <c r="L67" s="50"/>
      <c r="M67" s="50"/>
      <c r="N67" s="50"/>
      <c r="O67" s="50"/>
    </row>
    <row r="68" spans="11:15">
      <c r="K68" s="50"/>
      <c r="L68" s="50"/>
      <c r="M68" s="50"/>
      <c r="N68" s="50"/>
      <c r="O68" s="50"/>
    </row>
    <row r="69" spans="11:15">
      <c r="K69" s="50"/>
      <c r="L69" s="50"/>
      <c r="M69" s="50"/>
      <c r="N69" s="50"/>
      <c r="O69" s="50"/>
    </row>
    <row r="70" spans="11:15">
      <c r="K70" s="50"/>
      <c r="L70" s="50"/>
      <c r="M70" s="50"/>
      <c r="N70" s="50"/>
      <c r="O70" s="50"/>
    </row>
  </sheetData>
  <phoneticPr fontId="0" type="noConversion"/>
  <pageMargins left="0.75" right="0.75" top="1" bottom="1" header="0.5" footer="0.5"/>
  <pageSetup scale="4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C-1 </vt:lpstr>
      <vt:lpstr>C-2 1 of 3</vt:lpstr>
      <vt:lpstr>C-2 2 of 3</vt:lpstr>
      <vt:lpstr>C-2 3 of 3</vt:lpstr>
      <vt:lpstr>C-3 1 of 5</vt:lpstr>
      <vt:lpstr>C-3 1A of 5</vt:lpstr>
      <vt:lpstr>C-3 2 of 5</vt:lpstr>
      <vt:lpstr>C-3 3 of 5</vt:lpstr>
      <vt:lpstr>C-3 4 of 5</vt:lpstr>
      <vt:lpstr>C-3 5 of 5</vt:lpstr>
      <vt:lpstr>C-4 </vt:lpstr>
      <vt:lpstr>_C1P1</vt:lpstr>
      <vt:lpstr>_C2P1</vt:lpstr>
      <vt:lpstr>_C2P2</vt:lpstr>
      <vt:lpstr>_C2P3</vt:lpstr>
      <vt:lpstr>'C-2 1 of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Cowart, Andrea</dc:creator>
  <cp:lastModifiedBy>Windows User</cp:lastModifiedBy>
  <cp:lastPrinted>2019-06-06T17:31:22Z</cp:lastPrinted>
  <dcterms:created xsi:type="dcterms:W3CDTF">2019-06-06T17:28:50Z</dcterms:created>
  <dcterms:modified xsi:type="dcterms:W3CDTF">2019-06-06T17:36:44Z</dcterms:modified>
</cp:coreProperties>
</file>