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REGULATORY MATTERS 2009 FORWARD\20200069 - 2020-2029 Storm Protection Plan\Discovery\OPC POD 3 (31-53)\Attachments\Q31\"/>
    </mc:Choice>
  </mc:AlternateContent>
  <xr:revisionPtr revIDLastSave="0" documentId="13_ncr:1_{EDA9B62B-3FDA-4277-AB54-18525C855114}" xr6:coauthVersionLast="41" xr6:coauthVersionMax="41" xr10:uidLastSave="{00000000-0000-0000-0000-000000000000}"/>
  <bookViews>
    <workbookView xWindow="-110" yWindow="-110" windowWidth="19420" windowHeight="10420" tabRatio="873" activeTab="4" xr2:uid="{00000000-000D-0000-FFFF-FFFF00000000}"/>
  </bookViews>
  <sheets>
    <sheet name="Pole Replacement - 2020" sheetId="13" r:id="rId1"/>
    <sheet name="Pole-Tower Inspect - 2020" sheetId="23" r:id="rId2"/>
    <sheet name="Tower Replacements - 2020" sheetId="11" r:id="rId3"/>
    <sheet name="OH Ground Wires - 2020" sheetId="33" r:id="rId4"/>
    <sheet name="Substation Hardening - 2020" sheetId="35" r:id="rId5"/>
  </sheets>
  <definedNames>
    <definedName name="_xlnm._FilterDatabase" localSheetId="0" hidden="1">'Pole Replacement - 2020'!$A$3:$H$45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" i="35" l="1"/>
  <c r="C7" i="35"/>
  <c r="C6" i="35"/>
  <c r="C5" i="35"/>
  <c r="D54" i="13"/>
  <c r="D48" i="13"/>
  <c r="D47" i="13"/>
  <c r="D46" i="13"/>
  <c r="D45" i="13"/>
  <c r="C20" i="23" l="1"/>
  <c r="C17" i="23"/>
  <c r="C15" i="23"/>
  <c r="C8" i="23"/>
  <c r="C116" i="23"/>
  <c r="C115" i="23"/>
  <c r="C114" i="23"/>
  <c r="C113" i="23"/>
  <c r="C111" i="23"/>
  <c r="C110" i="23"/>
  <c r="C109" i="23"/>
  <c r="C108" i="23"/>
  <c r="C107" i="23"/>
  <c r="C106" i="23"/>
  <c r="C105" i="23"/>
  <c r="C104" i="23"/>
  <c r="C103" i="23"/>
  <c r="C102" i="23"/>
  <c r="C101" i="23"/>
  <c r="C100" i="23"/>
  <c r="C99" i="23"/>
  <c r="C98" i="23"/>
  <c r="C97" i="23"/>
  <c r="C96" i="23"/>
  <c r="C95" i="23"/>
  <c r="C94" i="23"/>
  <c r="C93" i="23"/>
  <c r="C92" i="23"/>
  <c r="C91" i="23"/>
  <c r="C90" i="23"/>
  <c r="C89" i="23"/>
  <c r="C88" i="23"/>
  <c r="C87" i="23"/>
  <c r="C86" i="23"/>
  <c r="C85" i="23"/>
  <c r="C84" i="23"/>
  <c r="C83" i="23"/>
  <c r="C82" i="23"/>
  <c r="C81" i="23"/>
  <c r="C80" i="23"/>
  <c r="C79" i="23"/>
  <c r="C78" i="23"/>
  <c r="C77" i="23"/>
  <c r="C76" i="23"/>
  <c r="C75" i="23"/>
  <c r="C74" i="23"/>
  <c r="C73" i="23"/>
  <c r="C72" i="23"/>
  <c r="C71" i="23"/>
  <c r="C70" i="23"/>
  <c r="C69" i="23"/>
  <c r="C68" i="23"/>
  <c r="C67" i="23"/>
  <c r="C66" i="23"/>
  <c r="C65" i="23"/>
  <c r="C64" i="23"/>
  <c r="C63" i="23"/>
  <c r="C62" i="23"/>
  <c r="C61" i="23"/>
  <c r="C60" i="23"/>
  <c r="C58" i="23"/>
  <c r="C57" i="23"/>
  <c r="C56" i="23"/>
  <c r="C55" i="23"/>
  <c r="C54" i="23"/>
  <c r="C53" i="23"/>
  <c r="C52" i="23"/>
  <c r="C51" i="23"/>
  <c r="C50" i="23"/>
  <c r="C49" i="23"/>
  <c r="C48" i="23"/>
  <c r="C47" i="23"/>
  <c r="C46" i="23"/>
  <c r="C45" i="23"/>
  <c r="C44" i="23"/>
  <c r="C43" i="23"/>
  <c r="C42" i="23"/>
  <c r="C41" i="23"/>
  <c r="C40" i="23"/>
  <c r="C39" i="23"/>
  <c r="C38" i="23"/>
  <c r="C37" i="23"/>
  <c r="C36" i="23"/>
  <c r="C35" i="23"/>
  <c r="C34" i="23"/>
  <c r="C33" i="23"/>
  <c r="C30" i="23"/>
  <c r="D6" i="33"/>
  <c r="D5" i="33"/>
  <c r="D4" i="33"/>
  <c r="D116" i="23"/>
  <c r="D115" i="23"/>
  <c r="D114" i="23"/>
  <c r="D113" i="23"/>
  <c r="D112" i="23"/>
  <c r="D111" i="23"/>
  <c r="D110" i="23"/>
  <c r="D109" i="23"/>
  <c r="D108" i="23"/>
  <c r="D107" i="23"/>
  <c r="D106" i="23"/>
  <c r="D105" i="23"/>
  <c r="D104" i="23"/>
  <c r="D103" i="23"/>
  <c r="D102" i="23"/>
  <c r="D100" i="23"/>
  <c r="D98" i="23"/>
  <c r="D97" i="23"/>
  <c r="D96" i="23"/>
  <c r="D93" i="23"/>
  <c r="D90" i="23"/>
  <c r="D87" i="23"/>
  <c r="D85" i="23"/>
  <c r="D84" i="23"/>
  <c r="D83" i="23"/>
  <c r="D82" i="23"/>
  <c r="D81" i="23"/>
  <c r="D80" i="23"/>
  <c r="D76" i="23"/>
  <c r="D75" i="23"/>
  <c r="D74" i="23"/>
  <c r="D73" i="23"/>
  <c r="D72" i="23"/>
  <c r="D71" i="23"/>
  <c r="D70" i="23"/>
  <c r="D69" i="23"/>
  <c r="D68" i="23"/>
  <c r="D64" i="23"/>
  <c r="D63" i="23"/>
  <c r="D62" i="23"/>
  <c r="D61" i="23"/>
  <c r="D60" i="23"/>
  <c r="D58" i="23"/>
  <c r="D57" i="23"/>
  <c r="D56" i="23"/>
  <c r="D55" i="23"/>
  <c r="D54" i="23"/>
  <c r="D53" i="23"/>
  <c r="D52" i="23"/>
  <c r="D51" i="23"/>
  <c r="D50" i="23"/>
  <c r="D47" i="23"/>
  <c r="D46" i="23"/>
  <c r="D45" i="23"/>
  <c r="D44" i="23"/>
  <c r="D43" i="23"/>
  <c r="D42" i="23"/>
  <c r="D41" i="23"/>
  <c r="D40" i="23"/>
  <c r="D39" i="23"/>
  <c r="D38" i="23"/>
  <c r="D37" i="23"/>
  <c r="D35" i="23"/>
  <c r="D34" i="23"/>
  <c r="D32" i="23"/>
  <c r="D31" i="23"/>
  <c r="D30" i="23"/>
  <c r="D29" i="23"/>
  <c r="D28" i="23"/>
  <c r="D27" i="23"/>
  <c r="D25" i="23"/>
  <c r="D44" i="13" l="1"/>
  <c r="D43" i="13"/>
  <c r="D42" i="13"/>
  <c r="D41" i="13"/>
  <c r="D40" i="13"/>
  <c r="D38" i="13"/>
  <c r="D37" i="13"/>
  <c r="D36" i="13"/>
  <c r="D34" i="13"/>
  <c r="D32" i="13"/>
  <c r="D31" i="13"/>
  <c r="D30" i="13"/>
  <c r="D29" i="13"/>
  <c r="D28" i="13"/>
  <c r="D27" i="13"/>
  <c r="D24" i="13"/>
  <c r="D23" i="13"/>
  <c r="D20" i="13"/>
  <c r="D22" i="13"/>
  <c r="D21" i="13"/>
  <c r="D19" i="13"/>
  <c r="D17" i="13"/>
  <c r="D16" i="13"/>
  <c r="D15" i="13"/>
  <c r="D14" i="13"/>
  <c r="D11" i="13"/>
  <c r="D10" i="13"/>
</calcChain>
</file>

<file path=xl/sharedStrings.xml><?xml version="1.0" encoding="utf-8"?>
<sst xmlns="http://schemas.openxmlformats.org/spreadsheetml/2006/main" count="217" uniqueCount="187">
  <si>
    <t>Location</t>
  </si>
  <si>
    <t>Unit Count</t>
  </si>
  <si>
    <t>Start Date</t>
  </si>
  <si>
    <t>Finish Date</t>
  </si>
  <si>
    <t>Project Cost - Capital</t>
  </si>
  <si>
    <t>Project Cost - O&amp;M</t>
  </si>
  <si>
    <t>(BHV-1)Bay Hill-Vineland</t>
  </si>
  <si>
    <t>(DLW-4) SeminoleOakhurst</t>
  </si>
  <si>
    <t>(DLW-3) Oakhurst-Walsingham</t>
  </si>
  <si>
    <t>(FTO-3) De-energized Line</t>
  </si>
  <si>
    <t>(WO-6) North Longwood-Winter Springs</t>
  </si>
  <si>
    <t>(WP-2) Apopka South-Woodsmere</t>
  </si>
  <si>
    <t>(WR-4) Conway-Pinecastle</t>
  </si>
  <si>
    <t>(CP-2) Florida Gas Transmission - Perry</t>
  </si>
  <si>
    <t>(CPS-1) - Crawfordville - Port St Joe</t>
  </si>
  <si>
    <t>(DB-2) - Monticello - Boston (Ga Pwr)</t>
  </si>
  <si>
    <t>(JH-3) Liberty - Hosford (TEC) Radial</t>
  </si>
  <si>
    <t>(JQ-2) - Bradfordville West - Drifton</t>
  </si>
  <si>
    <t>(JQ-4) - Drifton - Hanson</t>
  </si>
  <si>
    <t>(QX-1) - Atwater - Quincy</t>
  </si>
  <si>
    <t>(AL-1) - Avon Park North - Frostproof</t>
  </si>
  <si>
    <t>(BF-1) Barcola - Ft Meade</t>
  </si>
  <si>
    <t>(DWD-1) Davenport - West Davenport Radial</t>
  </si>
  <si>
    <t>(FSD-1) - Ft Green Springs - Duette (PREC) Radial</t>
  </si>
  <si>
    <t>(FSM-1) - Ft Meade - Sand Mountain Radial</t>
  </si>
  <si>
    <t>(LWC-1) - Lake Wales - Citrusville</t>
  </si>
  <si>
    <t>Arbuckle Creek Tap</t>
  </si>
  <si>
    <t>Crooked Lake Tap</t>
  </si>
  <si>
    <t>Desoto City Tap</t>
  </si>
  <si>
    <t>Leisure Lakes Tap</t>
  </si>
  <si>
    <t>Pembroke Tap</t>
  </si>
  <si>
    <t>(BBW-1) - Brookridge - Brooksville West CKT # 1</t>
  </si>
  <si>
    <t>(BCF-3) - Brooksville - Bushnell East</t>
  </si>
  <si>
    <t>(BWR-1) - Brooksville West - Hudson</t>
  </si>
  <si>
    <t>(BZ-1) - Brooksville - Union Hall</t>
  </si>
  <si>
    <t>(DWB-1) - Barberville - Deland West</t>
  </si>
  <si>
    <t>(HB-3) - Holder - Inverness</t>
  </si>
  <si>
    <t>(HBH-1) - Beverly Hills - Holder</t>
  </si>
  <si>
    <t>(OCF-1) - Silver Springs - Silver Springs Shores</t>
  </si>
  <si>
    <t>(SES-1) - Eustis South - Sorrento</t>
  </si>
  <si>
    <t>(AW-1) - Archer - Williston</t>
  </si>
  <si>
    <t>(FH-1) - Ft White - High Springs</t>
  </si>
  <si>
    <t>(GH-1) - High Springs - Hull Road</t>
  </si>
  <si>
    <t>(HC-1) - Hanson - Cherry Lake (TREC) Radial</t>
  </si>
  <si>
    <t>(IS-1) - Chiefland - Inglis</t>
  </si>
  <si>
    <t>(JW2) - Jasper -homerville (Ga Pwr)</t>
  </si>
  <si>
    <t>(SF-2) Suwannee River Pl - Ft White</t>
  </si>
  <si>
    <t>Blair Tap (SVEC)</t>
  </si>
  <si>
    <t>(AUCF-1) - Alafaya - UCF</t>
  </si>
  <si>
    <t>(CEB-2) - Boggy Marsh - Lake Louisa (SEC)</t>
  </si>
  <si>
    <t>(CEB-3)Lake Louisa SEC - Clermont East</t>
  </si>
  <si>
    <t>(KZN) Kathleen-Zephyrhills North 230kV</t>
  </si>
  <si>
    <t>(NT-1) - Newberry - Trenton</t>
  </si>
  <si>
    <t>(DLW-1) Disston - Starkey Road</t>
  </si>
  <si>
    <t>(DLW-6) - Ulmerton West - Walsingham</t>
  </si>
  <si>
    <t>(ASL-2) Douglas Ave. - Spring Lake</t>
  </si>
  <si>
    <t>(HCL-1) Clearwater-Highlands</t>
  </si>
  <si>
    <t>(PF-1) Pasadena - 51st St</t>
  </si>
  <si>
    <t>LINE HIGGINS PL - BROOKER CREEK 115KV, HTE-2,LINE 115.0 KV</t>
  </si>
  <si>
    <t>AL-165 to AL-188 (1.25Mi)</t>
  </si>
  <si>
    <t>Fortieth Street</t>
  </si>
  <si>
    <t>Idylwild</t>
  </si>
  <si>
    <t>UCF</t>
  </si>
  <si>
    <t>Casselberry</t>
  </si>
  <si>
    <t>Welch Road</t>
  </si>
  <si>
    <t>VHC-40-68 to 40-84 (1.7Mi)</t>
  </si>
  <si>
    <t>VHC-83 to 88 (.25Mi)</t>
  </si>
  <si>
    <t>Bell Tap (CFEC)</t>
  </si>
  <si>
    <t>New River Tap (WREC)</t>
  </si>
  <si>
    <t>(DLM-LMP-1-2) - Dundee - Lake Marion</t>
    <phoneticPr fontId="0" type="noConversion"/>
  </si>
  <si>
    <t>Alachua Tap (CEC)</t>
  </si>
  <si>
    <t>Archer Tap (CEC)</t>
  </si>
  <si>
    <t>Brooksville Rock Tap</t>
  </si>
  <si>
    <t>Camps Section Seven Tap</t>
  </si>
  <si>
    <t>Croom Tap (WREC)</t>
  </si>
  <si>
    <t>Foley Tap</t>
  </si>
  <si>
    <t>Havana Tap (TEC)</t>
  </si>
  <si>
    <t>Lakewood Tap</t>
  </si>
  <si>
    <t>Mcintosh Tap</t>
  </si>
  <si>
    <t>Otter Creek Tap (CFEC)</t>
  </si>
  <si>
    <t>Point Milligan Tap (TEC)</t>
  </si>
  <si>
    <t>Webster Tap (SEC)</t>
  </si>
  <si>
    <t>Weeki Wachee Tap (WREC)</t>
  </si>
  <si>
    <t>White Springs Tap</t>
  </si>
  <si>
    <t>Winter Garden Citrus Tap</t>
  </si>
  <si>
    <t>(BWR-HPNR-2) Hudson-New Port Richey</t>
  </si>
  <si>
    <t>(CFO-4) - Dallas - Silver Springs</t>
  </si>
  <si>
    <t>(FO-4) - Dearmin - Silver Springs</t>
  </si>
  <si>
    <t>(ICBL-1) - Intercession City Pl - Bonnet Creek</t>
  </si>
  <si>
    <t>(IS-3) - Ginnie - High Springs</t>
  </si>
  <si>
    <t>(RW-5) - Florida Gas Transmission East - Magnolia Ranch</t>
  </si>
  <si>
    <t>(AD-1) - Avon Park Pl - Desoto City</t>
  </si>
  <si>
    <t>(ALP-2) - Fisheating Creek - Lake Placid</t>
  </si>
  <si>
    <t>(AOGX-1) - Atwater - Oak Grove (TEC)</t>
  </si>
  <si>
    <t>(APW-1) - Avon Park Pl - Wauchula</t>
  </si>
  <si>
    <t>(BCF-2) - Central Fla - Coleman</t>
  </si>
  <si>
    <t>(BFE-1) - Bayboro - 16th St</t>
  </si>
  <si>
    <t>(BFR-1) - Brooksville - Florida Rock Radial</t>
  </si>
  <si>
    <t>(BL-1) - Central Fla - Leesburg (BL)</t>
  </si>
  <si>
    <t>(BWKX-1) - Bradfordville West - Killearn (TEC) Radial</t>
  </si>
  <si>
    <t>(CET-1) - Avalon - Clermont East</t>
  </si>
  <si>
    <t>(CF-1) - Crystal River Pl - Bronson - Crew88</t>
  </si>
  <si>
    <t>(CFLE-1) - Central Fla - Leesburg (CFLE)</t>
  </si>
  <si>
    <t>(CLC-1) - Camp Lake - Clermont</t>
  </si>
  <si>
    <t>(CLC-2) - Clermont - Clermont East</t>
  </si>
  <si>
    <t>(CLL-2) - Leesburg - Okahumpka</t>
  </si>
  <si>
    <t>(CLL-3) - Howey SEC - Okahumpka</t>
  </si>
  <si>
    <t>(CRB-4) - Crystal River South - Twin County Ranch</t>
  </si>
  <si>
    <t>(CS-1) - Crawfordville - St Marks</t>
  </si>
  <si>
    <t>(DA-1) - Altamonte - Sanford</t>
  </si>
  <si>
    <t>(DA-2) - Debary Pl - Sanford (FPL)</t>
  </si>
  <si>
    <t>(DB-3) - Monticello - Monticello (TREC) Radial</t>
  </si>
  <si>
    <t>(DDW-2) - Deland West - Orange City</t>
  </si>
  <si>
    <t>(DLL-1) - Dallas - Orange Blossom</t>
  </si>
  <si>
    <t>(DLP-1) - Desoto City - Lake Placid North</t>
  </si>
  <si>
    <t>(DLW-1) - Disston - Starkey Road</t>
  </si>
  <si>
    <t>(DLW-4) - Oakhurst - Walsingham</t>
  </si>
  <si>
    <t>(DLW-6) - Umerton West - Walsingham</t>
  </si>
  <si>
    <t>(DR-1) - Dunnellon Town - Rainbow Lk Est (SEC) Radial</t>
  </si>
  <si>
    <t>(DWS-1) - Debary Pl - Lake Emma</t>
  </si>
  <si>
    <t>(ELCX-1) - Enola - Lake Cogen</t>
  </si>
  <si>
    <t>(EU-1) - Eustis - Umatilla</t>
  </si>
  <si>
    <t>(FFG-1) - Ft Green Springs - Ft Meade</t>
  </si>
  <si>
    <t>(FTR-2) - Bithlo - UCF</t>
  </si>
  <si>
    <t>(FTR-3) - Rio Pinar Pl - East Orange</t>
  </si>
  <si>
    <t>(FV-1) - Ft Meade - Vandolah</t>
  </si>
  <si>
    <t>(FWL-1) - Ft Meade - West Lake Wales</t>
  </si>
  <si>
    <t>(GBC-1) - Carrabelle - Gumbay</t>
  </si>
  <si>
    <t>(HB-2) - Brooksville - Inverness - Crew74</t>
  </si>
  <si>
    <t>(HCR-HT-1) - Crystal River South - Homosassa Radial (Tropic Terrace No)</t>
  </si>
  <si>
    <t>(HDU-1) - Dunnellon Town - Holder</t>
  </si>
  <si>
    <t>(ICB-1) - Barnum City - Westridge</t>
  </si>
  <si>
    <t>(ICB-2) - Boggy Marsh - Westridge</t>
  </si>
  <si>
    <t>(ICLB-1) - Celebration - World Gateway</t>
  </si>
  <si>
    <t>(ICLW-6) - Davenport - Haines City</t>
  </si>
  <si>
    <t>(IS-4) - Ginnie - Trenton</t>
  </si>
  <si>
    <t>(IT-CKT1) - Crystal River East - Inglis CKT #1</t>
  </si>
  <si>
    <t>(KWX-1) - Kathleen - West Sub (City Of Lakeland)</t>
  </si>
  <si>
    <t>(LBV-1) - Lake Bryan - Disney World Lake Buena Vista</t>
  </si>
  <si>
    <t>(LECW-3) - Clearwater - East Clearwater</t>
  </si>
  <si>
    <t>(LV-1) - Lake Bryan - Vineland</t>
  </si>
  <si>
    <t>(MSH-1) - Meadow Woods South - Hunters Creek</t>
  </si>
  <si>
    <t>(NR-2) - North Longwood - Winter Springs</t>
  </si>
  <si>
    <t>(OCC-1) - Clarcona - Ocoee</t>
  </si>
  <si>
    <t>(OD-1) - Deland East - Orange City</t>
  </si>
  <si>
    <t>(OLR-1) - Okahumpka - Lake County RR</t>
  </si>
  <si>
    <t>(OSC-1) - Orangewood - Shingle Creek</t>
  </si>
  <si>
    <t>(PAX-1) - Parkway - Orlando Cogen Ltd</t>
  </si>
  <si>
    <t>(PDL-1) - Dinner Lake - Phillips</t>
  </si>
  <si>
    <t>(PP-1) - Piedmont - Plymouth</t>
  </si>
  <si>
    <t>(PSJF-1) - Port St Joe - Fla Coast Paper Co Radial</t>
  </si>
  <si>
    <t>(RW-4) - Rio Pinar Pl - Florida Gas Transmission East</t>
  </si>
  <si>
    <t>(SLE-1) - Eatonville - Spring Lake</t>
  </si>
  <si>
    <t>(SLX-1) - Sky Lake - Southwood (OUC)</t>
  </si>
  <si>
    <t>(SSC-1) - Occ Swift Creek #1 - Suwannee River</t>
  </si>
  <si>
    <t>(TMS-2) - Meadwds South - Taft</t>
  </si>
  <si>
    <t>(TZ-2) - Odessa - Tarpon Springs</t>
  </si>
  <si>
    <t>(TZ-6) - Denham - Odessa</t>
  </si>
  <si>
    <t>(VFG-1) - Ft Green Springs - Vandolah CKT #1</t>
  </si>
  <si>
    <t>(VHC-1) - Vandolah - Murphy Road (PREC) Radial</t>
  </si>
  <si>
    <t>(VW-1) - Vandolah - Wauchula</t>
  </si>
  <si>
    <t>(WCC-1) - Cross City - Wilcox</t>
  </si>
  <si>
    <t>(WCE-1) - Montverde - Winter Garden</t>
  </si>
  <si>
    <t>(WCE-3) - Ocoee - Woodsmere</t>
  </si>
  <si>
    <t>(WEWC-1) - West Chapman Radial - Winter Park East</t>
  </si>
  <si>
    <t>(WF-1) - UCF - Winter Park East</t>
  </si>
  <si>
    <t>(WIW-1) - Windermere - Woodsmere</t>
  </si>
  <si>
    <t>(WLLW-1) - Lake Wales - West Lake Wales CKT #1</t>
  </si>
  <si>
    <t>(WP-1) - Apopka South - Plymouth</t>
  </si>
  <si>
    <t>(WP-2) - Apopka South - Woodsmere</t>
  </si>
  <si>
    <t>(LSP-UL-1) - Largo - Seminole</t>
  </si>
  <si>
    <t>(SSB-2) - Maricamp - Silver Springs</t>
  </si>
  <si>
    <t>(UL-1) - Largo - Ulmerton</t>
  </si>
  <si>
    <t>(CLT-1) - Brookridge - Lake Tarpon</t>
  </si>
  <si>
    <t>(CC-LTL-1) - Lake Tarpon - Palm Harbor</t>
  </si>
  <si>
    <t>(CC-NC-1) - Lake Tarpon - Ulmerton</t>
  </si>
  <si>
    <t>*Include total cost of Substation Hardening per sub; note what other work is included in total cost; note approximate % of work that is Relays and Breakers</t>
  </si>
  <si>
    <t>Customer count</t>
  </si>
  <si>
    <t xml:space="preserve">Customer Count </t>
  </si>
  <si>
    <t>Customer Count</t>
  </si>
  <si>
    <t>Miccosukee Tap (TEC)</t>
  </si>
  <si>
    <t>Blichton Tap (SEC)</t>
  </si>
  <si>
    <t xml:space="preserve">Pole Replacement - Project Level Costs </t>
  </si>
  <si>
    <t>Pole-Tower Inspections - Project Level Costs</t>
  </si>
  <si>
    <t>Tower Replacements - Project Level Costs</t>
  </si>
  <si>
    <t>OH Ground Wires - Project Level Costs</t>
  </si>
  <si>
    <t>Substation Hardening - Project Level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</si>
</sst>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m/d/yyyy;@"/>
    <numFmt numFmtId="166" formatCode="yyyy"/>
    <numFmt numFmtId="167" formatCode="[$-10409]m/d/yyyy"/>
    <numFmt numFmtId="168" formatCode="&quot;$&quot;#,##0"/>
    <numFmt numFmtId="169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Calibri"/>
      <family val="2"/>
      <scheme val="minor"/>
    </font>
    <font>
      <sz val="11"/>
      <name val="Calibri"/>
      <family val="2"/>
    </font>
    <font>
      <sz val="9"/>
      <color rgb="FFFF0000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8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thin">
        <color theme="3" tint="0.79998168889431442"/>
      </left>
      <right style="thin">
        <color theme="3" tint="0.79998168889431442"/>
      </right>
      <top/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</borders>
  <cellStyleXfs count="13">
    <xf numFmtId="0" fontId="0" fillId="0" borderId="0"/>
    <xf numFmtId="0" fontId="5" fillId="0" borderId="0" applyNumberFormat="0" applyFill="0" applyBorder="0" applyAlignment="0" applyProtection="0"/>
    <xf numFmtId="44" fontId="6" fillId="0" borderId="0" applyFont="0" applyFill="0" applyBorder="0" applyAlignment="0" applyProtection="0"/>
    <xf numFmtId="0" fontId="7" fillId="2" borderId="0" applyNumberFormat="0" applyBorder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Fill="1" applyBorder="1"/>
    <xf numFmtId="165" fontId="9" fillId="0" borderId="1" xfId="4" applyNumberFormat="1" applyFont="1" applyFill="1" applyBorder="1" applyAlignment="1">
      <alignment horizontal="center"/>
    </xf>
    <xf numFmtId="1" fontId="0" fillId="0" borderId="0" xfId="0" applyNumberFormat="1" applyFill="1" applyAlignment="1">
      <alignment horizontal="center"/>
    </xf>
    <xf numFmtId="164" fontId="9" fillId="0" borderId="1" xfId="10" applyNumberFormat="1" applyFont="1" applyFill="1" applyBorder="1"/>
    <xf numFmtId="164" fontId="11" fillId="0" borderId="1" xfId="10" applyNumberFormat="1" applyFont="1" applyFill="1" applyBorder="1"/>
    <xf numFmtId="1" fontId="9" fillId="0" borderId="1" xfId="4" applyNumberFormat="1" applyFont="1" applyFill="1" applyBorder="1" applyAlignment="1">
      <alignment horizontal="center"/>
    </xf>
    <xf numFmtId="164" fontId="0" fillId="0" borderId="0" xfId="0" applyNumberFormat="1" applyFill="1" applyBorder="1"/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2" xfId="0" applyNumberFormat="1" applyFont="1" applyFill="1" applyBorder="1" applyAlignment="1">
      <alignment horizontal="left"/>
    </xf>
    <xf numFmtId="0" fontId="10" fillId="0" borderId="2" xfId="0" applyFont="1" applyFill="1" applyBorder="1" applyAlignment="1" applyProtection="1">
      <alignment horizontal="left" vertical="center" wrapText="1"/>
    </xf>
    <xf numFmtId="0" fontId="10" fillId="0" borderId="2" xfId="0" applyFont="1" applyFill="1" applyBorder="1" applyAlignment="1" applyProtection="1">
      <alignment horizontal="left" vertical="top"/>
    </xf>
    <xf numFmtId="0" fontId="2" fillId="0" borderId="2" xfId="3" applyFont="1" applyFill="1" applyBorder="1" applyAlignment="1" applyProtection="1">
      <alignment horizontal="left" vertical="top" wrapText="1"/>
    </xf>
    <xf numFmtId="0" fontId="10" fillId="0" borderId="2" xfId="5" applyFont="1" applyFill="1" applyBorder="1" applyAlignment="1" applyProtection="1">
      <alignment horizontal="left" vertical="top" wrapText="1"/>
    </xf>
    <xf numFmtId="0" fontId="10" fillId="0" borderId="2" xfId="0" applyFont="1" applyFill="1" applyBorder="1" applyAlignment="1">
      <alignment horizontal="left" vertical="center" wrapText="1"/>
    </xf>
    <xf numFmtId="0" fontId="2" fillId="0" borderId="2" xfId="6" applyFont="1" applyFill="1" applyBorder="1" applyAlignment="1">
      <alignment horizontal="left" vertical="top"/>
    </xf>
    <xf numFmtId="0" fontId="10" fillId="0" borderId="2" xfId="7" applyFont="1" applyFill="1" applyBorder="1" applyAlignment="1" applyProtection="1">
      <alignment horizontal="left" vertical="top" wrapText="1"/>
    </xf>
    <xf numFmtId="0" fontId="2" fillId="0" borderId="2" xfId="8" applyFont="1" applyFill="1" applyBorder="1" applyAlignment="1">
      <alignment horizontal="left" vertical="top"/>
    </xf>
    <xf numFmtId="0" fontId="2" fillId="0" borderId="0" xfId="9" applyFont="1" applyFill="1" applyBorder="1" applyAlignment="1">
      <alignment horizontal="left" vertical="top"/>
    </xf>
    <xf numFmtId="0" fontId="2" fillId="0" borderId="0" xfId="0" applyNumberFormat="1" applyFont="1" applyFill="1" applyBorder="1" applyAlignment="1">
      <alignment horizontal="left"/>
    </xf>
    <xf numFmtId="0" fontId="10" fillId="0" borderId="0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left" vertical="top"/>
    </xf>
    <xf numFmtId="0" fontId="2" fillId="0" borderId="0" xfId="3" applyFont="1" applyFill="1" applyBorder="1" applyAlignment="1" applyProtection="1">
      <alignment horizontal="left" vertical="top" wrapText="1"/>
    </xf>
    <xf numFmtId="0" fontId="10" fillId="0" borderId="0" xfId="5" applyFont="1" applyFill="1" applyBorder="1" applyAlignment="1" applyProtection="1">
      <alignment horizontal="left" vertical="top" wrapText="1"/>
    </xf>
    <xf numFmtId="0" fontId="10" fillId="0" borderId="0" xfId="0" applyFont="1" applyFill="1" applyBorder="1" applyAlignment="1">
      <alignment horizontal="left" vertical="center" wrapText="1"/>
    </xf>
    <xf numFmtId="0" fontId="2" fillId="0" borderId="0" xfId="6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/>
    </xf>
    <xf numFmtId="0" fontId="2" fillId="0" borderId="2" xfId="9" applyFont="1" applyFill="1" applyBorder="1" applyAlignment="1">
      <alignment horizontal="left" vertical="top"/>
    </xf>
    <xf numFmtId="0" fontId="2" fillId="0" borderId="3" xfId="0" applyNumberFormat="1" applyFont="1" applyFill="1" applyBorder="1" applyAlignment="1">
      <alignment horizontal="left"/>
    </xf>
    <xf numFmtId="0" fontId="0" fillId="0" borderId="0" xfId="0" applyFont="1" applyFill="1"/>
    <xf numFmtId="0" fontId="0" fillId="0" borderId="0" xfId="0" applyFont="1" applyFill="1" applyBorder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0" fontId="2" fillId="0" borderId="0" xfId="4" applyFont="1" applyFill="1" applyBorder="1" applyAlignment="1" applyProtection="1">
      <alignment horizontal="left" vertical="top"/>
      <protection locked="0"/>
    </xf>
    <xf numFmtId="14" fontId="0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center" vertical="top"/>
    </xf>
    <xf numFmtId="0" fontId="2" fillId="0" borderId="0" xfId="4" applyFont="1" applyFill="1" applyBorder="1" applyAlignment="1" applyProtection="1">
      <alignment horizontal="center" vertical="top"/>
      <protection locked="0"/>
    </xf>
    <xf numFmtId="164" fontId="2" fillId="0" borderId="0" xfId="0" applyNumberFormat="1" applyFont="1" applyFill="1"/>
    <xf numFmtId="164" fontId="2" fillId="0" borderId="0" xfId="2" applyNumberFormat="1" applyFont="1" applyFill="1"/>
    <xf numFmtId="164" fontId="2" fillId="0" borderId="0" xfId="0" applyNumberFormat="1" applyFont="1" applyFill="1" applyBorder="1"/>
    <xf numFmtId="164" fontId="2" fillId="0" borderId="0" xfId="2" applyNumberFormat="1" applyFont="1" applyFill="1" applyBorder="1"/>
    <xf numFmtId="1" fontId="2" fillId="0" borderId="0" xfId="0" applyNumberFormat="1" applyFont="1" applyFill="1" applyBorder="1" applyAlignment="1">
      <alignment horizontal="center"/>
    </xf>
    <xf numFmtId="164" fontId="0" fillId="0" borderId="0" xfId="0" applyNumberFormat="1" applyFont="1" applyFill="1"/>
    <xf numFmtId="164" fontId="6" fillId="0" borderId="0" xfId="2" applyNumberFormat="1" applyFont="1" applyFill="1"/>
    <xf numFmtId="164" fontId="0" fillId="0" borderId="0" xfId="0" applyNumberFormat="1" applyFont="1" applyFill="1" applyBorder="1"/>
    <xf numFmtId="164" fontId="6" fillId="0" borderId="0" xfId="2" applyNumberFormat="1" applyFont="1" applyFill="1" applyBorder="1"/>
    <xf numFmtId="14" fontId="13" fillId="0" borderId="6" xfId="0" applyNumberFormat="1" applyFont="1" applyFill="1" applyBorder="1" applyAlignment="1">
      <alignment horizontal="center" vertical="center" wrapText="1" readingOrder="1"/>
    </xf>
    <xf numFmtId="14" fontId="13" fillId="0" borderId="7" xfId="0" applyNumberFormat="1" applyFont="1" applyFill="1" applyBorder="1" applyAlignment="1">
      <alignment horizontal="center" vertical="center" wrapText="1" readingOrder="1"/>
    </xf>
    <xf numFmtId="14" fontId="10" fillId="0" borderId="7" xfId="0" applyNumberFormat="1" applyFont="1" applyFill="1" applyBorder="1" applyAlignment="1">
      <alignment horizontal="center"/>
    </xf>
    <xf numFmtId="14" fontId="2" fillId="0" borderId="7" xfId="0" applyNumberFormat="1" applyFont="1" applyFill="1" applyBorder="1" applyAlignment="1">
      <alignment horizontal="center"/>
    </xf>
    <xf numFmtId="14" fontId="0" fillId="0" borderId="7" xfId="0" applyNumberForma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right"/>
    </xf>
    <xf numFmtId="164" fontId="15" fillId="0" borderId="1" xfId="10" applyNumberFormat="1" applyFont="1" applyFill="1" applyBorder="1"/>
    <xf numFmtId="3" fontId="0" fillId="0" borderId="0" xfId="0" applyNumberFormat="1" applyFont="1" applyFill="1" applyAlignment="1">
      <alignment horizontal="center" vertical="top"/>
    </xf>
    <xf numFmtId="0" fontId="0" fillId="0" borderId="0" xfId="0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9" fontId="0" fillId="0" borderId="0" xfId="11" applyFont="1" applyFill="1" applyBorder="1"/>
    <xf numFmtId="0" fontId="5" fillId="0" borderId="0" xfId="1" applyFill="1" applyBorder="1"/>
    <xf numFmtId="0" fontId="4" fillId="0" borderId="0" xfId="0" applyFont="1" applyFill="1" applyBorder="1"/>
    <xf numFmtId="0" fontId="1" fillId="0" borderId="0" xfId="0" applyFont="1" applyFill="1" applyBorder="1" applyAlignment="1">
      <alignment horizontal="left"/>
    </xf>
    <xf numFmtId="1" fontId="0" fillId="0" borderId="0" xfId="0" applyNumberFormat="1" applyFill="1" applyBorder="1" applyAlignment="1">
      <alignment horizontal="center"/>
    </xf>
    <xf numFmtId="167" fontId="13" fillId="0" borderId="5" xfId="0" applyNumberFormat="1" applyFont="1" applyFill="1" applyBorder="1" applyAlignment="1">
      <alignment horizontal="center" vertical="center" wrapText="1" readingOrder="1"/>
    </xf>
    <xf numFmtId="14" fontId="10" fillId="0" borderId="5" xfId="0" applyNumberFormat="1" applyFont="1" applyFill="1" applyBorder="1" applyAlignment="1">
      <alignment horizontal="center"/>
    </xf>
    <xf numFmtId="164" fontId="0" fillId="0" borderId="0" xfId="2" applyNumberFormat="1" applyFont="1" applyFill="1" applyBorder="1"/>
    <xf numFmtId="0" fontId="3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44" fontId="0" fillId="0" borderId="0" xfId="2" applyFont="1" applyFill="1" applyBorder="1" applyAlignment="1">
      <alignment horizontal="center"/>
    </xf>
    <xf numFmtId="14" fontId="0" fillId="0" borderId="0" xfId="0" applyNumberFormat="1" applyFont="1" applyFill="1" applyBorder="1"/>
    <xf numFmtId="0" fontId="12" fillId="0" borderId="0" xfId="0" applyFont="1" applyFill="1" applyBorder="1"/>
    <xf numFmtId="168" fontId="0" fillId="0" borderId="0" xfId="0" applyNumberFormat="1" applyFill="1" applyBorder="1"/>
    <xf numFmtId="164" fontId="1" fillId="0" borderId="0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left"/>
    </xf>
    <xf numFmtId="169" fontId="0" fillId="0" borderId="0" xfId="12" applyNumberFormat="1" applyFont="1" applyFill="1" applyAlignment="1">
      <alignment horizontal="left"/>
    </xf>
    <xf numFmtId="14" fontId="0" fillId="0" borderId="0" xfId="0" applyNumberFormat="1" applyFill="1" applyBorder="1"/>
    <xf numFmtId="0" fontId="13" fillId="0" borderId="4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164" fontId="0" fillId="0" borderId="0" xfId="12" applyNumberFormat="1" applyFont="1" applyFill="1" applyBorder="1" applyAlignment="1">
      <alignment horizontal="center"/>
    </xf>
    <xf numFmtId="0" fontId="13" fillId="0" borderId="4" xfId="0" applyFont="1" applyFill="1" applyBorder="1" applyAlignment="1">
      <alignment horizontal="right" vertical="center"/>
    </xf>
    <xf numFmtId="14" fontId="6" fillId="0" borderId="0" xfId="2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14" fontId="0" fillId="0" borderId="0" xfId="0" applyNumberFormat="1" applyFill="1" applyBorder="1" applyAlignment="1">
      <alignment horizontal="right"/>
    </xf>
    <xf numFmtId="0" fontId="14" fillId="0" borderId="0" xfId="0" applyFont="1" applyFill="1" applyBorder="1"/>
    <xf numFmtId="166" fontId="9" fillId="0" borderId="1" xfId="4" applyNumberFormat="1" applyFont="1" applyFill="1" applyBorder="1" applyAlignment="1">
      <alignment horizontal="center"/>
    </xf>
  </cellXfs>
  <cellStyles count="13">
    <cellStyle name="Comma" xfId="12" builtinId="3"/>
    <cellStyle name="Comma 2" xfId="10" xr:uid="{00000000-0005-0000-0000-000001000000}"/>
    <cellStyle name="Currency" xfId="2" builtinId="4"/>
    <cellStyle name="Hyperlink" xfId="1" builtinId="8"/>
    <cellStyle name="Neutral" xfId="3" builtinId="28"/>
    <cellStyle name="Normal" xfId="0" builtinId="0"/>
    <cellStyle name="Normal 2" xfId="4" xr:uid="{00000000-0005-0000-0000-000006000000}"/>
    <cellStyle name="Normal 203" xfId="5" xr:uid="{00000000-0005-0000-0000-000007000000}"/>
    <cellStyle name="Normal 240" xfId="9" xr:uid="{00000000-0005-0000-0000-000008000000}"/>
    <cellStyle name="Normal 264" xfId="6" xr:uid="{00000000-0005-0000-0000-000009000000}"/>
    <cellStyle name="Normal 300" xfId="8" xr:uid="{00000000-0005-0000-0000-00000A000000}"/>
    <cellStyle name="Normal 82" xfId="7" xr:uid="{00000000-0005-0000-0000-00000B000000}"/>
    <cellStyle name="Percent" xfId="11" builtinId="5"/>
  </cellStyles>
  <dxfs count="5">
    <dxf>
      <fill>
        <patternFill patternType="solid">
          <bgColor theme="9" tint="0.59996337778862885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7"/>
  <sheetViews>
    <sheetView zoomScale="90" zoomScaleNormal="90" workbookViewId="0">
      <selection activeCell="E25" sqref="E25"/>
    </sheetView>
  </sheetViews>
  <sheetFormatPr defaultColWidth="9.1796875" defaultRowHeight="14.5" x14ac:dyDescent="0.35"/>
  <cols>
    <col min="1" max="1" width="16.7265625" style="1" bestFit="1" customWidth="1"/>
    <col min="2" max="2" width="44.453125" style="61" bestFit="1" customWidth="1"/>
    <col min="3" max="3" width="15" style="62" bestFit="1" customWidth="1"/>
    <col min="4" max="4" width="15.54296875" style="61" customWidth="1"/>
    <col min="5" max="5" width="25.26953125" style="1" customWidth="1"/>
    <col min="6" max="6" width="22.7265625" style="1" bestFit="1" customWidth="1"/>
    <col min="7" max="7" width="11.81640625" style="1" bestFit="1" customWidth="1"/>
    <col min="8" max="8" width="13.1796875" style="1" bestFit="1" customWidth="1"/>
    <col min="9" max="16384" width="9.1796875" style="1"/>
  </cols>
  <sheetData>
    <row r="1" spans="1:8" x14ac:dyDescent="0.35">
      <c r="E1" s="63"/>
      <c r="F1" s="63"/>
    </row>
    <row r="2" spans="1:8" ht="21" x14ac:dyDescent="0.5">
      <c r="A2" s="64"/>
      <c r="B2" s="65" t="s">
        <v>182</v>
      </c>
    </row>
    <row r="3" spans="1:8" s="36" customFormat="1" x14ac:dyDescent="0.35">
      <c r="B3" s="66" t="s">
        <v>0</v>
      </c>
      <c r="C3" s="36" t="s">
        <v>1</v>
      </c>
      <c r="D3" s="66" t="s">
        <v>178</v>
      </c>
      <c r="E3" s="36" t="s">
        <v>4</v>
      </c>
      <c r="F3" s="36" t="s">
        <v>5</v>
      </c>
      <c r="G3" s="36" t="s">
        <v>2</v>
      </c>
      <c r="H3" s="36" t="s">
        <v>3</v>
      </c>
    </row>
    <row r="4" spans="1:8" x14ac:dyDescent="0.35">
      <c r="B4" s="13" t="s">
        <v>20</v>
      </c>
      <c r="C4" s="3">
        <v>1</v>
      </c>
      <c r="D4" s="23">
        <v>7189</v>
      </c>
      <c r="E4" s="48">
        <v>29418.691703771328</v>
      </c>
      <c r="F4" s="49">
        <v>556.48490492803626</v>
      </c>
      <c r="G4" s="52">
        <v>43950</v>
      </c>
      <c r="H4" s="52">
        <v>43978</v>
      </c>
    </row>
    <row r="5" spans="1:8" x14ac:dyDescent="0.35">
      <c r="B5" s="19" t="s">
        <v>55</v>
      </c>
      <c r="C5" s="3">
        <v>1</v>
      </c>
      <c r="D5" s="28">
        <v>4618</v>
      </c>
      <c r="E5" s="48">
        <v>136785.9999612433</v>
      </c>
      <c r="F5" s="49">
        <v>2377.3930429697675</v>
      </c>
      <c r="G5" s="53">
        <v>43858</v>
      </c>
      <c r="H5" s="53">
        <v>43889</v>
      </c>
    </row>
    <row r="6" spans="1:8" x14ac:dyDescent="0.35">
      <c r="B6" s="13" t="s">
        <v>48</v>
      </c>
      <c r="C6" s="3">
        <v>45</v>
      </c>
      <c r="D6" s="23">
        <v>6033</v>
      </c>
      <c r="E6" s="48">
        <v>2212209.9165836982</v>
      </c>
      <c r="F6" s="49">
        <v>113565.71025692072</v>
      </c>
      <c r="G6" s="54">
        <v>43955</v>
      </c>
      <c r="H6" s="54">
        <v>44015</v>
      </c>
    </row>
    <row r="7" spans="1:8" x14ac:dyDescent="0.35">
      <c r="B7" s="8" t="s">
        <v>40</v>
      </c>
      <c r="C7" s="3">
        <v>23</v>
      </c>
      <c r="D7" s="10">
        <v>1473</v>
      </c>
      <c r="E7" s="48">
        <v>733091.98898808868</v>
      </c>
      <c r="F7" s="49">
        <v>16090.664474985426</v>
      </c>
      <c r="G7" s="54">
        <v>43869</v>
      </c>
      <c r="H7" s="54">
        <v>43931</v>
      </c>
    </row>
    <row r="8" spans="1:8" x14ac:dyDescent="0.35">
      <c r="B8" s="8" t="s">
        <v>31</v>
      </c>
      <c r="C8" s="3">
        <v>12</v>
      </c>
      <c r="D8" s="10">
        <v>26226</v>
      </c>
      <c r="E8" s="48">
        <v>389707.09862580243</v>
      </c>
      <c r="F8" s="49">
        <v>19685.684232604792</v>
      </c>
      <c r="G8" s="53">
        <v>43871</v>
      </c>
      <c r="H8" s="54">
        <v>43896</v>
      </c>
    </row>
    <row r="9" spans="1:8" x14ac:dyDescent="0.35">
      <c r="B9" s="8" t="s">
        <v>32</v>
      </c>
      <c r="C9" s="3">
        <v>3</v>
      </c>
      <c r="D9" s="10">
        <v>2356</v>
      </c>
      <c r="E9" s="48">
        <v>197392.30565867922</v>
      </c>
      <c r="F9" s="49">
        <v>10423.690790549896</v>
      </c>
      <c r="G9" s="53">
        <v>43962</v>
      </c>
      <c r="H9" s="54">
        <v>43966</v>
      </c>
    </row>
    <row r="10" spans="1:8" x14ac:dyDescent="0.35">
      <c r="B10" s="14" t="s">
        <v>21</v>
      </c>
      <c r="C10" s="3">
        <v>4</v>
      </c>
      <c r="D10" s="24">
        <f>26+42+2</f>
        <v>70</v>
      </c>
      <c r="E10" s="48">
        <v>111948.24476308923</v>
      </c>
      <c r="F10" s="49">
        <v>2225.939619712145</v>
      </c>
      <c r="G10" s="54">
        <v>44109</v>
      </c>
      <c r="H10" s="54">
        <v>44113</v>
      </c>
    </row>
    <row r="11" spans="1:8" x14ac:dyDescent="0.35">
      <c r="B11" s="8" t="s">
        <v>6</v>
      </c>
      <c r="C11" s="3">
        <v>13</v>
      </c>
      <c r="D11" s="10">
        <f>10297+901+70</f>
        <v>11268</v>
      </c>
      <c r="E11" s="48">
        <v>621158.66914351948</v>
      </c>
      <c r="F11" s="49">
        <v>31235.260724771037</v>
      </c>
      <c r="G11" s="54">
        <v>43983</v>
      </c>
      <c r="H11" s="54">
        <v>44012</v>
      </c>
    </row>
    <row r="12" spans="1:8" x14ac:dyDescent="0.35">
      <c r="B12" s="8" t="s">
        <v>33</v>
      </c>
      <c r="C12" s="3">
        <v>19</v>
      </c>
      <c r="D12" s="10">
        <v>0</v>
      </c>
      <c r="E12" s="48">
        <v>654091.64808838931</v>
      </c>
      <c r="F12" s="49">
        <v>30984.88991532135</v>
      </c>
      <c r="G12" s="54">
        <v>43892</v>
      </c>
      <c r="H12" s="54">
        <v>43917</v>
      </c>
    </row>
    <row r="13" spans="1:8" x14ac:dyDescent="0.35">
      <c r="B13" s="8" t="s">
        <v>34</v>
      </c>
      <c r="C13" s="3">
        <v>15</v>
      </c>
      <c r="D13" s="10">
        <v>0</v>
      </c>
      <c r="E13" s="48">
        <v>749449.39443310187</v>
      </c>
      <c r="F13" s="49">
        <v>38952.407306187109</v>
      </c>
      <c r="G13" s="53">
        <v>43927</v>
      </c>
      <c r="H13" s="53">
        <v>43955</v>
      </c>
    </row>
    <row r="14" spans="1:8" x14ac:dyDescent="0.35">
      <c r="B14" s="15" t="s">
        <v>49</v>
      </c>
      <c r="C14" s="3">
        <v>60</v>
      </c>
      <c r="D14" s="25">
        <f>9202+971+120</f>
        <v>10293</v>
      </c>
      <c r="E14" s="48">
        <v>3633458.5869127354</v>
      </c>
      <c r="F14" s="49">
        <v>212904.58548896553</v>
      </c>
      <c r="G14" s="54">
        <v>43906</v>
      </c>
      <c r="H14" s="54">
        <v>44043</v>
      </c>
    </row>
    <row r="15" spans="1:8" x14ac:dyDescent="0.35">
      <c r="B15" s="16" t="s">
        <v>50</v>
      </c>
      <c r="C15" s="3">
        <v>21</v>
      </c>
      <c r="D15" s="26">
        <f>9202+971+120</f>
        <v>10293</v>
      </c>
      <c r="E15" s="48">
        <v>726386.11669235548</v>
      </c>
      <c r="F15" s="49">
        <v>50112.431198857077</v>
      </c>
      <c r="G15" s="54">
        <v>43864</v>
      </c>
      <c r="H15" s="54">
        <v>43903</v>
      </c>
    </row>
    <row r="16" spans="1:8" x14ac:dyDescent="0.35">
      <c r="B16" s="12" t="s">
        <v>13</v>
      </c>
      <c r="C16" s="3">
        <v>12</v>
      </c>
      <c r="D16" s="22">
        <f>2838+591+133</f>
        <v>3562</v>
      </c>
      <c r="E16" s="48">
        <v>389004.05702734535</v>
      </c>
      <c r="F16" s="49">
        <v>9969.3305207770281</v>
      </c>
      <c r="G16" s="54">
        <v>43857</v>
      </c>
      <c r="H16" s="54">
        <v>43911</v>
      </c>
    </row>
    <row r="17" spans="2:8" x14ac:dyDescent="0.35">
      <c r="B17" s="8" t="s">
        <v>14</v>
      </c>
      <c r="C17" s="3">
        <v>7</v>
      </c>
      <c r="D17" s="10">
        <f>2042+389+129</f>
        <v>2560</v>
      </c>
      <c r="E17" s="48">
        <v>308446.62942298845</v>
      </c>
      <c r="F17" s="49">
        <v>7186.9059961368466</v>
      </c>
      <c r="G17" s="54">
        <v>44067</v>
      </c>
      <c r="H17" s="54">
        <v>44092</v>
      </c>
    </row>
    <row r="18" spans="2:8" x14ac:dyDescent="0.35">
      <c r="B18" s="8" t="s">
        <v>15</v>
      </c>
      <c r="C18" s="3">
        <v>1</v>
      </c>
      <c r="D18" s="10">
        <v>0</v>
      </c>
      <c r="E18" s="48">
        <v>140813.53448451273</v>
      </c>
      <c r="F18" s="49">
        <v>3847.9965665686295</v>
      </c>
      <c r="G18" s="53">
        <v>43997</v>
      </c>
      <c r="H18" s="54">
        <v>44002</v>
      </c>
    </row>
    <row r="19" spans="2:8" x14ac:dyDescent="0.35">
      <c r="B19" s="17" t="s">
        <v>53</v>
      </c>
      <c r="C19" s="3">
        <v>3</v>
      </c>
      <c r="D19" s="27">
        <f>12591+929+117</f>
        <v>13637</v>
      </c>
      <c r="E19" s="48">
        <v>227967.04316867498</v>
      </c>
      <c r="F19" s="49">
        <v>15789.428838657852</v>
      </c>
      <c r="G19" s="55">
        <v>43857</v>
      </c>
      <c r="H19" s="55">
        <v>43860</v>
      </c>
    </row>
    <row r="20" spans="2:8" x14ac:dyDescent="0.35">
      <c r="B20" s="11" t="s">
        <v>8</v>
      </c>
      <c r="C20" s="3">
        <v>4</v>
      </c>
      <c r="D20" s="21">
        <f>19023+1555+168</f>
        <v>20746</v>
      </c>
      <c r="E20" s="48">
        <v>189531.81182435024</v>
      </c>
      <c r="F20" s="49">
        <v>9509.5721718790701</v>
      </c>
      <c r="G20" s="54">
        <v>43969</v>
      </c>
      <c r="H20" s="54">
        <v>43973</v>
      </c>
    </row>
    <row r="21" spans="2:8" x14ac:dyDescent="0.35">
      <c r="B21" s="11" t="s">
        <v>7</v>
      </c>
      <c r="C21" s="3">
        <v>7</v>
      </c>
      <c r="D21" s="21">
        <f>15530+873+117</f>
        <v>16520</v>
      </c>
      <c r="E21" s="48">
        <v>336820.65526160371</v>
      </c>
      <c r="F21" s="49">
        <v>16970.902466952433</v>
      </c>
      <c r="G21" s="54">
        <v>43973</v>
      </c>
      <c r="H21" s="54">
        <v>43987</v>
      </c>
    </row>
    <row r="22" spans="2:8" x14ac:dyDescent="0.35">
      <c r="B22" s="18" t="s">
        <v>54</v>
      </c>
      <c r="C22" s="3">
        <v>2</v>
      </c>
      <c r="D22" s="21">
        <f>19023+1555+168</f>
        <v>20746</v>
      </c>
      <c r="E22" s="48">
        <v>159707.06123615272</v>
      </c>
      <c r="F22" s="49">
        <v>7886.4360480657897</v>
      </c>
      <c r="G22" s="54">
        <v>43878</v>
      </c>
      <c r="H22" s="54">
        <v>43882</v>
      </c>
    </row>
    <row r="23" spans="2:8" x14ac:dyDescent="0.35">
      <c r="B23" s="8" t="s">
        <v>35</v>
      </c>
      <c r="C23" s="3">
        <v>9</v>
      </c>
      <c r="D23" s="10">
        <f>2518+611+51</f>
        <v>3180</v>
      </c>
      <c r="E23" s="48">
        <v>474828.77587831311</v>
      </c>
      <c r="F23" s="49">
        <v>11591.387467633513</v>
      </c>
      <c r="G23" s="54">
        <v>43906</v>
      </c>
      <c r="H23" s="54">
        <v>43925</v>
      </c>
    </row>
    <row r="24" spans="2:8" x14ac:dyDescent="0.35">
      <c r="B24" s="8" t="s">
        <v>41</v>
      </c>
      <c r="C24" s="3">
        <v>19</v>
      </c>
      <c r="D24" s="10">
        <f>2417+392+57</f>
        <v>2866</v>
      </c>
      <c r="E24" s="48">
        <v>670636.31125496468</v>
      </c>
      <c r="F24" s="49">
        <v>13864.72485527328</v>
      </c>
      <c r="G24" s="54">
        <v>44081</v>
      </c>
      <c r="H24" s="54">
        <v>44126</v>
      </c>
    </row>
    <row r="25" spans="2:8" x14ac:dyDescent="0.35">
      <c r="B25" s="11" t="s">
        <v>9</v>
      </c>
      <c r="C25" s="3">
        <v>1</v>
      </c>
      <c r="D25" s="21">
        <v>0</v>
      </c>
      <c r="E25" s="48">
        <v>47378.731391560104</v>
      </c>
      <c r="F25" s="49">
        <v>2377.3930429697675</v>
      </c>
      <c r="G25" s="54">
        <v>43983</v>
      </c>
      <c r="H25" s="54">
        <v>44012</v>
      </c>
    </row>
    <row r="26" spans="2:8" x14ac:dyDescent="0.35">
      <c r="B26" s="8" t="s">
        <v>42</v>
      </c>
      <c r="C26" s="3">
        <v>1</v>
      </c>
      <c r="D26" s="10">
        <v>0</v>
      </c>
      <c r="E26" s="48">
        <v>21663.91327205905</v>
      </c>
      <c r="F26" s="49">
        <v>556.48490492803626</v>
      </c>
      <c r="G26" s="56">
        <v>43863</v>
      </c>
      <c r="H26" s="56">
        <v>43864</v>
      </c>
    </row>
    <row r="27" spans="2:8" x14ac:dyDescent="0.35">
      <c r="B27" s="8" t="s">
        <v>36</v>
      </c>
      <c r="C27" s="3">
        <v>19</v>
      </c>
      <c r="D27" s="10">
        <f>6255+936+111</f>
        <v>7302</v>
      </c>
      <c r="E27" s="48">
        <v>559241.46847422328</v>
      </c>
      <c r="F27" s="49">
        <v>10573.213193632688</v>
      </c>
      <c r="G27" s="53">
        <v>43997</v>
      </c>
      <c r="H27" s="53">
        <v>44025</v>
      </c>
    </row>
    <row r="28" spans="2:8" x14ac:dyDescent="0.35">
      <c r="B28" s="8" t="s">
        <v>37</v>
      </c>
      <c r="C28" s="3">
        <v>9</v>
      </c>
      <c r="D28" s="10">
        <f>6568+390+38</f>
        <v>6996</v>
      </c>
      <c r="E28" s="48">
        <v>264911.38838522596</v>
      </c>
      <c r="F28" s="49">
        <v>5008.3641443523256</v>
      </c>
      <c r="G28" s="53">
        <v>44039</v>
      </c>
      <c r="H28" s="53">
        <v>44063</v>
      </c>
    </row>
    <row r="29" spans="2:8" x14ac:dyDescent="0.35">
      <c r="B29" s="8" t="s">
        <v>56</v>
      </c>
      <c r="C29" s="3">
        <v>1</v>
      </c>
      <c r="D29" s="10">
        <f>14114+1190+104</f>
        <v>15408</v>
      </c>
      <c r="E29" s="43">
        <v>25808.210027511999</v>
      </c>
      <c r="F29" s="49">
        <v>1068.1174776134501</v>
      </c>
      <c r="G29" s="56">
        <v>43858</v>
      </c>
      <c r="H29" s="56">
        <v>43860</v>
      </c>
    </row>
    <row r="30" spans="2:8" x14ac:dyDescent="0.35">
      <c r="B30" s="8" t="s">
        <v>44</v>
      </c>
      <c r="C30" s="3">
        <v>20</v>
      </c>
      <c r="D30" s="10">
        <f>1202+128+16</f>
        <v>1346</v>
      </c>
      <c r="E30" s="48">
        <v>697099.79455232702</v>
      </c>
      <c r="F30" s="49">
        <v>14421.209760201318</v>
      </c>
      <c r="G30" s="53">
        <v>44025</v>
      </c>
      <c r="H30" s="53">
        <v>44049</v>
      </c>
    </row>
    <row r="31" spans="2:8" x14ac:dyDescent="0.35">
      <c r="B31" s="8" t="s">
        <v>17</v>
      </c>
      <c r="C31" s="3">
        <v>24</v>
      </c>
      <c r="D31" s="10">
        <f>8563+1568+247</f>
        <v>10378</v>
      </c>
      <c r="E31" s="48">
        <v>757665.32715466968</v>
      </c>
      <c r="F31" s="49">
        <v>16647.149379913462</v>
      </c>
      <c r="G31" s="54">
        <v>43913</v>
      </c>
      <c r="H31" s="54">
        <v>43960</v>
      </c>
    </row>
    <row r="32" spans="2:8" x14ac:dyDescent="0.35">
      <c r="B32" s="8" t="s">
        <v>18</v>
      </c>
      <c r="C32" s="3">
        <v>8</v>
      </c>
      <c r="D32" s="10">
        <f>4533+736+140</f>
        <v>5409</v>
      </c>
      <c r="E32" s="48">
        <v>346794.65817000985</v>
      </c>
      <c r="F32" s="49">
        <v>7743.3909010648831</v>
      </c>
      <c r="G32" s="53">
        <v>43969</v>
      </c>
      <c r="H32" s="54">
        <v>43987</v>
      </c>
    </row>
    <row r="33" spans="2:8" x14ac:dyDescent="0.35">
      <c r="B33" s="8" t="s">
        <v>45</v>
      </c>
      <c r="C33" s="3">
        <v>2</v>
      </c>
      <c r="D33" s="10">
        <v>0</v>
      </c>
      <c r="E33" s="48">
        <v>172493.94038892692</v>
      </c>
      <c r="F33" s="49">
        <v>4404.481471496666</v>
      </c>
      <c r="G33" s="54">
        <v>43962</v>
      </c>
      <c r="H33" s="54">
        <v>43967</v>
      </c>
    </row>
    <row r="34" spans="2:8" x14ac:dyDescent="0.35">
      <c r="B34" s="8" t="s">
        <v>51</v>
      </c>
      <c r="C34" s="3">
        <v>5</v>
      </c>
      <c r="D34" s="10">
        <f>10851+956+78</f>
        <v>11885</v>
      </c>
      <c r="E34" s="48">
        <v>329956.51570229296</v>
      </c>
      <c r="F34" s="49">
        <v>19142.047194862691</v>
      </c>
      <c r="G34" s="54">
        <v>43892</v>
      </c>
      <c r="H34" s="54">
        <v>43903</v>
      </c>
    </row>
    <row r="35" spans="2:8" x14ac:dyDescent="0.35">
      <c r="B35" s="8" t="s">
        <v>25</v>
      </c>
      <c r="C35" s="3">
        <v>1</v>
      </c>
      <c r="D35" s="10">
        <v>4</v>
      </c>
      <c r="E35" s="48">
        <v>140813.53448451273</v>
      </c>
      <c r="F35" s="49">
        <v>3847.9965665686295</v>
      </c>
      <c r="G35" s="54">
        <v>44046</v>
      </c>
      <c r="H35" s="54">
        <v>44049</v>
      </c>
    </row>
    <row r="36" spans="2:8" x14ac:dyDescent="0.35">
      <c r="B36" s="8" t="s">
        <v>52</v>
      </c>
      <c r="C36" s="3">
        <v>75</v>
      </c>
      <c r="D36" s="10">
        <f>1036+228+64</f>
        <v>1328</v>
      </c>
      <c r="E36" s="48">
        <v>3539154.811050145</v>
      </c>
      <c r="F36" s="49">
        <v>181595.98988437315</v>
      </c>
      <c r="G36" s="54">
        <v>43922</v>
      </c>
      <c r="H36" s="54">
        <v>44105</v>
      </c>
    </row>
    <row r="37" spans="2:8" x14ac:dyDescent="0.35">
      <c r="B37" s="8" t="s">
        <v>38</v>
      </c>
      <c r="C37" s="3">
        <v>26</v>
      </c>
      <c r="D37" s="10">
        <f>5063+286+50</f>
        <v>5399</v>
      </c>
      <c r="E37" s="48">
        <v>702328.04396382254</v>
      </c>
      <c r="F37" s="49">
        <v>15025.09243305698</v>
      </c>
      <c r="G37" s="53">
        <v>43852</v>
      </c>
      <c r="H37" s="53">
        <v>43892</v>
      </c>
    </row>
    <row r="38" spans="2:8" x14ac:dyDescent="0.35">
      <c r="B38" s="29" t="s">
        <v>57</v>
      </c>
      <c r="C38" s="67">
        <v>1</v>
      </c>
      <c r="D38" s="20">
        <f>14840+1218+155</f>
        <v>16213</v>
      </c>
      <c r="E38" s="50">
        <v>99094.828646895548</v>
      </c>
      <c r="F38" s="51">
        <v>5668.9047046103606</v>
      </c>
      <c r="G38" s="54">
        <v>44081</v>
      </c>
      <c r="H38" s="54">
        <v>44084</v>
      </c>
    </row>
    <row r="39" spans="2:8" x14ac:dyDescent="0.35">
      <c r="B39" s="8" t="s">
        <v>19</v>
      </c>
      <c r="C39" s="3">
        <v>9</v>
      </c>
      <c r="D39" s="10">
        <v>0</v>
      </c>
      <c r="E39" s="48">
        <v>376306.23116596736</v>
      </c>
      <c r="F39" s="49">
        <v>8299.8758059929187</v>
      </c>
      <c r="G39" s="53">
        <v>44032</v>
      </c>
      <c r="H39" s="53">
        <v>44056</v>
      </c>
    </row>
    <row r="40" spans="2:8" x14ac:dyDescent="0.35">
      <c r="B40" s="8" t="s">
        <v>39</v>
      </c>
      <c r="C40" s="3">
        <v>26</v>
      </c>
      <c r="D40" s="10">
        <f>7093+1328+93</f>
        <v>8514</v>
      </c>
      <c r="E40" s="48">
        <v>876457.60488133994</v>
      </c>
      <c r="F40" s="49">
        <v>17760.119189769535</v>
      </c>
      <c r="G40" s="54">
        <v>43934</v>
      </c>
      <c r="H40" s="54">
        <v>43987</v>
      </c>
    </row>
    <row r="41" spans="2:8" x14ac:dyDescent="0.35">
      <c r="B41" s="15" t="s">
        <v>46</v>
      </c>
      <c r="C41" s="3">
        <v>9</v>
      </c>
      <c r="D41" s="25">
        <f>4533+736+140</f>
        <v>5409</v>
      </c>
      <c r="E41" s="48">
        <v>376306.23116596736</v>
      </c>
      <c r="F41" s="49">
        <v>8299.8758059929187</v>
      </c>
      <c r="G41" s="54">
        <v>43976</v>
      </c>
      <c r="H41" s="54">
        <v>43995</v>
      </c>
    </row>
    <row r="42" spans="2:8" x14ac:dyDescent="0.35">
      <c r="B42" s="11" t="s">
        <v>10</v>
      </c>
      <c r="C42" s="3">
        <v>2</v>
      </c>
      <c r="D42" s="21">
        <f>12982+1101+163</f>
        <v>14246</v>
      </c>
      <c r="E42" s="48">
        <v>96481.162785628039</v>
      </c>
      <c r="F42" s="49">
        <v>4864.5031413275547</v>
      </c>
      <c r="G42" s="54">
        <v>43983</v>
      </c>
      <c r="H42" s="54">
        <v>44012</v>
      </c>
    </row>
    <row r="43" spans="2:8" x14ac:dyDescent="0.35">
      <c r="B43" s="30" t="s">
        <v>11</v>
      </c>
      <c r="C43" s="3">
        <v>5</v>
      </c>
      <c r="D43" s="21">
        <f>9901+1163+236</f>
        <v>11300</v>
      </c>
      <c r="E43" s="48">
        <v>238628.00931084668</v>
      </c>
      <c r="F43" s="49">
        <v>11996.682270236857</v>
      </c>
      <c r="G43" s="54">
        <v>43983</v>
      </c>
      <c r="H43" s="54">
        <v>44012</v>
      </c>
    </row>
    <row r="44" spans="2:8" ht="15" thickBot="1" x14ac:dyDescent="0.4">
      <c r="B44" s="21" t="s">
        <v>12</v>
      </c>
      <c r="C44" s="3">
        <v>1</v>
      </c>
      <c r="D44" s="21">
        <f>4728+893+101</f>
        <v>5722</v>
      </c>
      <c r="E44" s="48">
        <v>49107.754630487383</v>
      </c>
      <c r="F44" s="49">
        <v>2487.1100983577871</v>
      </c>
      <c r="G44" s="54">
        <v>43983</v>
      </c>
      <c r="H44" s="54">
        <v>44012</v>
      </c>
    </row>
    <row r="45" spans="2:8" ht="15" thickBot="1" x14ac:dyDescent="0.4">
      <c r="B45" s="8" t="s">
        <v>16</v>
      </c>
      <c r="C45" s="3">
        <v>2</v>
      </c>
      <c r="D45" s="10">
        <f>1076+113+14</f>
        <v>1203</v>
      </c>
      <c r="E45" s="43">
        <v>170210.92642173203</v>
      </c>
      <c r="F45" s="44">
        <v>4404.481471496666</v>
      </c>
      <c r="G45" s="68">
        <v>44018</v>
      </c>
      <c r="H45" s="69">
        <v>44023</v>
      </c>
    </row>
    <row r="46" spans="2:8" ht="15" thickBot="1" x14ac:dyDescent="0.4">
      <c r="B46" s="8" t="s">
        <v>22</v>
      </c>
      <c r="C46" s="3">
        <v>10</v>
      </c>
      <c r="D46" s="10">
        <f>9166+430+81</f>
        <v>9677</v>
      </c>
      <c r="E46" s="43">
        <v>294296.82217946625</v>
      </c>
      <c r="F46" s="44">
        <v>5564.849049280363</v>
      </c>
      <c r="G46" s="69">
        <v>43997</v>
      </c>
      <c r="H46" s="69">
        <v>44022</v>
      </c>
    </row>
    <row r="47" spans="2:8" ht="15" thickBot="1" x14ac:dyDescent="0.4">
      <c r="B47" s="8" t="s">
        <v>23</v>
      </c>
      <c r="C47" s="3">
        <v>18</v>
      </c>
      <c r="D47" s="10">
        <f>787+83+10</f>
        <v>880</v>
      </c>
      <c r="E47" s="43">
        <v>637922.55026082683</v>
      </c>
      <c r="F47" s="44">
        <v>13308.239950345245</v>
      </c>
      <c r="G47" s="69">
        <v>43934</v>
      </c>
      <c r="H47" s="69">
        <v>43973</v>
      </c>
    </row>
    <row r="48" spans="2:8" ht="15" thickBot="1" x14ac:dyDescent="0.4">
      <c r="B48" s="8" t="s">
        <v>24</v>
      </c>
      <c r="C48" s="3">
        <v>7</v>
      </c>
      <c r="D48" s="10">
        <f>166+12</f>
        <v>178</v>
      </c>
      <c r="E48" s="43">
        <v>215920.79662907892</v>
      </c>
      <c r="F48" s="44">
        <v>3895.3943344962536</v>
      </c>
      <c r="G48" s="69">
        <v>43976</v>
      </c>
      <c r="H48" s="69">
        <v>43994</v>
      </c>
    </row>
    <row r="49" spans="2:8" ht="15" thickBot="1" x14ac:dyDescent="0.4">
      <c r="B49" s="8" t="s">
        <v>26</v>
      </c>
      <c r="C49" s="3">
        <v>5</v>
      </c>
      <c r="D49" s="10">
        <v>1066</v>
      </c>
      <c r="E49" s="43">
        <v>683490.45382300136</v>
      </c>
      <c r="F49" s="44">
        <v>18627.981097888773</v>
      </c>
      <c r="G49" s="69">
        <v>44046</v>
      </c>
      <c r="H49" s="69">
        <v>44064</v>
      </c>
    </row>
    <row r="50" spans="2:8" ht="15" thickBot="1" x14ac:dyDescent="0.4">
      <c r="B50" s="8" t="s">
        <v>27</v>
      </c>
      <c r="C50" s="3">
        <v>11</v>
      </c>
      <c r="D50" s="10">
        <v>1943</v>
      </c>
      <c r="E50" s="43">
        <v>1487556.2276203972</v>
      </c>
      <c r="F50" s="44">
        <v>40981.558415355299</v>
      </c>
      <c r="G50" s="69">
        <v>44067</v>
      </c>
      <c r="H50" s="69">
        <v>44106</v>
      </c>
    </row>
    <row r="51" spans="2:8" ht="15" thickBot="1" x14ac:dyDescent="0.4">
      <c r="B51" s="8" t="s">
        <v>28</v>
      </c>
      <c r="C51" s="3">
        <v>17</v>
      </c>
      <c r="D51" s="10">
        <v>2907</v>
      </c>
      <c r="E51" s="43">
        <v>2300229.4317032234</v>
      </c>
      <c r="F51" s="44">
        <v>63335.135732821829</v>
      </c>
      <c r="G51" s="69">
        <v>43891</v>
      </c>
      <c r="H51" s="69">
        <v>43924</v>
      </c>
    </row>
    <row r="52" spans="2:8" ht="15" thickBot="1" x14ac:dyDescent="0.4">
      <c r="B52" s="8" t="s">
        <v>29</v>
      </c>
      <c r="C52" s="3">
        <v>5</v>
      </c>
      <c r="D52" s="10">
        <v>1955</v>
      </c>
      <c r="E52" s="43">
        <v>683490.45382300136</v>
      </c>
      <c r="F52" s="44">
        <v>18627.981097888773</v>
      </c>
      <c r="G52" s="69">
        <v>44025</v>
      </c>
      <c r="H52" s="69">
        <v>44033</v>
      </c>
    </row>
    <row r="53" spans="2:8" ht="15" thickBot="1" x14ac:dyDescent="0.4">
      <c r="B53" s="8" t="s">
        <v>30</v>
      </c>
      <c r="C53" s="3">
        <v>1</v>
      </c>
      <c r="D53" s="10">
        <v>20</v>
      </c>
      <c r="E53" s="43">
        <v>136603.78125974254</v>
      </c>
      <c r="F53" s="44">
        <v>3338.9094295682175</v>
      </c>
      <c r="G53" s="69">
        <v>43892</v>
      </c>
      <c r="H53" s="69">
        <v>43895</v>
      </c>
    </row>
    <row r="54" spans="2:8" ht="15" thickBot="1" x14ac:dyDescent="0.4">
      <c r="B54" s="9" t="s">
        <v>43</v>
      </c>
      <c r="C54" s="3">
        <v>6</v>
      </c>
      <c r="D54" s="10">
        <f>1422+150+19</f>
        <v>1591</v>
      </c>
      <c r="E54" s="43">
        <v>176583.73174826213</v>
      </c>
      <c r="F54" s="44">
        <v>11637.84480365781</v>
      </c>
      <c r="G54" s="69">
        <v>44004</v>
      </c>
      <c r="H54" s="69">
        <v>44009</v>
      </c>
    </row>
    <row r="55" spans="2:8" ht="15" thickBot="1" x14ac:dyDescent="0.4">
      <c r="B55" s="10" t="s">
        <v>47</v>
      </c>
      <c r="C55" s="67">
        <v>11</v>
      </c>
      <c r="D55" s="10">
        <v>1502</v>
      </c>
      <c r="E55" s="45">
        <v>1598936.1802293358</v>
      </c>
      <c r="F55" s="46">
        <v>44273.070076995893</v>
      </c>
      <c r="G55" s="69">
        <v>43934</v>
      </c>
      <c r="H55" s="69">
        <v>43959</v>
      </c>
    </row>
    <row r="56" spans="2:8" ht="15" thickBot="1" x14ac:dyDescent="0.4">
      <c r="B56" s="9" t="s">
        <v>180</v>
      </c>
      <c r="C56" s="47">
        <v>1</v>
      </c>
      <c r="D56" s="10">
        <v>3684</v>
      </c>
      <c r="E56" s="46">
        <v>248042.39127507692</v>
      </c>
      <c r="F56" s="46">
        <v>7017.1078812183468</v>
      </c>
      <c r="G56" s="69">
        <v>44108</v>
      </c>
      <c r="H56" s="69">
        <v>44113</v>
      </c>
    </row>
    <row r="57" spans="2:8" ht="15" thickBot="1" x14ac:dyDescent="0.4">
      <c r="B57" s="10" t="s">
        <v>181</v>
      </c>
      <c r="C57" s="47">
        <v>22</v>
      </c>
      <c r="D57" s="10">
        <v>2586</v>
      </c>
      <c r="E57" s="45">
        <v>1556169.6469618692</v>
      </c>
      <c r="F57" s="46">
        <v>82621.419163038721</v>
      </c>
      <c r="G57" s="69">
        <v>44046</v>
      </c>
      <c r="H57" s="69">
        <v>44071</v>
      </c>
    </row>
  </sheetData>
  <conditionalFormatting sqref="B40:D40">
    <cfRule type="cellIs" dxfId="4" priority="6" operator="equal">
      <formula>"""Pass"""</formula>
    </cfRule>
  </conditionalFormatting>
  <conditionalFormatting sqref="B41:D41">
    <cfRule type="cellIs" dxfId="3" priority="5" operator="equal">
      <formula>"""Pass"""</formula>
    </cfRule>
  </conditionalFormatting>
  <conditionalFormatting sqref="B42:D42">
    <cfRule type="cellIs" dxfId="2" priority="4" operator="equal">
      <formula>"""Pass"""</formula>
    </cfRule>
  </conditionalFormatting>
  <conditionalFormatting sqref="B43:D43">
    <cfRule type="cellIs" dxfId="1" priority="3" operator="equal">
      <formula>"""Pass"""</formula>
    </cfRule>
  </conditionalFormatting>
  <conditionalFormatting sqref="B44:D44">
    <cfRule type="cellIs" dxfId="0" priority="1" operator="equal">
      <formula>"""Pass"""</formula>
    </cfRule>
  </conditionalFormatting>
  <pageMargins left="0.7" right="0.7" top="0.75" bottom="0.75" header="0.3" footer="0.3"/>
  <pageSetup paperSize="1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17"/>
  <sheetViews>
    <sheetView workbookViewId="0">
      <selection activeCell="E17" sqref="E17"/>
    </sheetView>
  </sheetViews>
  <sheetFormatPr defaultColWidth="9.1796875" defaultRowHeight="14.5" x14ac:dyDescent="0.35"/>
  <cols>
    <col min="1" max="1" width="16.7265625" style="1" bestFit="1" customWidth="1"/>
    <col min="2" max="2" width="62.26953125" style="1" bestFit="1" customWidth="1"/>
    <col min="3" max="3" width="15" style="1" bestFit="1" customWidth="1"/>
    <col min="4" max="4" width="15" style="62" customWidth="1"/>
    <col min="5" max="5" width="19.54296875" style="1" bestFit="1" customWidth="1"/>
    <col min="6" max="6" width="22.7265625" style="1" bestFit="1" customWidth="1"/>
    <col min="7" max="7" width="11.81640625" style="1" bestFit="1" customWidth="1"/>
    <col min="8" max="8" width="13.1796875" style="1" bestFit="1" customWidth="1"/>
    <col min="9" max="9" width="54" style="1" bestFit="1" customWidth="1"/>
    <col min="10" max="16384" width="9.1796875" style="1"/>
  </cols>
  <sheetData>
    <row r="1" spans="1:9" x14ac:dyDescent="0.35">
      <c r="D1" s="71"/>
    </row>
    <row r="2" spans="1:9" ht="21" x14ac:dyDescent="0.5">
      <c r="A2" s="64"/>
      <c r="B2" s="65" t="s">
        <v>183</v>
      </c>
    </row>
    <row r="3" spans="1:9" s="36" customFormat="1" x14ac:dyDescent="0.35">
      <c r="B3" s="36" t="s">
        <v>0</v>
      </c>
      <c r="C3" s="36" t="s">
        <v>1</v>
      </c>
      <c r="D3" s="36" t="s">
        <v>179</v>
      </c>
      <c r="E3" s="36" t="s">
        <v>4</v>
      </c>
      <c r="F3" s="36" t="s">
        <v>5</v>
      </c>
      <c r="G3" s="36" t="s">
        <v>2</v>
      </c>
      <c r="H3" s="36" t="s">
        <v>3</v>
      </c>
    </row>
    <row r="4" spans="1:9" x14ac:dyDescent="0.35">
      <c r="A4" s="60"/>
      <c r="B4" s="31" t="s">
        <v>67</v>
      </c>
      <c r="C4" s="72">
        <v>105</v>
      </c>
      <c r="D4" s="39">
        <v>3034</v>
      </c>
      <c r="E4" s="73"/>
      <c r="F4" s="70">
        <v>400000</v>
      </c>
      <c r="G4" s="35">
        <v>43906</v>
      </c>
      <c r="H4" s="74">
        <v>44012</v>
      </c>
      <c r="I4" s="75"/>
    </row>
    <row r="5" spans="1:9" x14ac:dyDescent="0.35">
      <c r="B5" s="31" t="s">
        <v>68</v>
      </c>
      <c r="C5" s="38">
        <v>1</v>
      </c>
      <c r="D5" s="39">
        <v>5041</v>
      </c>
      <c r="G5" s="35">
        <v>43906</v>
      </c>
      <c r="H5" s="74">
        <v>44012</v>
      </c>
    </row>
    <row r="6" spans="1:9" x14ac:dyDescent="0.35">
      <c r="B6" s="32" t="s">
        <v>69</v>
      </c>
      <c r="C6" s="38">
        <v>1</v>
      </c>
      <c r="D6" s="39">
        <v>7307</v>
      </c>
      <c r="G6" s="35">
        <v>43906</v>
      </c>
      <c r="H6" s="74">
        <v>44012</v>
      </c>
    </row>
    <row r="7" spans="1:9" x14ac:dyDescent="0.35">
      <c r="B7" s="33" t="s">
        <v>32</v>
      </c>
      <c r="C7" s="38">
        <v>1</v>
      </c>
      <c r="D7" s="39">
        <v>136</v>
      </c>
      <c r="G7" s="35">
        <v>43906</v>
      </c>
      <c r="H7" s="74">
        <v>44012</v>
      </c>
    </row>
    <row r="8" spans="1:9" x14ac:dyDescent="0.35">
      <c r="B8" s="31" t="s">
        <v>70</v>
      </c>
      <c r="C8" s="38">
        <f>5</f>
        <v>5</v>
      </c>
      <c r="D8" s="39">
        <v>4135</v>
      </c>
      <c r="G8" s="35">
        <v>43906</v>
      </c>
      <c r="H8" s="74">
        <v>44012</v>
      </c>
    </row>
    <row r="9" spans="1:9" x14ac:dyDescent="0.35">
      <c r="B9" s="33" t="s">
        <v>71</v>
      </c>
      <c r="C9" s="38">
        <v>4</v>
      </c>
      <c r="D9" s="39">
        <v>3736</v>
      </c>
      <c r="G9" s="35">
        <v>43906</v>
      </c>
      <c r="H9" s="74">
        <v>44012</v>
      </c>
    </row>
    <row r="10" spans="1:9" x14ac:dyDescent="0.35">
      <c r="B10" s="31" t="s">
        <v>72</v>
      </c>
      <c r="C10" s="38">
        <v>1</v>
      </c>
      <c r="D10" s="39">
        <v>1</v>
      </c>
      <c r="G10" s="35">
        <v>43906</v>
      </c>
      <c r="H10" s="74">
        <v>44012</v>
      </c>
    </row>
    <row r="11" spans="1:9" x14ac:dyDescent="0.35">
      <c r="B11" s="31" t="s">
        <v>73</v>
      </c>
      <c r="C11" s="38">
        <v>1</v>
      </c>
      <c r="D11" s="39">
        <v>1</v>
      </c>
      <c r="G11" s="35">
        <v>43906</v>
      </c>
      <c r="H11" s="74">
        <v>44012</v>
      </c>
    </row>
    <row r="12" spans="1:9" x14ac:dyDescent="0.35">
      <c r="B12" s="31" t="s">
        <v>74</v>
      </c>
      <c r="C12" s="38">
        <v>1</v>
      </c>
      <c r="D12" s="39">
        <v>136</v>
      </c>
      <c r="G12" s="35">
        <v>43906</v>
      </c>
      <c r="H12" s="74">
        <v>44012</v>
      </c>
    </row>
    <row r="13" spans="1:9" x14ac:dyDescent="0.35">
      <c r="B13" s="31" t="s">
        <v>75</v>
      </c>
      <c r="C13" s="38">
        <v>1</v>
      </c>
      <c r="D13" s="39">
        <v>2</v>
      </c>
      <c r="G13" s="35">
        <v>43906</v>
      </c>
      <c r="H13" s="74">
        <v>44012</v>
      </c>
    </row>
    <row r="14" spans="1:9" x14ac:dyDescent="0.35">
      <c r="B14" s="31" t="s">
        <v>76</v>
      </c>
      <c r="C14" s="38">
        <v>1</v>
      </c>
      <c r="D14" s="39">
        <v>2535</v>
      </c>
      <c r="G14" s="35">
        <v>43906</v>
      </c>
      <c r="H14" s="74">
        <v>44012</v>
      </c>
    </row>
    <row r="15" spans="1:9" x14ac:dyDescent="0.35">
      <c r="B15" s="33" t="s">
        <v>77</v>
      </c>
      <c r="C15" s="38">
        <f>8+2+19</f>
        <v>29</v>
      </c>
      <c r="D15" s="39">
        <v>6880</v>
      </c>
      <c r="G15" s="35">
        <v>43906</v>
      </c>
      <c r="H15" s="74">
        <v>44012</v>
      </c>
    </row>
    <row r="16" spans="1:9" x14ac:dyDescent="0.35">
      <c r="B16" s="33" t="s">
        <v>29</v>
      </c>
      <c r="C16" s="38">
        <v>1</v>
      </c>
      <c r="D16" s="39">
        <v>2503</v>
      </c>
      <c r="G16" s="35">
        <v>43906</v>
      </c>
      <c r="H16" s="74">
        <v>44012</v>
      </c>
    </row>
    <row r="17" spans="2:8" x14ac:dyDescent="0.35">
      <c r="B17" s="31" t="s">
        <v>78</v>
      </c>
      <c r="C17" s="38">
        <f>3+21+21</f>
        <v>45</v>
      </c>
      <c r="D17" s="39">
        <v>2800</v>
      </c>
      <c r="G17" s="35">
        <v>43906</v>
      </c>
      <c r="H17" s="74">
        <v>44012</v>
      </c>
    </row>
    <row r="18" spans="2:8" x14ac:dyDescent="0.35">
      <c r="B18" s="31" t="s">
        <v>79</v>
      </c>
      <c r="C18" s="38">
        <v>1</v>
      </c>
      <c r="D18" s="39">
        <v>558</v>
      </c>
      <c r="G18" s="35">
        <v>43906</v>
      </c>
      <c r="H18" s="74">
        <v>44012</v>
      </c>
    </row>
    <row r="19" spans="2:8" x14ac:dyDescent="0.35">
      <c r="B19" s="31" t="s">
        <v>80</v>
      </c>
      <c r="C19" s="38">
        <v>7</v>
      </c>
      <c r="D19" s="39">
        <v>2064</v>
      </c>
      <c r="G19" s="35">
        <v>43906</v>
      </c>
      <c r="H19" s="74">
        <v>44012</v>
      </c>
    </row>
    <row r="20" spans="2:8" x14ac:dyDescent="0.35">
      <c r="B20" s="31" t="s">
        <v>81</v>
      </c>
      <c r="C20" s="38">
        <f>6+59+53</f>
        <v>118</v>
      </c>
      <c r="D20" s="39">
        <v>2621</v>
      </c>
      <c r="G20" s="35">
        <v>43906</v>
      </c>
      <c r="H20" s="74">
        <v>44012</v>
      </c>
    </row>
    <row r="21" spans="2:8" x14ac:dyDescent="0.35">
      <c r="B21" s="31" t="s">
        <v>82</v>
      </c>
      <c r="C21" s="38">
        <v>1</v>
      </c>
      <c r="D21" s="39">
        <v>10184</v>
      </c>
      <c r="G21" s="35">
        <v>43906</v>
      </c>
      <c r="H21" s="74">
        <v>44012</v>
      </c>
    </row>
    <row r="22" spans="2:8" x14ac:dyDescent="0.35">
      <c r="B22" s="31" t="s">
        <v>83</v>
      </c>
      <c r="C22" s="38">
        <v>1</v>
      </c>
      <c r="D22" s="39">
        <v>1006</v>
      </c>
      <c r="G22" s="35">
        <v>43906</v>
      </c>
      <c r="H22" s="74">
        <v>44012</v>
      </c>
    </row>
    <row r="23" spans="2:8" x14ac:dyDescent="0.35">
      <c r="B23" s="31" t="s">
        <v>84</v>
      </c>
      <c r="C23" s="38">
        <v>1</v>
      </c>
      <c r="D23" s="39">
        <v>1</v>
      </c>
      <c r="G23" s="35">
        <v>43906</v>
      </c>
      <c r="H23" s="74">
        <v>44012</v>
      </c>
    </row>
    <row r="24" spans="2:8" x14ac:dyDescent="0.35">
      <c r="B24" s="33" t="s">
        <v>85</v>
      </c>
      <c r="C24" s="38">
        <v>65</v>
      </c>
      <c r="D24" s="40">
        <v>6226</v>
      </c>
      <c r="G24" s="35">
        <v>43906</v>
      </c>
      <c r="H24" s="74">
        <v>44012</v>
      </c>
    </row>
    <row r="25" spans="2:8" x14ac:dyDescent="0.35">
      <c r="B25" s="33" t="s">
        <v>86</v>
      </c>
      <c r="C25" s="38">
        <v>63</v>
      </c>
      <c r="D25" s="40">
        <f>3017+283+41</f>
        <v>3341</v>
      </c>
      <c r="G25" s="35">
        <v>43906</v>
      </c>
      <c r="H25" s="74">
        <v>44012</v>
      </c>
    </row>
    <row r="26" spans="2:8" x14ac:dyDescent="0.35">
      <c r="B26" s="32" t="s">
        <v>87</v>
      </c>
      <c r="C26" s="38">
        <v>1</v>
      </c>
      <c r="D26" s="41">
        <v>4413</v>
      </c>
      <c r="G26" s="35">
        <v>43906</v>
      </c>
      <c r="H26" s="74">
        <v>44012</v>
      </c>
    </row>
    <row r="27" spans="2:8" x14ac:dyDescent="0.35">
      <c r="B27" s="32" t="s">
        <v>88</v>
      </c>
      <c r="C27" s="38">
        <v>21</v>
      </c>
      <c r="D27" s="41">
        <f>2470+671+89</f>
        <v>3230</v>
      </c>
      <c r="G27" s="35">
        <v>43906</v>
      </c>
      <c r="H27" s="74">
        <v>44012</v>
      </c>
    </row>
    <row r="28" spans="2:8" x14ac:dyDescent="0.35">
      <c r="B28" s="32" t="s">
        <v>89</v>
      </c>
      <c r="C28" s="38">
        <v>41</v>
      </c>
      <c r="D28" s="41">
        <f>2417+392+57</f>
        <v>2866</v>
      </c>
      <c r="G28" s="35">
        <v>43906</v>
      </c>
      <c r="H28" s="74">
        <v>44012</v>
      </c>
    </row>
    <row r="29" spans="2:8" x14ac:dyDescent="0.35">
      <c r="B29" s="32" t="s">
        <v>90</v>
      </c>
      <c r="C29" s="38">
        <v>43</v>
      </c>
      <c r="D29" s="41">
        <f>5922+298+73</f>
        <v>6293</v>
      </c>
      <c r="G29" s="35">
        <v>43906</v>
      </c>
      <c r="H29" s="74">
        <v>44012</v>
      </c>
    </row>
    <row r="30" spans="2:8" x14ac:dyDescent="0.35">
      <c r="B30" s="33" t="s">
        <v>91</v>
      </c>
      <c r="C30" s="38">
        <f>7+62+191</f>
        <v>260</v>
      </c>
      <c r="D30" s="40">
        <f>1696+462+44</f>
        <v>2202</v>
      </c>
      <c r="G30" s="35">
        <v>43906</v>
      </c>
      <c r="H30" s="74">
        <v>44012</v>
      </c>
    </row>
    <row r="31" spans="2:8" x14ac:dyDescent="0.35">
      <c r="B31" s="33" t="s">
        <v>92</v>
      </c>
      <c r="C31" s="38">
        <v>80</v>
      </c>
      <c r="D31" s="40">
        <f>5032+866+120</f>
        <v>6018</v>
      </c>
      <c r="G31" s="35">
        <v>43906</v>
      </c>
      <c r="H31" s="74">
        <v>44012</v>
      </c>
    </row>
    <row r="32" spans="2:8" x14ac:dyDescent="0.35">
      <c r="B32" s="33" t="s">
        <v>93</v>
      </c>
      <c r="C32" s="38">
        <v>6</v>
      </c>
      <c r="D32" s="40">
        <f>839+88+11</f>
        <v>938</v>
      </c>
      <c r="G32" s="35">
        <v>43906</v>
      </c>
      <c r="H32" s="74">
        <v>44012</v>
      </c>
    </row>
    <row r="33" spans="2:8" x14ac:dyDescent="0.35">
      <c r="B33" s="33" t="s">
        <v>94</v>
      </c>
      <c r="C33" s="38">
        <f>41+70+185</f>
        <v>296</v>
      </c>
      <c r="D33" s="59">
        <v>10704</v>
      </c>
      <c r="G33" s="35">
        <v>43906</v>
      </c>
      <c r="H33" s="74">
        <v>44012</v>
      </c>
    </row>
    <row r="34" spans="2:8" x14ac:dyDescent="0.35">
      <c r="B34" s="33" t="s">
        <v>95</v>
      </c>
      <c r="C34" s="38">
        <f>68+16+23</f>
        <v>107</v>
      </c>
      <c r="D34" s="40">
        <f>1916+385+55</f>
        <v>2356</v>
      </c>
      <c r="G34" s="35">
        <v>43906</v>
      </c>
      <c r="H34" s="74">
        <v>44012</v>
      </c>
    </row>
    <row r="35" spans="2:8" x14ac:dyDescent="0.35">
      <c r="B35" s="33" t="s">
        <v>96</v>
      </c>
      <c r="C35" s="38">
        <f>6+48</f>
        <v>54</v>
      </c>
      <c r="D35" s="40">
        <f>12542+1692+256</f>
        <v>14490</v>
      </c>
      <c r="G35" s="35">
        <v>43906</v>
      </c>
      <c r="H35" s="74">
        <v>44012</v>
      </c>
    </row>
    <row r="36" spans="2:8" x14ac:dyDescent="0.35">
      <c r="B36" s="33" t="s">
        <v>97</v>
      </c>
      <c r="C36" s="38">
        <f>3+103+79</f>
        <v>185</v>
      </c>
      <c r="D36" s="40">
        <v>3</v>
      </c>
      <c r="G36" s="35">
        <v>43906</v>
      </c>
      <c r="H36" s="74">
        <v>44012</v>
      </c>
    </row>
    <row r="37" spans="2:8" x14ac:dyDescent="0.35">
      <c r="B37" s="33" t="s">
        <v>98</v>
      </c>
      <c r="C37" s="38">
        <f>27+27+33</f>
        <v>87</v>
      </c>
      <c r="D37" s="40">
        <f>3761+288+55</f>
        <v>4104</v>
      </c>
      <c r="G37" s="35">
        <v>43906</v>
      </c>
      <c r="H37" s="74">
        <v>44012</v>
      </c>
    </row>
    <row r="38" spans="2:8" x14ac:dyDescent="0.35">
      <c r="B38" s="33" t="s">
        <v>99</v>
      </c>
      <c r="C38" s="38">
        <f>2+3+9</f>
        <v>14</v>
      </c>
      <c r="D38" s="40">
        <f>5225+551+68</f>
        <v>5844</v>
      </c>
      <c r="G38" s="35">
        <v>43906</v>
      </c>
      <c r="H38" s="74">
        <v>44012</v>
      </c>
    </row>
    <row r="39" spans="2:8" x14ac:dyDescent="0.35">
      <c r="B39" s="33" t="s">
        <v>100</v>
      </c>
      <c r="C39" s="38">
        <f>54+21+37</f>
        <v>112</v>
      </c>
      <c r="D39" s="40">
        <f>29211+3559+366</f>
        <v>33136</v>
      </c>
      <c r="G39" s="35">
        <v>43906</v>
      </c>
      <c r="H39" s="74">
        <v>44012</v>
      </c>
    </row>
    <row r="40" spans="2:8" x14ac:dyDescent="0.35">
      <c r="B40" s="33" t="s">
        <v>101</v>
      </c>
      <c r="C40" s="38">
        <f>30+164+274+2</f>
        <v>470</v>
      </c>
      <c r="D40" s="40">
        <f>2213+377+88</f>
        <v>2678</v>
      </c>
      <c r="G40" s="35">
        <v>43906</v>
      </c>
      <c r="H40" s="74">
        <v>44012</v>
      </c>
    </row>
    <row r="41" spans="2:8" x14ac:dyDescent="0.35">
      <c r="B41" s="33" t="s">
        <v>102</v>
      </c>
      <c r="C41" s="38">
        <f>5+62+55</f>
        <v>122</v>
      </c>
      <c r="D41" s="40">
        <f>3761+288+55</f>
        <v>4104</v>
      </c>
      <c r="G41" s="35">
        <v>43906</v>
      </c>
      <c r="H41" s="74">
        <v>44012</v>
      </c>
    </row>
    <row r="42" spans="2:8" x14ac:dyDescent="0.35">
      <c r="B42" s="32" t="s">
        <v>103</v>
      </c>
      <c r="C42" s="38">
        <f>6+41+88</f>
        <v>135</v>
      </c>
      <c r="D42" s="41">
        <f>8836+1488+146</f>
        <v>10470</v>
      </c>
      <c r="G42" s="35">
        <v>43906</v>
      </c>
      <c r="H42" s="74">
        <v>44012</v>
      </c>
    </row>
    <row r="43" spans="2:8" x14ac:dyDescent="0.35">
      <c r="B43" s="32" t="s">
        <v>104</v>
      </c>
      <c r="C43" s="38">
        <f>9+35+14+1</f>
        <v>59</v>
      </c>
      <c r="D43" s="41">
        <f>8836+1488+146</f>
        <v>10470</v>
      </c>
      <c r="G43" s="35">
        <v>43906</v>
      </c>
      <c r="H43" s="74">
        <v>44012</v>
      </c>
    </row>
    <row r="44" spans="2:8" x14ac:dyDescent="0.35">
      <c r="B44" s="32" t="s">
        <v>105</v>
      </c>
      <c r="C44" s="38">
        <f>6+48+49</f>
        <v>103</v>
      </c>
      <c r="D44" s="41">
        <f>3761+288+55</f>
        <v>4104</v>
      </c>
      <c r="G44" s="35">
        <v>43906</v>
      </c>
      <c r="H44" s="74">
        <v>44012</v>
      </c>
    </row>
    <row r="45" spans="2:8" x14ac:dyDescent="0.35">
      <c r="B45" s="32" t="s">
        <v>106</v>
      </c>
      <c r="C45" s="38">
        <f>27+47+108</f>
        <v>182</v>
      </c>
      <c r="D45" s="41">
        <f>3761+288+55</f>
        <v>4104</v>
      </c>
      <c r="G45" s="35">
        <v>43906</v>
      </c>
      <c r="H45" s="74">
        <v>44012</v>
      </c>
    </row>
    <row r="46" spans="2:8" x14ac:dyDescent="0.35">
      <c r="B46" s="32" t="s">
        <v>107</v>
      </c>
      <c r="C46" s="38">
        <f>18+9+5</f>
        <v>32</v>
      </c>
      <c r="D46" s="41">
        <f>4389+139+50</f>
        <v>4578</v>
      </c>
      <c r="G46" s="35">
        <v>43906</v>
      </c>
      <c r="H46" s="74">
        <v>44012</v>
      </c>
    </row>
    <row r="47" spans="2:8" x14ac:dyDescent="0.35">
      <c r="B47" s="32" t="s">
        <v>108</v>
      </c>
      <c r="C47" s="38">
        <f>11+116+32</f>
        <v>159</v>
      </c>
      <c r="D47" s="41">
        <f>1642+234+66</f>
        <v>1942</v>
      </c>
      <c r="G47" s="35">
        <v>43906</v>
      </c>
      <c r="H47" s="74">
        <v>44012</v>
      </c>
    </row>
    <row r="48" spans="2:8" x14ac:dyDescent="0.35">
      <c r="B48" s="32" t="s">
        <v>109</v>
      </c>
      <c r="C48" s="38">
        <f>11+29+21+4</f>
        <v>65</v>
      </c>
      <c r="D48" s="41">
        <v>11644</v>
      </c>
      <c r="G48" s="35">
        <v>43906</v>
      </c>
      <c r="H48" s="74">
        <v>44012</v>
      </c>
    </row>
    <row r="49" spans="2:8" x14ac:dyDescent="0.35">
      <c r="B49" s="32" t="s">
        <v>110</v>
      </c>
      <c r="C49" s="38">
        <f>4+29+5+1</f>
        <v>39</v>
      </c>
      <c r="D49" s="41">
        <v>1</v>
      </c>
      <c r="G49" s="35">
        <v>43906</v>
      </c>
      <c r="H49" s="74">
        <v>44012</v>
      </c>
    </row>
    <row r="50" spans="2:8" x14ac:dyDescent="0.35">
      <c r="B50" s="34" t="s">
        <v>111</v>
      </c>
      <c r="C50" s="38">
        <f>1+4</f>
        <v>5</v>
      </c>
      <c r="D50" s="42">
        <f>834+88+11</f>
        <v>933</v>
      </c>
      <c r="G50" s="35">
        <v>43906</v>
      </c>
      <c r="H50" s="74">
        <v>44012</v>
      </c>
    </row>
    <row r="51" spans="2:8" x14ac:dyDescent="0.35">
      <c r="B51" s="32" t="s">
        <v>112</v>
      </c>
      <c r="C51" s="38">
        <f>14+5+60</f>
        <v>79</v>
      </c>
      <c r="D51" s="41">
        <f>7026+636+84</f>
        <v>7746</v>
      </c>
      <c r="G51" s="35">
        <v>43906</v>
      </c>
      <c r="H51" s="74">
        <v>44012</v>
      </c>
    </row>
    <row r="52" spans="2:8" x14ac:dyDescent="0.35">
      <c r="B52" s="32" t="s">
        <v>113</v>
      </c>
      <c r="C52" s="38">
        <f>26+9+11</f>
        <v>46</v>
      </c>
      <c r="D52" s="41">
        <f>8481+730+89</f>
        <v>9300</v>
      </c>
      <c r="G52" s="35">
        <v>43906</v>
      </c>
      <c r="H52" s="74">
        <v>44012</v>
      </c>
    </row>
    <row r="53" spans="2:8" x14ac:dyDescent="0.35">
      <c r="B53" s="32" t="s">
        <v>114</v>
      </c>
      <c r="C53" s="38">
        <f>24+75+67</f>
        <v>166</v>
      </c>
      <c r="D53" s="41">
        <f>1399+117+27</f>
        <v>1543</v>
      </c>
      <c r="G53" s="35">
        <v>43906</v>
      </c>
      <c r="H53" s="74">
        <v>44012</v>
      </c>
    </row>
    <row r="54" spans="2:8" x14ac:dyDescent="0.35">
      <c r="B54" s="32" t="s">
        <v>115</v>
      </c>
      <c r="C54" s="38">
        <f>2+26+46</f>
        <v>74</v>
      </c>
      <c r="D54" s="41">
        <f>12591+929+117</f>
        <v>13637</v>
      </c>
      <c r="G54" s="35">
        <v>43906</v>
      </c>
      <c r="H54" s="74">
        <v>44012</v>
      </c>
    </row>
    <row r="55" spans="2:8" x14ac:dyDescent="0.35">
      <c r="B55" s="32" t="s">
        <v>116</v>
      </c>
      <c r="C55" s="38">
        <f>5+25+20</f>
        <v>50</v>
      </c>
      <c r="D55" s="41">
        <f>15530+873+117</f>
        <v>16520</v>
      </c>
      <c r="G55" s="35">
        <v>43906</v>
      </c>
      <c r="H55" s="74">
        <v>44012</v>
      </c>
    </row>
    <row r="56" spans="2:8" x14ac:dyDescent="0.35">
      <c r="B56" s="32" t="s">
        <v>117</v>
      </c>
      <c r="C56" s="38">
        <f>28+22+26</f>
        <v>76</v>
      </c>
      <c r="D56" s="41">
        <f>19023+1555+168</f>
        <v>20746</v>
      </c>
      <c r="G56" s="35">
        <v>43906</v>
      </c>
      <c r="H56" s="74">
        <v>44012</v>
      </c>
    </row>
    <row r="57" spans="2:8" x14ac:dyDescent="0.35">
      <c r="B57" s="32" t="s">
        <v>118</v>
      </c>
      <c r="C57" s="38">
        <f>21+45+76</f>
        <v>142</v>
      </c>
      <c r="D57" s="41">
        <f>3178+336+41</f>
        <v>3555</v>
      </c>
      <c r="G57" s="35">
        <v>43906</v>
      </c>
      <c r="H57" s="74">
        <v>44012</v>
      </c>
    </row>
    <row r="58" spans="2:8" x14ac:dyDescent="0.35">
      <c r="B58" s="32" t="s">
        <v>119</v>
      </c>
      <c r="C58" s="38">
        <f>92+21+4</f>
        <v>117</v>
      </c>
      <c r="D58" s="41">
        <f>5606+1159+79</f>
        <v>6844</v>
      </c>
      <c r="G58" s="35">
        <v>43906</v>
      </c>
      <c r="H58" s="74">
        <v>44012</v>
      </c>
    </row>
    <row r="59" spans="2:8" x14ac:dyDescent="0.35">
      <c r="B59" s="32" t="s">
        <v>120</v>
      </c>
      <c r="C59" s="38">
        <v>1</v>
      </c>
      <c r="D59" s="41">
        <v>1</v>
      </c>
      <c r="G59" s="35">
        <v>43906</v>
      </c>
      <c r="H59" s="74">
        <v>44012</v>
      </c>
    </row>
    <row r="60" spans="2:8" x14ac:dyDescent="0.35">
      <c r="B60" s="32" t="s">
        <v>121</v>
      </c>
      <c r="C60" s="38">
        <f>4+67+33</f>
        <v>104</v>
      </c>
      <c r="D60" s="41">
        <f>3830+421+85</f>
        <v>4336</v>
      </c>
      <c r="G60" s="35">
        <v>43906</v>
      </c>
      <c r="H60" s="74">
        <v>44012</v>
      </c>
    </row>
    <row r="61" spans="2:8" x14ac:dyDescent="0.35">
      <c r="B61" s="32" t="s">
        <v>122</v>
      </c>
      <c r="C61" s="38">
        <f>59+175+102</f>
        <v>336</v>
      </c>
      <c r="D61" s="41">
        <f>787+83+10</f>
        <v>880</v>
      </c>
      <c r="G61" s="35">
        <v>43906</v>
      </c>
      <c r="H61" s="74">
        <v>44012</v>
      </c>
    </row>
    <row r="62" spans="2:8" x14ac:dyDescent="0.35">
      <c r="B62" s="32" t="s">
        <v>123</v>
      </c>
      <c r="C62" s="38">
        <f>30+31</f>
        <v>61</v>
      </c>
      <c r="D62" s="41">
        <f>5381+515+137</f>
        <v>6033</v>
      </c>
      <c r="G62" s="35">
        <v>43906</v>
      </c>
      <c r="H62" s="74">
        <v>44012</v>
      </c>
    </row>
    <row r="63" spans="2:8" x14ac:dyDescent="0.35">
      <c r="B63" s="32" t="s">
        <v>124</v>
      </c>
      <c r="C63" s="38">
        <f>8+33+70</f>
        <v>111</v>
      </c>
      <c r="D63" s="41">
        <f>12041+1632+97</f>
        <v>13770</v>
      </c>
      <c r="G63" s="35">
        <v>43906</v>
      </c>
      <c r="H63" s="74">
        <v>44012</v>
      </c>
    </row>
    <row r="64" spans="2:8" x14ac:dyDescent="0.35">
      <c r="B64" s="32" t="s">
        <v>125</v>
      </c>
      <c r="C64" s="38">
        <f>81+91+140</f>
        <v>312</v>
      </c>
      <c r="D64" s="41">
        <f>3182+336+41</f>
        <v>3559</v>
      </c>
      <c r="G64" s="35">
        <v>43906</v>
      </c>
      <c r="H64" s="74">
        <v>44012</v>
      </c>
    </row>
    <row r="65" spans="2:8" x14ac:dyDescent="0.35">
      <c r="B65" s="32" t="s">
        <v>126</v>
      </c>
      <c r="C65" s="38">
        <f>1+151+104</f>
        <v>256</v>
      </c>
      <c r="D65" s="41">
        <v>1063</v>
      </c>
      <c r="G65" s="35">
        <v>43906</v>
      </c>
      <c r="H65" s="74">
        <v>44012</v>
      </c>
    </row>
    <row r="66" spans="2:8" x14ac:dyDescent="0.35">
      <c r="B66" s="32" t="s">
        <v>127</v>
      </c>
      <c r="C66" s="38">
        <f>14+1+202</f>
        <v>217</v>
      </c>
      <c r="D66" s="41">
        <v>2394</v>
      </c>
      <c r="G66" s="35">
        <v>43906</v>
      </c>
      <c r="H66" s="74">
        <v>44012</v>
      </c>
    </row>
    <row r="67" spans="2:8" x14ac:dyDescent="0.35">
      <c r="B67" s="32" t="s">
        <v>42</v>
      </c>
      <c r="C67" s="38">
        <f>57+94+164</f>
        <v>315</v>
      </c>
      <c r="D67" s="41">
        <v>5134</v>
      </c>
      <c r="G67" s="35">
        <v>43906</v>
      </c>
      <c r="H67" s="74">
        <v>44012</v>
      </c>
    </row>
    <row r="68" spans="2:8" x14ac:dyDescent="0.35">
      <c r="B68" s="32" t="s">
        <v>128</v>
      </c>
      <c r="C68" s="38">
        <f>77+20</f>
        <v>97</v>
      </c>
      <c r="D68" s="41">
        <f>6255+936+111</f>
        <v>7302</v>
      </c>
      <c r="G68" s="35">
        <v>43906</v>
      </c>
      <c r="H68" s="74">
        <v>44012</v>
      </c>
    </row>
    <row r="69" spans="2:8" x14ac:dyDescent="0.35">
      <c r="B69" s="32" t="s">
        <v>129</v>
      </c>
      <c r="C69" s="38">
        <f>85+2+106</f>
        <v>193</v>
      </c>
      <c r="D69" s="41">
        <f>2229+466+72</f>
        <v>2767</v>
      </c>
      <c r="G69" s="35">
        <v>43906</v>
      </c>
      <c r="H69" s="74">
        <v>44012</v>
      </c>
    </row>
    <row r="70" spans="2:8" x14ac:dyDescent="0.35">
      <c r="B70" s="32" t="s">
        <v>130</v>
      </c>
      <c r="C70" s="38">
        <f>33+6+103</f>
        <v>142</v>
      </c>
      <c r="D70" s="41">
        <f>4633+640+99</f>
        <v>5372</v>
      </c>
      <c r="G70" s="35">
        <v>43906</v>
      </c>
      <c r="H70" s="74">
        <v>44012</v>
      </c>
    </row>
    <row r="71" spans="2:8" x14ac:dyDescent="0.35">
      <c r="B71" s="32" t="s">
        <v>131</v>
      </c>
      <c r="C71" s="38">
        <f>2+42+53</f>
        <v>97</v>
      </c>
      <c r="D71" s="41">
        <f>8912+394+41</f>
        <v>9347</v>
      </c>
      <c r="G71" s="35">
        <v>43906</v>
      </c>
      <c r="H71" s="74">
        <v>44012</v>
      </c>
    </row>
    <row r="72" spans="2:8" x14ac:dyDescent="0.35">
      <c r="B72" s="32" t="s">
        <v>132</v>
      </c>
      <c r="C72" s="38">
        <f>3+31+30</f>
        <v>64</v>
      </c>
      <c r="D72" s="41">
        <f>8912+394+41</f>
        <v>9347</v>
      </c>
      <c r="G72" s="35">
        <v>43906</v>
      </c>
      <c r="H72" s="74">
        <v>44012</v>
      </c>
    </row>
    <row r="73" spans="2:8" x14ac:dyDescent="0.35">
      <c r="B73" s="32" t="s">
        <v>133</v>
      </c>
      <c r="C73" s="38">
        <f>5+1+19</f>
        <v>25</v>
      </c>
      <c r="D73" s="41">
        <f>580+105+11</f>
        <v>696</v>
      </c>
      <c r="G73" s="35">
        <v>43906</v>
      </c>
      <c r="H73" s="74">
        <v>44012</v>
      </c>
    </row>
    <row r="74" spans="2:8" x14ac:dyDescent="0.35">
      <c r="B74" s="32" t="s">
        <v>134</v>
      </c>
      <c r="C74" s="38">
        <f>83+114</f>
        <v>197</v>
      </c>
      <c r="D74" s="41">
        <f>10772+1152+215</f>
        <v>12139</v>
      </c>
      <c r="G74" s="35">
        <v>43906</v>
      </c>
      <c r="H74" s="74">
        <v>44012</v>
      </c>
    </row>
    <row r="75" spans="2:8" x14ac:dyDescent="0.35">
      <c r="B75" s="32" t="s">
        <v>135</v>
      </c>
      <c r="C75" s="38">
        <f>4+50+186</f>
        <v>240</v>
      </c>
      <c r="D75" s="41">
        <f>1036+228+64</f>
        <v>1328</v>
      </c>
      <c r="G75" s="35">
        <v>43906</v>
      </c>
      <c r="H75" s="74">
        <v>44012</v>
      </c>
    </row>
    <row r="76" spans="2:8" x14ac:dyDescent="0.35">
      <c r="B76" s="32" t="s">
        <v>136</v>
      </c>
      <c r="C76" s="38">
        <f>1+18+7+24</f>
        <v>50</v>
      </c>
      <c r="D76" s="41">
        <f>1202+128+16</f>
        <v>1346</v>
      </c>
      <c r="G76" s="35">
        <v>43906</v>
      </c>
      <c r="H76" s="74">
        <v>44012</v>
      </c>
    </row>
    <row r="77" spans="2:8" x14ac:dyDescent="0.35">
      <c r="B77" s="32" t="s">
        <v>45</v>
      </c>
      <c r="C77" s="38">
        <f>2+74+20</f>
        <v>96</v>
      </c>
      <c r="D77" s="41">
        <v>1</v>
      </c>
      <c r="G77" s="35">
        <v>43906</v>
      </c>
      <c r="H77" s="74">
        <v>44012</v>
      </c>
    </row>
    <row r="78" spans="2:8" x14ac:dyDescent="0.35">
      <c r="B78" s="32" t="s">
        <v>137</v>
      </c>
      <c r="C78" s="38">
        <f>14+172+68</f>
        <v>254</v>
      </c>
      <c r="D78" s="41">
        <v>1</v>
      </c>
      <c r="G78" s="35">
        <v>43906</v>
      </c>
      <c r="H78" s="74">
        <v>44012</v>
      </c>
    </row>
    <row r="79" spans="2:8" x14ac:dyDescent="0.35">
      <c r="B79" s="32" t="s">
        <v>138</v>
      </c>
      <c r="C79" s="38">
        <f>24+33+27</f>
        <v>84</v>
      </c>
      <c r="D79" s="41">
        <v>1</v>
      </c>
      <c r="G79" s="35">
        <v>43906</v>
      </c>
      <c r="H79" s="74">
        <v>44012</v>
      </c>
    </row>
    <row r="80" spans="2:8" x14ac:dyDescent="0.35">
      <c r="B80" s="32" t="s">
        <v>139</v>
      </c>
      <c r="C80" s="38">
        <f>1+30+50</f>
        <v>81</v>
      </c>
      <c r="D80" s="41">
        <f>17193+2458+311</f>
        <v>19962</v>
      </c>
      <c r="G80" s="35">
        <v>43906</v>
      </c>
      <c r="H80" s="74">
        <v>44012</v>
      </c>
    </row>
    <row r="81" spans="2:8" x14ac:dyDescent="0.35">
      <c r="B81" s="32" t="s">
        <v>140</v>
      </c>
      <c r="C81" s="38">
        <f>27+4+56</f>
        <v>87</v>
      </c>
      <c r="D81" s="41">
        <f>10297+901+70</f>
        <v>11268</v>
      </c>
      <c r="G81" s="35">
        <v>43906</v>
      </c>
      <c r="H81" s="74">
        <v>44012</v>
      </c>
    </row>
    <row r="82" spans="2:8" x14ac:dyDescent="0.35">
      <c r="B82" s="32" t="s">
        <v>141</v>
      </c>
      <c r="C82" s="38">
        <f>1+23+35</f>
        <v>59</v>
      </c>
      <c r="D82" s="41">
        <f>12228+1112+70</f>
        <v>13410</v>
      </c>
      <c r="G82" s="35">
        <v>43906</v>
      </c>
      <c r="H82" s="74">
        <v>44012</v>
      </c>
    </row>
    <row r="83" spans="2:8" x14ac:dyDescent="0.35">
      <c r="B83" s="32" t="s">
        <v>142</v>
      </c>
      <c r="C83" s="38">
        <f>2+4+1</f>
        <v>7</v>
      </c>
      <c r="D83" s="41">
        <f>12982+1101+163</f>
        <v>14246</v>
      </c>
      <c r="G83" s="35">
        <v>43906</v>
      </c>
      <c r="H83" s="74">
        <v>44012</v>
      </c>
    </row>
    <row r="84" spans="2:8" x14ac:dyDescent="0.35">
      <c r="B84" s="32" t="s">
        <v>143</v>
      </c>
      <c r="C84" s="38">
        <f>12+32+61</f>
        <v>105</v>
      </c>
      <c r="D84" s="41">
        <f>11923+1079+136</f>
        <v>13138</v>
      </c>
      <c r="G84" s="35">
        <v>43906</v>
      </c>
      <c r="H84" s="74">
        <v>44012</v>
      </c>
    </row>
    <row r="85" spans="2:8" x14ac:dyDescent="0.35">
      <c r="B85" s="32" t="s">
        <v>144</v>
      </c>
      <c r="C85" s="38">
        <f>6+161+8</f>
        <v>175</v>
      </c>
      <c r="D85" s="41">
        <f>8245+1208+175</f>
        <v>9628</v>
      </c>
      <c r="G85" s="35">
        <v>43906</v>
      </c>
      <c r="H85" s="74">
        <v>44012</v>
      </c>
    </row>
    <row r="86" spans="2:8" x14ac:dyDescent="0.35">
      <c r="B86" s="32" t="s">
        <v>145</v>
      </c>
      <c r="C86" s="38">
        <f>3+10+22</f>
        <v>35</v>
      </c>
      <c r="D86" s="41">
        <v>1</v>
      </c>
      <c r="G86" s="35">
        <v>43906</v>
      </c>
      <c r="H86" s="74">
        <v>44012</v>
      </c>
    </row>
    <row r="87" spans="2:8" x14ac:dyDescent="0.35">
      <c r="B87" s="32" t="s">
        <v>146</v>
      </c>
      <c r="C87" s="38">
        <f>10+28+17</f>
        <v>55</v>
      </c>
      <c r="D87" s="41">
        <f>7226+791+54</f>
        <v>8071</v>
      </c>
      <c r="G87" s="35">
        <v>43906</v>
      </c>
      <c r="H87" s="74">
        <v>44012</v>
      </c>
    </row>
    <row r="88" spans="2:8" x14ac:dyDescent="0.35">
      <c r="B88" s="32" t="s">
        <v>147</v>
      </c>
      <c r="C88" s="38">
        <f>3+5</f>
        <v>8</v>
      </c>
      <c r="D88" s="41">
        <v>1</v>
      </c>
      <c r="G88" s="35">
        <v>43906</v>
      </c>
      <c r="H88" s="74">
        <v>44012</v>
      </c>
    </row>
    <row r="89" spans="2:8" x14ac:dyDescent="0.35">
      <c r="B89" s="32" t="s">
        <v>148</v>
      </c>
      <c r="C89" s="38">
        <f>128+10+24</f>
        <v>162</v>
      </c>
      <c r="D89" s="41">
        <v>11451</v>
      </c>
      <c r="G89" s="35">
        <v>43906</v>
      </c>
      <c r="H89" s="74">
        <v>44012</v>
      </c>
    </row>
    <row r="90" spans="2:8" x14ac:dyDescent="0.35">
      <c r="B90" s="32" t="s">
        <v>149</v>
      </c>
      <c r="C90" s="38">
        <f>5+69+111</f>
        <v>185</v>
      </c>
      <c r="D90" s="41">
        <f>3347+402+58</f>
        <v>3807</v>
      </c>
      <c r="G90" s="35">
        <v>43906</v>
      </c>
      <c r="H90" s="74">
        <v>44012</v>
      </c>
    </row>
    <row r="91" spans="2:8" x14ac:dyDescent="0.35">
      <c r="B91" s="32" t="s">
        <v>150</v>
      </c>
      <c r="C91" s="38">
        <f>39</f>
        <v>39</v>
      </c>
      <c r="D91" s="41">
        <v>0</v>
      </c>
      <c r="G91" s="35">
        <v>43906</v>
      </c>
      <c r="H91" s="74">
        <v>44012</v>
      </c>
    </row>
    <row r="92" spans="2:8" x14ac:dyDescent="0.35">
      <c r="B92" s="32" t="s">
        <v>151</v>
      </c>
      <c r="C92" s="38">
        <f>29+21+88</f>
        <v>138</v>
      </c>
      <c r="D92" s="41">
        <v>1</v>
      </c>
      <c r="G92" s="35">
        <v>43906</v>
      </c>
      <c r="H92" s="74">
        <v>44012</v>
      </c>
    </row>
    <row r="93" spans="2:8" x14ac:dyDescent="0.35">
      <c r="B93" s="32" t="s">
        <v>152</v>
      </c>
      <c r="C93" s="38">
        <f>20+30+1+27</f>
        <v>78</v>
      </c>
      <c r="D93" s="41">
        <f>10866+1652+89</f>
        <v>12607</v>
      </c>
      <c r="G93" s="35">
        <v>43906</v>
      </c>
      <c r="H93" s="74">
        <v>44012</v>
      </c>
    </row>
    <row r="94" spans="2:8" x14ac:dyDescent="0.35">
      <c r="B94" s="32" t="s">
        <v>153</v>
      </c>
      <c r="C94" s="38">
        <f>37+6+20</f>
        <v>63</v>
      </c>
      <c r="D94" s="41">
        <v>1</v>
      </c>
      <c r="G94" s="35">
        <v>43906</v>
      </c>
      <c r="H94" s="74">
        <v>44012</v>
      </c>
    </row>
    <row r="95" spans="2:8" x14ac:dyDescent="0.35">
      <c r="B95" s="32" t="s">
        <v>154</v>
      </c>
      <c r="C95" s="38">
        <f>182+173+77</f>
        <v>432</v>
      </c>
      <c r="D95" s="41">
        <v>1</v>
      </c>
      <c r="G95" s="35">
        <v>43906</v>
      </c>
      <c r="H95" s="74">
        <v>44012</v>
      </c>
    </row>
    <row r="96" spans="2:8" x14ac:dyDescent="0.35">
      <c r="B96" s="32" t="s">
        <v>155</v>
      </c>
      <c r="C96" s="38">
        <f>14+16+75</f>
        <v>105</v>
      </c>
      <c r="D96" s="41">
        <f>388+1549+46</f>
        <v>1983</v>
      </c>
      <c r="G96" s="35">
        <v>43906</v>
      </c>
      <c r="H96" s="74">
        <v>44012</v>
      </c>
    </row>
    <row r="97" spans="2:8" x14ac:dyDescent="0.35">
      <c r="B97" s="32" t="s">
        <v>156</v>
      </c>
      <c r="C97" s="38">
        <f>44+97+47</f>
        <v>188</v>
      </c>
      <c r="D97" s="41">
        <f>10621+1048+192</f>
        <v>11861</v>
      </c>
      <c r="G97" s="35">
        <v>43906</v>
      </c>
      <c r="H97" s="74">
        <v>44012</v>
      </c>
    </row>
    <row r="98" spans="2:8" x14ac:dyDescent="0.35">
      <c r="B98" s="32" t="s">
        <v>157</v>
      </c>
      <c r="C98" s="38">
        <f>62+19+2</f>
        <v>83</v>
      </c>
      <c r="D98" s="41">
        <f>10621+1048+192</f>
        <v>11861</v>
      </c>
      <c r="G98" s="35">
        <v>43906</v>
      </c>
      <c r="H98" s="74">
        <v>44012</v>
      </c>
    </row>
    <row r="99" spans="2:8" x14ac:dyDescent="0.35">
      <c r="B99" s="32" t="s">
        <v>158</v>
      </c>
      <c r="C99" s="38">
        <f>23+90</f>
        <v>113</v>
      </c>
      <c r="D99" s="41">
        <v>1</v>
      </c>
      <c r="G99" s="35">
        <v>43906</v>
      </c>
      <c r="H99" s="74">
        <v>44012</v>
      </c>
    </row>
    <row r="100" spans="2:8" x14ac:dyDescent="0.35">
      <c r="B100" s="32" t="s">
        <v>159</v>
      </c>
      <c r="C100" s="38">
        <f>9+25+57</f>
        <v>91</v>
      </c>
      <c r="D100" s="41">
        <f>2395+253+31</f>
        <v>2679</v>
      </c>
      <c r="G100" s="35">
        <v>43906</v>
      </c>
      <c r="H100" s="74">
        <v>44012</v>
      </c>
    </row>
    <row r="101" spans="2:8" x14ac:dyDescent="0.35">
      <c r="B101" s="32" t="s">
        <v>160</v>
      </c>
      <c r="C101" s="38">
        <f>5+60+90</f>
        <v>155</v>
      </c>
      <c r="D101" s="41">
        <v>6940</v>
      </c>
      <c r="G101" s="35">
        <v>43906</v>
      </c>
      <c r="H101" s="74">
        <v>44012</v>
      </c>
    </row>
    <row r="102" spans="2:8" x14ac:dyDescent="0.35">
      <c r="B102" s="32" t="s">
        <v>161</v>
      </c>
      <c r="C102" s="38">
        <f>45+57+60</f>
        <v>162</v>
      </c>
      <c r="D102" s="41">
        <f>722+182+69</f>
        <v>973</v>
      </c>
      <c r="G102" s="35">
        <v>43906</v>
      </c>
      <c r="H102" s="74">
        <v>44012</v>
      </c>
    </row>
    <row r="103" spans="2:8" x14ac:dyDescent="0.35">
      <c r="B103" s="32" t="s">
        <v>162</v>
      </c>
      <c r="C103" s="38">
        <f>37+12+67</f>
        <v>116</v>
      </c>
      <c r="D103" s="41">
        <f>10643+1937+245</f>
        <v>12825</v>
      </c>
      <c r="G103" s="35">
        <v>43906</v>
      </c>
      <c r="H103" s="74">
        <v>44012</v>
      </c>
    </row>
    <row r="104" spans="2:8" x14ac:dyDescent="0.35">
      <c r="B104" s="32" t="s">
        <v>163</v>
      </c>
      <c r="C104" s="38">
        <f>90</f>
        <v>90</v>
      </c>
      <c r="D104" s="41">
        <f>11923+1079+136</f>
        <v>13138</v>
      </c>
      <c r="G104" s="35">
        <v>43906</v>
      </c>
      <c r="H104" s="74">
        <v>44012</v>
      </c>
    </row>
    <row r="105" spans="2:8" x14ac:dyDescent="0.35">
      <c r="B105" s="32" t="s">
        <v>164</v>
      </c>
      <c r="C105" s="38">
        <f>38+17+43</f>
        <v>98</v>
      </c>
      <c r="D105" s="41">
        <f>4920+803+78</f>
        <v>5801</v>
      </c>
      <c r="G105" s="35">
        <v>43906</v>
      </c>
      <c r="H105" s="74">
        <v>44012</v>
      </c>
    </row>
    <row r="106" spans="2:8" x14ac:dyDescent="0.35">
      <c r="B106" s="32" t="s">
        <v>165</v>
      </c>
      <c r="C106" s="38">
        <f>33+61+73</f>
        <v>167</v>
      </c>
      <c r="D106" s="41">
        <f>5381+515+137</f>
        <v>6033</v>
      </c>
      <c r="G106" s="35">
        <v>43906</v>
      </c>
      <c r="H106" s="74">
        <v>44012</v>
      </c>
    </row>
    <row r="107" spans="2:8" x14ac:dyDescent="0.35">
      <c r="B107" s="32" t="s">
        <v>166</v>
      </c>
      <c r="C107" s="38">
        <f>5+44+27</f>
        <v>76</v>
      </c>
      <c r="D107" s="41">
        <f>6045+734+75</f>
        <v>6854</v>
      </c>
      <c r="G107" s="35">
        <v>43906</v>
      </c>
      <c r="H107" s="74">
        <v>44012</v>
      </c>
    </row>
    <row r="108" spans="2:8" x14ac:dyDescent="0.35">
      <c r="B108" s="32" t="s">
        <v>167</v>
      </c>
      <c r="C108" s="38">
        <f>26+52</f>
        <v>78</v>
      </c>
      <c r="D108" s="41">
        <f>6541+1086+224</f>
        <v>7851</v>
      </c>
      <c r="G108" s="35">
        <v>43906</v>
      </c>
      <c r="H108" s="74">
        <v>44012</v>
      </c>
    </row>
    <row r="109" spans="2:8" x14ac:dyDescent="0.35">
      <c r="B109" s="32" t="s">
        <v>168</v>
      </c>
      <c r="C109" s="38">
        <f>1+20+12</f>
        <v>33</v>
      </c>
      <c r="D109" s="41">
        <f>3347+402+58</f>
        <v>3807</v>
      </c>
      <c r="G109" s="35">
        <v>43906</v>
      </c>
      <c r="H109" s="74">
        <v>44012</v>
      </c>
    </row>
    <row r="110" spans="2:8" x14ac:dyDescent="0.35">
      <c r="B110" s="32" t="s">
        <v>169</v>
      </c>
      <c r="C110" s="38">
        <f>12+55+88</f>
        <v>155</v>
      </c>
      <c r="D110" s="41">
        <f>9901+1163+236</f>
        <v>11300</v>
      </c>
      <c r="G110" s="35">
        <v>43906</v>
      </c>
      <c r="H110" s="74">
        <v>44012</v>
      </c>
    </row>
    <row r="111" spans="2:8" x14ac:dyDescent="0.35">
      <c r="B111" s="32" t="s">
        <v>170</v>
      </c>
      <c r="C111" s="38">
        <f>5+61</f>
        <v>66</v>
      </c>
      <c r="D111" s="41">
        <f>17244+1620+181</f>
        <v>19045</v>
      </c>
      <c r="G111" s="35">
        <v>43906</v>
      </c>
      <c r="H111" s="74">
        <v>44012</v>
      </c>
    </row>
    <row r="112" spans="2:8" x14ac:dyDescent="0.35">
      <c r="B112" s="32" t="s">
        <v>171</v>
      </c>
      <c r="C112" s="38">
        <v>37</v>
      </c>
      <c r="D112" s="41">
        <f>8141+373+42</f>
        <v>8556</v>
      </c>
      <c r="G112" s="35">
        <v>43906</v>
      </c>
      <c r="H112" s="74">
        <v>44012</v>
      </c>
    </row>
    <row r="113" spans="2:8" x14ac:dyDescent="0.35">
      <c r="B113" s="32" t="s">
        <v>172</v>
      </c>
      <c r="C113" s="38">
        <f>3+25</f>
        <v>28</v>
      </c>
      <c r="D113" s="41">
        <f>2895+2098+139</f>
        <v>5132</v>
      </c>
      <c r="G113" s="35">
        <v>43906</v>
      </c>
      <c r="H113" s="74">
        <v>44012</v>
      </c>
    </row>
    <row r="114" spans="2:8" x14ac:dyDescent="0.35">
      <c r="B114" s="32" t="s">
        <v>173</v>
      </c>
      <c r="C114" s="38">
        <f>150</f>
        <v>150</v>
      </c>
      <c r="D114" s="41">
        <f>82732+9751+829</f>
        <v>93312</v>
      </c>
      <c r="G114" s="35">
        <v>43906</v>
      </c>
      <c r="H114" s="74">
        <v>44012</v>
      </c>
    </row>
    <row r="115" spans="2:8" x14ac:dyDescent="0.35">
      <c r="B115" s="33" t="s">
        <v>174</v>
      </c>
      <c r="C115" s="38">
        <f>31+8+19</f>
        <v>58</v>
      </c>
      <c r="D115" s="40">
        <f>8736+824+69</f>
        <v>9629</v>
      </c>
      <c r="G115" s="35">
        <v>43906</v>
      </c>
      <c r="H115" s="74">
        <v>44012</v>
      </c>
    </row>
    <row r="116" spans="2:8" x14ac:dyDescent="0.35">
      <c r="B116" s="33" t="s">
        <v>175</v>
      </c>
      <c r="C116" s="38">
        <f>67</f>
        <v>67</v>
      </c>
      <c r="D116" s="40">
        <f>2895+2098+139</f>
        <v>5132</v>
      </c>
      <c r="G116" s="35">
        <v>43906</v>
      </c>
      <c r="H116" s="74">
        <v>44012</v>
      </c>
    </row>
    <row r="117" spans="2:8" x14ac:dyDescent="0.35">
      <c r="F117" s="76">
        <v>400000</v>
      </c>
    </row>
  </sheetData>
  <pageMargins left="0.7" right="0.7" top="0.75" bottom="0.75" header="0.3" footer="0.3"/>
  <pageSetup scale="6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H4"/>
  <sheetViews>
    <sheetView zoomScale="90" zoomScaleNormal="90" workbookViewId="0">
      <selection activeCell="C40" sqref="C40"/>
    </sheetView>
  </sheetViews>
  <sheetFormatPr defaultColWidth="9.1796875" defaultRowHeight="14.5" x14ac:dyDescent="0.35"/>
  <cols>
    <col min="1" max="1" width="16.7265625" style="1" bestFit="1" customWidth="1"/>
    <col min="2" max="2" width="56.7265625" style="1" bestFit="1" customWidth="1"/>
    <col min="3" max="3" width="15" style="1" bestFit="1" customWidth="1"/>
    <col min="4" max="4" width="21.1796875" style="1" customWidth="1"/>
    <col min="5" max="5" width="26.1796875" style="7" customWidth="1"/>
    <col min="6" max="6" width="22.7265625" style="1" bestFit="1" customWidth="1"/>
    <col min="7" max="7" width="11.81640625" style="1" bestFit="1" customWidth="1"/>
    <col min="8" max="8" width="13.1796875" style="1" bestFit="1" customWidth="1"/>
    <col min="9" max="16384" width="9.1796875" style="1"/>
  </cols>
  <sheetData>
    <row r="2" spans="1:8" ht="21" x14ac:dyDescent="0.5">
      <c r="A2" s="64"/>
      <c r="B2" s="65" t="s">
        <v>184</v>
      </c>
      <c r="E2" s="1"/>
    </row>
    <row r="3" spans="1:8" s="36" customFormat="1" x14ac:dyDescent="0.35">
      <c r="B3" s="36" t="s">
        <v>0</v>
      </c>
      <c r="C3" s="36" t="s">
        <v>1</v>
      </c>
      <c r="D3" s="36" t="s">
        <v>177</v>
      </c>
      <c r="E3" s="77" t="s">
        <v>4</v>
      </c>
      <c r="F3" s="36" t="s">
        <v>5</v>
      </c>
      <c r="G3" s="36" t="s">
        <v>2</v>
      </c>
      <c r="H3" s="36" t="s">
        <v>3</v>
      </c>
    </row>
    <row r="4" spans="1:8" x14ac:dyDescent="0.35">
      <c r="B4" s="78" t="s">
        <v>58</v>
      </c>
      <c r="C4" s="62">
        <v>2</v>
      </c>
      <c r="D4" s="79">
        <v>9189</v>
      </c>
      <c r="E4" s="7">
        <v>802221</v>
      </c>
      <c r="F4" s="7">
        <v>4500</v>
      </c>
      <c r="G4" s="80">
        <v>43927</v>
      </c>
      <c r="H4" s="80">
        <v>43952</v>
      </c>
    </row>
  </sheetData>
  <pageMargins left="0.7" right="0.7" top="0.75" bottom="0.75" header="0.3" footer="0.3"/>
  <pageSetup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I6"/>
  <sheetViews>
    <sheetView workbookViewId="0">
      <selection activeCell="F17" sqref="F17"/>
    </sheetView>
  </sheetViews>
  <sheetFormatPr defaultColWidth="9.1796875" defaultRowHeight="14.5" x14ac:dyDescent="0.35"/>
  <cols>
    <col min="1" max="1" width="16.7265625" style="1" bestFit="1" customWidth="1"/>
    <col min="2" max="2" width="24.7265625" style="1" bestFit="1" customWidth="1"/>
    <col min="3" max="3" width="15" style="1" bestFit="1" customWidth="1"/>
    <col min="4" max="4" width="14.81640625" style="1" customWidth="1"/>
    <col min="5" max="5" width="47.7265625" style="1" bestFit="1" customWidth="1"/>
    <col min="6" max="6" width="22.7265625" style="1" bestFit="1" customWidth="1"/>
    <col min="7" max="7" width="11.81640625" style="1" bestFit="1" customWidth="1"/>
    <col min="8" max="8" width="13.1796875" style="1" bestFit="1" customWidth="1"/>
    <col min="9" max="9" width="10.7265625" style="1" bestFit="1" customWidth="1"/>
    <col min="10" max="16384" width="9.1796875" style="1"/>
  </cols>
  <sheetData>
    <row r="2" spans="1:9" ht="21" x14ac:dyDescent="0.5">
      <c r="A2" s="64"/>
      <c r="B2" s="65" t="s">
        <v>185</v>
      </c>
    </row>
    <row r="3" spans="1:9" s="36" customFormat="1" x14ac:dyDescent="0.35">
      <c r="B3" s="36" t="s">
        <v>0</v>
      </c>
      <c r="C3" s="36" t="s">
        <v>1</v>
      </c>
      <c r="D3" s="36" t="s">
        <v>179</v>
      </c>
      <c r="E3" s="36" t="s">
        <v>4</v>
      </c>
      <c r="F3" s="36" t="s">
        <v>5</v>
      </c>
      <c r="G3" s="36" t="s">
        <v>2</v>
      </c>
      <c r="H3" s="36" t="s">
        <v>3</v>
      </c>
    </row>
    <row r="4" spans="1:9" x14ac:dyDescent="0.35">
      <c r="B4" s="81" t="s">
        <v>59</v>
      </c>
      <c r="C4" s="62">
        <v>1.35</v>
      </c>
      <c r="D4" s="82">
        <f>6541+1086+224</f>
        <v>7851</v>
      </c>
      <c r="E4" s="83">
        <v>744502</v>
      </c>
      <c r="F4" s="84">
        <v>0</v>
      </c>
      <c r="G4" s="85">
        <v>43955</v>
      </c>
      <c r="H4" s="57">
        <v>43980</v>
      </c>
      <c r="I4" s="37"/>
    </row>
    <row r="5" spans="1:9" x14ac:dyDescent="0.35">
      <c r="B5" s="81" t="s">
        <v>65</v>
      </c>
      <c r="C5" s="86">
        <v>1.7</v>
      </c>
      <c r="D5" s="1">
        <f>2395+253+31</f>
        <v>2679</v>
      </c>
      <c r="E5" s="87">
        <v>213560</v>
      </c>
      <c r="F5" s="88">
        <v>0</v>
      </c>
      <c r="G5" s="89">
        <v>44018</v>
      </c>
      <c r="H5" s="89">
        <v>44036</v>
      </c>
    </row>
    <row r="6" spans="1:9" x14ac:dyDescent="0.35">
      <c r="B6" s="81" t="s">
        <v>66</v>
      </c>
      <c r="C6" s="62">
        <v>0.25</v>
      </c>
      <c r="D6" s="1">
        <f>2395+253+31</f>
        <v>2679</v>
      </c>
      <c r="E6" s="87">
        <v>859205</v>
      </c>
      <c r="F6" s="88">
        <v>0</v>
      </c>
      <c r="G6" s="89">
        <v>44039</v>
      </c>
      <c r="H6" s="89">
        <v>44064</v>
      </c>
    </row>
  </sheetData>
  <pageMargins left="0.7" right="0.7" top="0.75" bottom="0.75" header="0.3" footer="0.3"/>
  <pageSetup scale="7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14"/>
  <sheetViews>
    <sheetView tabSelected="1" workbookViewId="0">
      <selection activeCell="E17" sqref="E17"/>
    </sheetView>
  </sheetViews>
  <sheetFormatPr defaultColWidth="9.1796875" defaultRowHeight="14.5" x14ac:dyDescent="0.35"/>
  <cols>
    <col min="1" max="1" width="16.7265625" style="1" bestFit="1" customWidth="1"/>
    <col min="2" max="2" width="14.54296875" style="1" customWidth="1"/>
    <col min="3" max="3" width="15" style="1" bestFit="1" customWidth="1"/>
    <col min="4" max="4" width="14.54296875" style="1" customWidth="1"/>
    <col min="5" max="5" width="47.7265625" style="1" bestFit="1" customWidth="1"/>
    <col min="6" max="6" width="22.7265625" style="1" bestFit="1" customWidth="1"/>
    <col min="7" max="7" width="11.81640625" style="1" bestFit="1" customWidth="1"/>
    <col min="8" max="8" width="13.1796875" style="1" bestFit="1" customWidth="1"/>
    <col min="9" max="16384" width="9.1796875" style="1"/>
  </cols>
  <sheetData>
    <row r="2" spans="1:8" ht="21" x14ac:dyDescent="0.5">
      <c r="A2" s="64"/>
      <c r="B2" s="65" t="s">
        <v>186</v>
      </c>
    </row>
    <row r="3" spans="1:8" ht="15.5" x14ac:dyDescent="0.35">
      <c r="A3" s="64"/>
      <c r="B3" s="90" t="s">
        <v>176</v>
      </c>
    </row>
    <row r="4" spans="1:8" s="36" customFormat="1" x14ac:dyDescent="0.35">
      <c r="B4" s="36" t="s">
        <v>0</v>
      </c>
      <c r="C4" s="36" t="s">
        <v>1</v>
      </c>
      <c r="D4" s="36" t="s">
        <v>179</v>
      </c>
      <c r="E4" s="36" t="s">
        <v>4</v>
      </c>
      <c r="F4" s="36" t="s">
        <v>5</v>
      </c>
      <c r="G4" s="36" t="s">
        <v>2</v>
      </c>
      <c r="H4" s="36" t="s">
        <v>3</v>
      </c>
    </row>
    <row r="5" spans="1:8" x14ac:dyDescent="0.35">
      <c r="B5" s="91" t="s">
        <v>60</v>
      </c>
      <c r="C5" s="6">
        <f>1+1</f>
        <v>2</v>
      </c>
      <c r="D5" s="6">
        <v>8467</v>
      </c>
      <c r="E5" s="4">
        <v>468000</v>
      </c>
      <c r="F5" s="58">
        <v>0</v>
      </c>
      <c r="G5" s="2">
        <v>43286</v>
      </c>
      <c r="H5" s="2">
        <v>43852</v>
      </c>
    </row>
    <row r="6" spans="1:8" x14ac:dyDescent="0.35">
      <c r="B6" s="91" t="s">
        <v>61</v>
      </c>
      <c r="C6" s="6">
        <f>6+4</f>
        <v>10</v>
      </c>
      <c r="D6" s="6">
        <v>12589</v>
      </c>
      <c r="E6" s="4">
        <v>1980000</v>
      </c>
      <c r="F6" s="58">
        <v>0</v>
      </c>
      <c r="G6" s="2">
        <v>43160</v>
      </c>
      <c r="H6" s="2">
        <v>43930</v>
      </c>
    </row>
    <row r="7" spans="1:8" x14ac:dyDescent="0.35">
      <c r="B7" s="91" t="s">
        <v>62</v>
      </c>
      <c r="C7" s="6">
        <f>2+2</f>
        <v>4</v>
      </c>
      <c r="D7" s="6">
        <v>6003</v>
      </c>
      <c r="E7" s="4">
        <v>936000</v>
      </c>
      <c r="F7" s="58">
        <v>0</v>
      </c>
      <c r="G7" s="2">
        <v>43354</v>
      </c>
      <c r="H7" s="2">
        <v>43959</v>
      </c>
    </row>
    <row r="8" spans="1:8" x14ac:dyDescent="0.35">
      <c r="B8" s="91" t="s">
        <v>63</v>
      </c>
      <c r="C8" s="6">
        <f>5+3</f>
        <v>8</v>
      </c>
      <c r="D8" s="6">
        <v>19139</v>
      </c>
      <c r="E8" s="4">
        <v>1512000</v>
      </c>
      <c r="F8" s="58">
        <v>0</v>
      </c>
      <c r="G8" s="2">
        <v>43347</v>
      </c>
      <c r="H8" s="2">
        <v>44021</v>
      </c>
    </row>
    <row r="9" spans="1:8" x14ac:dyDescent="0.35">
      <c r="B9" s="91" t="s">
        <v>64</v>
      </c>
      <c r="C9" s="6">
        <v>2</v>
      </c>
      <c r="D9" s="6">
        <v>10171</v>
      </c>
      <c r="E9" s="4">
        <v>108000</v>
      </c>
      <c r="F9" s="58">
        <v>0</v>
      </c>
      <c r="G9" s="2">
        <v>43308</v>
      </c>
      <c r="H9" s="2">
        <v>44186</v>
      </c>
    </row>
    <row r="11" spans="1:8" x14ac:dyDescent="0.35">
      <c r="B11" s="91"/>
      <c r="C11" s="6"/>
      <c r="E11" s="4"/>
      <c r="F11" s="5"/>
      <c r="G11" s="2"/>
      <c r="H11" s="2"/>
    </row>
    <row r="12" spans="1:8" x14ac:dyDescent="0.35">
      <c r="B12" s="91"/>
      <c r="C12" s="6"/>
      <c r="E12" s="4"/>
      <c r="F12" s="5"/>
      <c r="G12" s="2"/>
      <c r="H12" s="2"/>
    </row>
    <row r="13" spans="1:8" x14ac:dyDescent="0.35">
      <c r="B13" s="91"/>
      <c r="C13" s="6"/>
      <c r="E13" s="4"/>
      <c r="F13" s="5"/>
      <c r="G13" s="2"/>
      <c r="H13" s="2"/>
    </row>
    <row r="14" spans="1:8" x14ac:dyDescent="0.35">
      <c r="B14" s="91"/>
      <c r="C14" s="6"/>
      <c r="E14" s="4"/>
      <c r="F14" s="5"/>
      <c r="G14" s="2"/>
      <c r="H14" s="2"/>
    </row>
  </sheetData>
  <pageMargins left="0.7" right="0.7" top="0.75" bottom="0.75" header="0.3" footer="0.3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5F1D5503D31F45B7B4283A1D7A54DA" ma:contentTypeVersion="6" ma:contentTypeDescription="Create a new document." ma:contentTypeScope="" ma:versionID="874aef30bcfc34f9ddfd1ac9393c6afd">
  <xsd:schema xmlns:xsd="http://www.w3.org/2001/XMLSchema" xmlns:xs="http://www.w3.org/2001/XMLSchema" xmlns:p="http://schemas.microsoft.com/office/2006/metadata/properties" xmlns:ns2="ccdfc1ff-34f2-47b9-b94a-943651cd2a45" xmlns:ns3="c835748d-e043-474e-b924-2ef39112e9c7" xmlns:ns4="ac228fa6-c5a8-4c92-909d-b99c42fb26b7" targetNamespace="http://schemas.microsoft.com/office/2006/metadata/properties" ma:root="true" ma:fieldsID="0e5a94472c0eec139193961fe15947be" ns2:_="" ns3:_="" ns4:_="">
    <xsd:import namespace="ccdfc1ff-34f2-47b9-b94a-943651cd2a45"/>
    <xsd:import namespace="c835748d-e043-474e-b924-2ef39112e9c7"/>
    <xsd:import namespace="ac228fa6-c5a8-4c92-909d-b99c42fb26b7"/>
    <xsd:element name="properties">
      <xsd:complexType>
        <xsd:sequence>
          <xsd:element name="documentManagement">
            <xsd:complexType>
              <xsd:all>
                <xsd:element ref="ns2:Rate_x0020_Cases" minOccurs="0"/>
                <xsd:element ref="ns3:SharedWithUsers" minOccurs="0"/>
                <xsd:element ref="ns4:Data_x0020_Work_x0020_Type" minOccurs="0"/>
                <xsd:element ref="ns4:FLL_x0020_PSC_x0020_Reliability_x0020_Repor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dfc1ff-34f2-47b9-b94a-943651cd2a45" elementFormDefault="qualified">
    <xsd:import namespace="http://schemas.microsoft.com/office/2006/documentManagement/types"/>
    <xsd:import namespace="http://schemas.microsoft.com/office/infopath/2007/PartnerControls"/>
    <xsd:element name="Rate_x0020_Cases" ma:index="8" nillable="true" ma:displayName="Documents" ma:internalName="Rate_x0020_Case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35748d-e043-474e-b924-2ef39112e9c7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228fa6-c5a8-4c92-909d-b99c42fb26b7" elementFormDefault="qualified">
    <xsd:import namespace="http://schemas.microsoft.com/office/2006/documentManagement/types"/>
    <xsd:import namespace="http://schemas.microsoft.com/office/infopath/2007/PartnerControls"/>
    <xsd:element name="Data_x0020_Work_x0020_Type" ma:index="11" nillable="true" ma:displayName="Data Work Type" ma:default="Distribution" ma:format="Dropdown" ma:internalName="Data_x0020_Work_x0020_Type">
      <xsd:simpleType>
        <xsd:union memberTypes="dms:Text">
          <xsd:simpleType>
            <xsd:restriction base="dms:Choice">
              <xsd:enumeration value="Distribution"/>
              <xsd:enumeration value="Transmission"/>
              <xsd:enumeration value="Veg. Mgmt."/>
            </xsd:restriction>
          </xsd:simpleType>
        </xsd:union>
      </xsd:simpleType>
    </xsd:element>
    <xsd:element name="FLL_x0020_PSC_x0020_Reliability_x0020_Reports" ma:index="12" nillable="true" ma:displayName="Resource Links" ma:format="Hyperlink" ma:internalName="FLL_x0020_PSC_x0020_Reliability_x0020_Report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0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te_x0020_Cases xmlns="ccdfc1ff-34f2-47b9-b94a-943651cd2a45" xsi:nil="true"/>
    <Data_x0020_Work_x0020_Type xmlns="ac228fa6-c5a8-4c92-909d-b99c42fb26b7">Transmission</Data_x0020_Work_x0020_Type>
    <FLL_x0020_PSC_x0020_Reliability_x0020_Reports xmlns="ac228fa6-c5a8-4c92-909d-b99c42fb26b7">
      <Url xsi:nil="true"/>
      <Description xsi:nil="true"/>
    </FLL_x0020_PSC_x0020_Reliability_x0020_Report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8F4671-E0E0-4561-80B4-BF89C22629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dfc1ff-34f2-47b9-b94a-943651cd2a45"/>
    <ds:schemaRef ds:uri="c835748d-e043-474e-b924-2ef39112e9c7"/>
    <ds:schemaRef ds:uri="ac228fa6-c5a8-4c92-909d-b99c42fb26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91BA62-77F1-42B3-8464-F967D58CA7F6}">
  <ds:schemaRefs>
    <ds:schemaRef ds:uri="http://purl.org/dc/dcmitype/"/>
    <ds:schemaRef ds:uri="c835748d-e043-474e-b924-2ef39112e9c7"/>
    <ds:schemaRef ds:uri="http://schemas.microsoft.com/office/2006/metadata/properties"/>
    <ds:schemaRef ds:uri="http://schemas.microsoft.com/office/2006/documentManagement/types"/>
    <ds:schemaRef ds:uri="http://purl.org/dc/elements/1.1/"/>
    <ds:schemaRef ds:uri="ac228fa6-c5a8-4c92-909d-b99c42fb26b7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ccdfc1ff-34f2-47b9-b94a-943651cd2a4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C6D9E57-E7B8-40BC-81C6-8D9D54D049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Replacement - 2020</vt:lpstr>
      <vt:lpstr>Pole-Tower Inspect - 2020</vt:lpstr>
      <vt:lpstr>Tower Replacements - 2020</vt:lpstr>
      <vt:lpstr>OH Ground Wires - 2020</vt:lpstr>
      <vt:lpstr>Substation Hardening - 2020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SPP-TRANSMISSION - Workplan Needs</dc:title>
  <dc:creator>Tinder, Jennifer</dc:creator>
  <dc:description>Updated using data from 2019 Reliability Report,  SPP Unit Costs, and 2020 -2024 Project List.</dc:description>
  <cp:lastModifiedBy>West, Monique</cp:lastModifiedBy>
  <cp:lastPrinted>2020-04-29T12:52:35Z</cp:lastPrinted>
  <dcterms:created xsi:type="dcterms:W3CDTF">2020-02-11T13:17:46Z</dcterms:created>
  <dcterms:modified xsi:type="dcterms:W3CDTF">2020-04-29T12:52:39Z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0x0101002C5F1D5503D31F45B7B4283A1D7A54DA</vt:lpwstr>
  </property>
</Properties>
</file>