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gulatory Planning\Florida\Storm Protection Plan (SPP)\DISCOVERY\OPC\3rd Set PODs (31-53)\POD-3-36\"/>
    </mc:Choice>
  </mc:AlternateContent>
  <xr:revisionPtr revIDLastSave="0" documentId="8_{A541A3AA-B05F-4E6A-9F89-C557B73A3344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Non-Responsive" sheetId="1" r:id="rId1"/>
    <sheet name=" % change by rate" sheetId="3" r:id="rId2"/>
    <sheet name="calc" sheetId="4" r:id="rId3"/>
  </sheets>
  <externalReferences>
    <externalReference r:id="rId4"/>
  </externalReferences>
  <definedNames>
    <definedName name="_xlnm.Print_Area" localSheetId="1">' % change by rate'!$A$1:$R$62</definedName>
    <definedName name="_xlnm.Print_Area" localSheetId="2">calc!$A$1:$T$109</definedName>
    <definedName name="_xlnm.Print_Area" localSheetId="0">'Non-Responsive'!$A$1:$AA$124</definedName>
    <definedName name="_xlnm.Print_Titles" localSheetId="1">' % change by rate'!$A:$A,' % change by rate'!$1:$6</definedName>
    <definedName name="_xlnm.Print_Titles" localSheetId="2">calc!$A:$A</definedName>
    <definedName name="_xlnm.Print_Titles" localSheetId="0">'Non-Responsive'!$1:$6</definedName>
  </definedNames>
  <calcPr calcId="191029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6" i="4" l="1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O80" i="4"/>
  <c r="M80" i="4"/>
  <c r="K80" i="4"/>
  <c r="I80" i="4"/>
  <c r="G80" i="4"/>
  <c r="E80" i="4"/>
  <c r="O79" i="4"/>
  <c r="M79" i="4"/>
  <c r="K79" i="4"/>
  <c r="I79" i="4"/>
  <c r="G79" i="4"/>
  <c r="E79" i="4"/>
  <c r="C78" i="4"/>
  <c r="B78" i="4"/>
  <c r="P77" i="4"/>
  <c r="N77" i="4"/>
  <c r="L77" i="4"/>
  <c r="J77" i="4"/>
  <c r="H77" i="4"/>
  <c r="F77" i="4"/>
  <c r="D77" i="4"/>
  <c r="C77" i="4"/>
  <c r="B77" i="4"/>
  <c r="M116" i="1"/>
  <c r="M115" i="1"/>
  <c r="M114" i="1"/>
  <c r="M113" i="1"/>
  <c r="M112" i="1"/>
  <c r="M111" i="1"/>
  <c r="M110" i="1"/>
  <c r="E116" i="1"/>
  <c r="E115" i="1"/>
  <c r="E114" i="1"/>
  <c r="E113" i="1"/>
  <c r="E112" i="1"/>
  <c r="E111" i="1"/>
  <c r="E110" i="1"/>
  <c r="O102" i="1"/>
  <c r="E102" i="1"/>
  <c r="O96" i="1"/>
  <c r="M96" i="1"/>
  <c r="O95" i="1"/>
  <c r="M95" i="1"/>
  <c r="O94" i="1"/>
  <c r="M94" i="1"/>
  <c r="O93" i="1"/>
  <c r="M93" i="1"/>
  <c r="O90" i="1"/>
  <c r="M90" i="1"/>
  <c r="E96" i="1"/>
  <c r="E95" i="1"/>
  <c r="E94" i="1"/>
  <c r="E93" i="1"/>
  <c r="E90" i="1"/>
  <c r="O82" i="1"/>
  <c r="E82" i="1"/>
  <c r="O76" i="1"/>
  <c r="M76" i="1"/>
  <c r="O75" i="1"/>
  <c r="M75" i="1"/>
  <c r="O74" i="1"/>
  <c r="M74" i="1"/>
  <c r="O73" i="1"/>
  <c r="M73" i="1"/>
  <c r="O70" i="1"/>
  <c r="M70" i="1"/>
  <c r="E76" i="1"/>
  <c r="E75" i="1"/>
  <c r="E74" i="1"/>
  <c r="E73" i="1"/>
  <c r="E70" i="1"/>
  <c r="O62" i="1"/>
  <c r="E62" i="1"/>
  <c r="O56" i="1"/>
  <c r="M56" i="1"/>
  <c r="O55" i="1"/>
  <c r="M55" i="1"/>
  <c r="O54" i="1"/>
  <c r="M54" i="1"/>
  <c r="O53" i="1"/>
  <c r="M53" i="1"/>
  <c r="O50" i="1"/>
  <c r="M50" i="1"/>
  <c r="E56" i="1"/>
  <c r="E55" i="1"/>
  <c r="E54" i="1"/>
  <c r="E53" i="1"/>
  <c r="E50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E38" i="1"/>
  <c r="E37" i="1"/>
  <c r="E36" i="1"/>
  <c r="E35" i="1"/>
  <c r="E34" i="1"/>
  <c r="E33" i="1"/>
  <c r="E32" i="1"/>
  <c r="O19" i="1"/>
  <c r="M19" i="1"/>
  <c r="O18" i="1"/>
  <c r="M18" i="1"/>
  <c r="O17" i="1"/>
  <c r="M17" i="1"/>
  <c r="O16" i="1"/>
  <c r="M16" i="1"/>
  <c r="O15" i="1"/>
  <c r="M15" i="1"/>
  <c r="O14" i="1"/>
  <c r="M14" i="1"/>
  <c r="O12" i="1"/>
  <c r="M12" i="1"/>
  <c r="E19" i="1"/>
  <c r="E18" i="1"/>
  <c r="E17" i="1"/>
  <c r="E16" i="1"/>
  <c r="E15" i="1"/>
  <c r="E14" i="1"/>
  <c r="E13" i="1"/>
  <c r="E12" i="1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O40" i="4"/>
  <c r="M40" i="4"/>
  <c r="K40" i="4"/>
  <c r="I40" i="4"/>
  <c r="G40" i="4"/>
  <c r="E40" i="4"/>
  <c r="O39" i="4"/>
  <c r="M39" i="4"/>
  <c r="K39" i="4"/>
  <c r="I39" i="4"/>
  <c r="G39" i="4"/>
  <c r="E39" i="4"/>
  <c r="C38" i="4"/>
  <c r="B38" i="4"/>
  <c r="P37" i="4"/>
  <c r="N37" i="4"/>
  <c r="L37" i="4"/>
  <c r="J37" i="4"/>
  <c r="H37" i="4"/>
  <c r="F37" i="4"/>
  <c r="D37" i="4"/>
  <c r="C37" i="4"/>
  <c r="B37" i="4"/>
  <c r="K116" i="1"/>
  <c r="K115" i="1"/>
  <c r="K114" i="1"/>
  <c r="K113" i="1"/>
  <c r="K112" i="1"/>
  <c r="K111" i="1"/>
  <c r="K110" i="1"/>
  <c r="C116" i="1"/>
  <c r="C115" i="1"/>
  <c r="C114" i="1"/>
  <c r="C113" i="1"/>
  <c r="C112" i="1"/>
  <c r="C111" i="1"/>
  <c r="C110" i="1"/>
  <c r="K96" i="1"/>
  <c r="I96" i="1"/>
  <c r="K95" i="1"/>
  <c r="I95" i="1"/>
  <c r="K94" i="1"/>
  <c r="I94" i="1"/>
  <c r="K93" i="1"/>
  <c r="I93" i="1"/>
  <c r="K90" i="1"/>
  <c r="I90" i="1"/>
  <c r="C96" i="1"/>
  <c r="C95" i="1"/>
  <c r="C94" i="1"/>
  <c r="C93" i="1"/>
  <c r="C90" i="1"/>
  <c r="K76" i="1"/>
  <c r="I76" i="1"/>
  <c r="K75" i="1"/>
  <c r="I75" i="1"/>
  <c r="K74" i="1"/>
  <c r="I74" i="1"/>
  <c r="K73" i="1"/>
  <c r="I73" i="1"/>
  <c r="K70" i="1"/>
  <c r="I70" i="1"/>
  <c r="C76" i="1"/>
  <c r="C75" i="1"/>
  <c r="C74" i="1"/>
  <c r="C73" i="1"/>
  <c r="C70" i="1"/>
  <c r="K56" i="1"/>
  <c r="I56" i="1"/>
  <c r="K55" i="1"/>
  <c r="I55" i="1"/>
  <c r="K54" i="1"/>
  <c r="I54" i="1"/>
  <c r="K53" i="1"/>
  <c r="I53" i="1"/>
  <c r="K50" i="1"/>
  <c r="I50" i="1"/>
  <c r="C56" i="1"/>
  <c r="C55" i="1"/>
  <c r="C54" i="1"/>
  <c r="C53" i="1"/>
  <c r="C50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C38" i="1"/>
  <c r="C37" i="1"/>
  <c r="C36" i="1"/>
  <c r="C35" i="1"/>
  <c r="C34" i="1"/>
  <c r="C33" i="1"/>
  <c r="C32" i="1"/>
  <c r="K19" i="1"/>
  <c r="I19" i="1"/>
  <c r="K18" i="1"/>
  <c r="I18" i="1"/>
  <c r="K17" i="1"/>
  <c r="I17" i="1"/>
  <c r="K16" i="1"/>
  <c r="I16" i="1"/>
  <c r="K15" i="1"/>
  <c r="I15" i="1"/>
  <c r="K14" i="1"/>
  <c r="I14" i="1"/>
  <c r="K12" i="1"/>
  <c r="I12" i="1"/>
  <c r="C19" i="1"/>
  <c r="C18" i="1"/>
  <c r="C17" i="1"/>
  <c r="C16" i="1"/>
  <c r="C15" i="1"/>
  <c r="C14" i="1"/>
  <c r="C13" i="1"/>
  <c r="C12" i="1"/>
  <c r="O71" i="4"/>
  <c r="M71" i="4"/>
  <c r="K71" i="4"/>
  <c r="I71" i="4"/>
  <c r="G71" i="4"/>
  <c r="E71" i="4"/>
  <c r="O70" i="4"/>
  <c r="M70" i="4"/>
  <c r="K70" i="4"/>
  <c r="I70" i="4"/>
  <c r="G70" i="4"/>
  <c r="E70" i="4"/>
  <c r="P69" i="4"/>
  <c r="N69" i="4"/>
  <c r="L69" i="4"/>
  <c r="J69" i="4"/>
  <c r="H69" i="4"/>
  <c r="F69" i="4"/>
  <c r="C68" i="4"/>
  <c r="B68" i="4"/>
  <c r="D67" i="4"/>
  <c r="C67" i="4"/>
  <c r="B67" i="4"/>
  <c r="O64" i="4"/>
  <c r="N64" i="4"/>
  <c r="M64" i="4"/>
  <c r="L64" i="4"/>
  <c r="K64" i="4"/>
  <c r="J64" i="4"/>
  <c r="I64" i="4"/>
  <c r="H64" i="4"/>
  <c r="O63" i="4"/>
  <c r="M63" i="4"/>
  <c r="K63" i="4"/>
  <c r="I63" i="4"/>
  <c r="G63" i="4"/>
  <c r="O62" i="4"/>
  <c r="N62" i="4"/>
  <c r="M62" i="4"/>
  <c r="L62" i="4"/>
  <c r="K62" i="4"/>
  <c r="J62" i="4"/>
  <c r="I62" i="4"/>
  <c r="H62" i="4"/>
  <c r="G62" i="4"/>
  <c r="F62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O30" i="4"/>
  <c r="M30" i="4"/>
  <c r="K30" i="4"/>
  <c r="I30" i="4"/>
  <c r="G30" i="4"/>
  <c r="E30" i="4"/>
  <c r="O29" i="4"/>
  <c r="M29" i="4"/>
  <c r="K29" i="4"/>
  <c r="I29" i="4"/>
  <c r="G29" i="4"/>
  <c r="E29" i="4"/>
  <c r="P28" i="4"/>
  <c r="N28" i="4"/>
  <c r="L28" i="4"/>
  <c r="J28" i="4"/>
  <c r="H28" i="4"/>
  <c r="F28" i="4"/>
  <c r="C27" i="4"/>
  <c r="B27" i="4"/>
  <c r="D26" i="4"/>
  <c r="C26" i="4"/>
  <c r="B26" i="4"/>
  <c r="O23" i="4"/>
  <c r="N23" i="4"/>
  <c r="M23" i="4"/>
  <c r="L23" i="4"/>
  <c r="K23" i="4"/>
  <c r="J23" i="4"/>
  <c r="I23" i="4"/>
  <c r="H23" i="4"/>
  <c r="O22" i="4"/>
  <c r="M22" i="4"/>
  <c r="K22" i="4"/>
  <c r="I22" i="4"/>
  <c r="G22" i="4"/>
  <c r="O21" i="4"/>
  <c r="N21" i="4"/>
  <c r="M21" i="4"/>
  <c r="L21" i="4"/>
  <c r="K21" i="4"/>
  <c r="J21" i="4"/>
  <c r="I21" i="4"/>
  <c r="H21" i="4"/>
  <c r="G21" i="4"/>
  <c r="F21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M109" i="1"/>
  <c r="K109" i="1"/>
  <c r="E109" i="1"/>
  <c r="C109" i="1"/>
  <c r="O101" i="1"/>
  <c r="M101" i="1"/>
  <c r="E101" i="1"/>
  <c r="O89" i="1"/>
  <c r="M89" i="1"/>
  <c r="K89" i="1"/>
  <c r="I89" i="1"/>
  <c r="E89" i="1"/>
  <c r="C89" i="1"/>
  <c r="O81" i="1"/>
  <c r="M81" i="1"/>
  <c r="E81" i="1"/>
  <c r="O69" i="1"/>
  <c r="M69" i="1"/>
  <c r="K69" i="1"/>
  <c r="I69" i="1"/>
  <c r="E69" i="1"/>
  <c r="C69" i="1"/>
  <c r="O61" i="1"/>
  <c r="M61" i="1"/>
  <c r="E61" i="1"/>
  <c r="O49" i="1"/>
  <c r="M49" i="1"/>
  <c r="K49" i="1"/>
  <c r="I49" i="1"/>
  <c r="E49" i="1"/>
  <c r="C49" i="1"/>
  <c r="O31" i="1"/>
  <c r="M31" i="1"/>
  <c r="K31" i="1"/>
  <c r="I31" i="1"/>
  <c r="E31" i="1"/>
  <c r="C31" i="1"/>
  <c r="O10" i="1"/>
  <c r="M10" i="1"/>
  <c r="K10" i="1"/>
  <c r="I10" i="1"/>
  <c r="E11" i="1"/>
  <c r="C11" i="1"/>
  <c r="E10" i="1"/>
  <c r="C10" i="1"/>
  <c r="E80" i="1" l="1"/>
  <c r="O24" i="1"/>
  <c r="O116" i="1"/>
  <c r="I100" i="1"/>
  <c r="G96" i="1"/>
  <c r="C100" i="1"/>
  <c r="C60" i="1"/>
  <c r="C42" i="1"/>
  <c r="I24" i="1"/>
  <c r="C25" i="1"/>
  <c r="O100" i="1"/>
  <c r="K60" i="1"/>
  <c r="I60" i="1"/>
  <c r="O42" i="1"/>
  <c r="I42" i="1"/>
  <c r="M24" i="1"/>
  <c r="K24" i="1"/>
  <c r="E120" i="1"/>
  <c r="C120" i="1"/>
  <c r="M100" i="1"/>
  <c r="O80" i="1"/>
  <c r="M42" i="1"/>
  <c r="U116" i="1"/>
  <c r="G116" i="1"/>
  <c r="S96" i="1"/>
  <c r="I80" i="1" l="1"/>
  <c r="M60" i="1"/>
  <c r="M120" i="1"/>
  <c r="C80" i="1"/>
  <c r="K80" i="1"/>
  <c r="E42" i="1"/>
  <c r="E100" i="1"/>
  <c r="E24" i="1"/>
  <c r="E60" i="1"/>
  <c r="E25" i="1"/>
  <c r="M80" i="1"/>
  <c r="K100" i="1"/>
  <c r="O60" i="1"/>
  <c r="K42" i="1"/>
  <c r="K120" i="1"/>
  <c r="C24" i="1"/>
  <c r="Q38" i="1"/>
  <c r="G76" i="1"/>
  <c r="Q96" i="1"/>
  <c r="G56" i="1"/>
  <c r="Q76" i="1"/>
  <c r="Q56" i="1"/>
  <c r="S76" i="1"/>
  <c r="Q19" i="1"/>
  <c r="S56" i="1"/>
  <c r="S38" i="1"/>
  <c r="G19" i="1"/>
  <c r="G38" i="1"/>
  <c r="S19" i="1"/>
  <c r="P87" i="4" l="1"/>
  <c r="M87" i="4" l="1"/>
  <c r="L87" i="4"/>
  <c r="O87" i="4"/>
  <c r="N87" i="4"/>
  <c r="J87" i="4"/>
  <c r="K87" i="4"/>
  <c r="H87" i="4"/>
  <c r="I87" i="4"/>
  <c r="G87" i="4"/>
  <c r="F87" i="4"/>
  <c r="E87" i="4"/>
  <c r="D87" i="4"/>
  <c r="C87" i="4"/>
  <c r="B87" i="4"/>
  <c r="L47" i="4" l="1"/>
  <c r="P47" i="4"/>
  <c r="N47" i="4"/>
  <c r="G47" i="4"/>
  <c r="F47" i="4"/>
  <c r="I47" i="4"/>
  <c r="E47" i="4"/>
  <c r="H47" i="4"/>
  <c r="B47" i="4"/>
  <c r="K47" i="4"/>
  <c r="C47" i="4"/>
  <c r="M47" i="4"/>
  <c r="J47" i="4"/>
  <c r="D47" i="4"/>
  <c r="O47" i="4"/>
  <c r="O115" i="1" l="1"/>
  <c r="G115" i="1"/>
  <c r="S95" i="1"/>
  <c r="Q95" i="1"/>
  <c r="Q75" i="1"/>
  <c r="Q55" i="1"/>
  <c r="Q37" i="1"/>
  <c r="Q18" i="1"/>
  <c r="G18" i="1"/>
  <c r="S75" i="1" l="1"/>
  <c r="S55" i="1"/>
  <c r="S37" i="1"/>
  <c r="S18" i="1"/>
  <c r="G37" i="1"/>
  <c r="G55" i="1"/>
  <c r="G75" i="1"/>
  <c r="G95" i="1"/>
  <c r="U115" i="1" l="1"/>
  <c r="R85" i="4"/>
  <c r="R45" i="4" l="1"/>
  <c r="T85" i="4" s="1"/>
  <c r="R84" i="4" l="1"/>
  <c r="R83" i="4"/>
  <c r="R82" i="4"/>
  <c r="R81" i="4"/>
  <c r="R77" i="4"/>
  <c r="R44" i="4"/>
  <c r="R43" i="4"/>
  <c r="R42" i="4"/>
  <c r="R41" i="4"/>
  <c r="R37" i="4"/>
  <c r="T83" i="4" l="1"/>
  <c r="T82" i="4"/>
  <c r="T81" i="4"/>
  <c r="T77" i="4"/>
  <c r="T84" i="4"/>
  <c r="P16" i="4" l="1"/>
  <c r="P71" i="4" s="1"/>
  <c r="P30" i="4" l="1"/>
  <c r="K21" i="1" l="1"/>
  <c r="I21" i="1"/>
  <c r="P100" i="4" l="1"/>
  <c r="D100" i="4"/>
  <c r="K118" i="1" l="1"/>
  <c r="C98" i="1"/>
  <c r="C78" i="1"/>
  <c r="K40" i="1"/>
  <c r="I40" i="1"/>
  <c r="C40" i="1"/>
  <c r="I98" i="1" l="1"/>
  <c r="I58" i="1"/>
  <c r="C118" i="1"/>
  <c r="I78" i="1"/>
  <c r="K98" i="1"/>
  <c r="K78" i="1"/>
  <c r="K58" i="1"/>
  <c r="C58" i="1"/>
  <c r="C21" i="1"/>
  <c r="O5" i="4"/>
  <c r="N5" i="4"/>
  <c r="M6" i="4" l="1"/>
  <c r="H7" i="4" l="1"/>
  <c r="R64" i="4" l="1"/>
  <c r="R23" i="4"/>
  <c r="A3" i="1"/>
  <c r="T64" i="4" l="1"/>
  <c r="C15" i="3"/>
  <c r="A6" i="1" l="1"/>
  <c r="C10" i="4" l="1"/>
  <c r="E13" i="4"/>
  <c r="G6" i="4"/>
  <c r="G13" i="4"/>
  <c r="I5" i="4"/>
  <c r="I13" i="4"/>
  <c r="J12" i="4"/>
  <c r="K12" i="4"/>
  <c r="O12" i="4"/>
  <c r="M13" i="4"/>
  <c r="N12" i="4"/>
  <c r="B10" i="4"/>
  <c r="S93" i="1"/>
  <c r="G73" i="1"/>
  <c r="S53" i="1"/>
  <c r="G53" i="1"/>
  <c r="Q36" i="1"/>
  <c r="Q35" i="1"/>
  <c r="G35" i="1"/>
  <c r="S17" i="1"/>
  <c r="S16" i="1"/>
  <c r="Q16" i="1"/>
  <c r="A1" i="3"/>
  <c r="L18" i="3"/>
  <c r="L52" i="3"/>
  <c r="M52" i="3" s="1"/>
  <c r="M18" i="3"/>
  <c r="M19" i="3" s="1"/>
  <c r="M20" i="3" s="1"/>
  <c r="G18" i="3"/>
  <c r="G19" i="3" s="1"/>
  <c r="F18" i="3"/>
  <c r="F52" i="3"/>
  <c r="G52" i="3" s="1"/>
  <c r="M43" i="3"/>
  <c r="F53" i="3"/>
  <c r="F54" i="3" s="1"/>
  <c r="L53" i="3"/>
  <c r="G43" i="3"/>
  <c r="L44" i="3"/>
  <c r="L45" i="3" s="1"/>
  <c r="F44" i="3"/>
  <c r="F45" i="3" s="1"/>
  <c r="I18" i="3"/>
  <c r="H18" i="3"/>
  <c r="E18" i="3"/>
  <c r="E19" i="3" s="1"/>
  <c r="D18" i="3"/>
  <c r="G17" i="1"/>
  <c r="Q17" i="1"/>
  <c r="M11" i="3"/>
  <c r="M12" i="3" s="1"/>
  <c r="L11" i="3"/>
  <c r="H11" i="3"/>
  <c r="H13" i="3" s="1"/>
  <c r="G11" i="3"/>
  <c r="G12" i="3" s="1"/>
  <c r="F11" i="3"/>
  <c r="F15" i="4"/>
  <c r="G15" i="4"/>
  <c r="H15" i="4"/>
  <c r="L15" i="4"/>
  <c r="M15" i="4"/>
  <c r="B15" i="3"/>
  <c r="P18" i="3"/>
  <c r="S35" i="1"/>
  <c r="G36" i="1"/>
  <c r="S36" i="1"/>
  <c r="Q53" i="1"/>
  <c r="G54" i="1"/>
  <c r="Q54" i="1"/>
  <c r="S54" i="1"/>
  <c r="Q73" i="1"/>
  <c r="S73" i="1"/>
  <c r="G74" i="1"/>
  <c r="Q74" i="1"/>
  <c r="S74" i="1"/>
  <c r="G93" i="1"/>
  <c r="Q93" i="1"/>
  <c r="G94" i="1"/>
  <c r="Q94" i="1"/>
  <c r="S94" i="1"/>
  <c r="G113" i="1"/>
  <c r="O113" i="1"/>
  <c r="G114" i="1"/>
  <c r="O114" i="1"/>
  <c r="K18" i="3" l="1"/>
  <c r="K19" i="3" s="1"/>
  <c r="B16" i="3"/>
  <c r="I14" i="4"/>
  <c r="J18" i="3"/>
  <c r="I7" i="4"/>
  <c r="O18" i="3"/>
  <c r="O19" i="3" s="1"/>
  <c r="K13" i="4"/>
  <c r="M14" i="4"/>
  <c r="N18" i="3"/>
  <c r="M21" i="3"/>
  <c r="J5" i="4"/>
  <c r="I15" i="4"/>
  <c r="I11" i="3"/>
  <c r="I13" i="3" s="1"/>
  <c r="C16" i="3"/>
  <c r="F21" i="3"/>
  <c r="G53" i="3"/>
  <c r="G54" i="3" s="1"/>
  <c r="L54" i="3"/>
  <c r="H21" i="3"/>
  <c r="E20" i="3"/>
  <c r="L21" i="3"/>
  <c r="I19" i="3"/>
  <c r="I20" i="3" s="1"/>
  <c r="G21" i="3"/>
  <c r="K20" i="3"/>
  <c r="G20" i="3"/>
  <c r="G44" i="3"/>
  <c r="G45" i="3" s="1"/>
  <c r="B11" i="4"/>
  <c r="G14" i="4"/>
  <c r="G16" i="1"/>
  <c r="G12" i="1"/>
  <c r="M44" i="3"/>
  <c r="M45" i="3" s="1"/>
  <c r="M53" i="3"/>
  <c r="M54" i="3" s="1"/>
  <c r="O13" i="4"/>
  <c r="K5" i="4"/>
  <c r="I6" i="4"/>
  <c r="E14" i="4"/>
  <c r="C11" i="4"/>
  <c r="J7" i="4" l="1"/>
  <c r="B100" i="4"/>
  <c r="I21" i="3"/>
  <c r="J15" i="4"/>
  <c r="K14" i="4"/>
  <c r="O20" i="3"/>
  <c r="I12" i="3"/>
  <c r="J11" i="3"/>
  <c r="Q54" i="3"/>
  <c r="G55" i="3" s="1"/>
  <c r="K15" i="4"/>
  <c r="B17" i="3"/>
  <c r="L55" i="3"/>
  <c r="F55" i="3"/>
  <c r="O14" i="4"/>
  <c r="C17" i="3"/>
  <c r="N15" i="4"/>
  <c r="N11" i="3"/>
  <c r="N21" i="3" s="1"/>
  <c r="Q45" i="3"/>
  <c r="M46" i="3" s="1"/>
  <c r="Q53" i="3"/>
  <c r="K6" i="4"/>
  <c r="K11" i="3"/>
  <c r="K7" i="4"/>
  <c r="Q44" i="3"/>
  <c r="C100" i="4" l="1"/>
  <c r="M55" i="3"/>
  <c r="Q55" i="3" s="1"/>
  <c r="J21" i="3"/>
  <c r="J13" i="3"/>
  <c r="K12" i="3"/>
  <c r="K13" i="3"/>
  <c r="K21" i="3"/>
  <c r="L46" i="3"/>
  <c r="G46" i="3"/>
  <c r="F46" i="3"/>
  <c r="O15" i="4"/>
  <c r="O11" i="3"/>
  <c r="O6" i="4"/>
  <c r="O12" i="3" l="1"/>
  <c r="O21" i="3"/>
  <c r="Q46" i="3"/>
  <c r="S32" i="1" l="1"/>
  <c r="G32" i="1"/>
  <c r="O110" i="1" l="1"/>
  <c r="Q32" i="1" l="1"/>
  <c r="G111" i="1" l="1"/>
  <c r="O111" i="1"/>
  <c r="S14" i="1" l="1"/>
  <c r="G33" i="1"/>
  <c r="S33" i="1"/>
  <c r="Q14" i="1"/>
  <c r="G14" i="1"/>
  <c r="Q33" i="1"/>
  <c r="G50" i="1" l="1"/>
  <c r="O112" i="1" l="1"/>
  <c r="G112" i="1"/>
  <c r="G34" i="1" l="1"/>
  <c r="G15" i="1"/>
  <c r="S15" i="1"/>
  <c r="Q34" i="1"/>
  <c r="S34" i="1"/>
  <c r="Q15" i="1"/>
  <c r="G100" i="4" l="1"/>
  <c r="F100" i="4"/>
  <c r="E100" i="4"/>
  <c r="J100" i="4" l="1"/>
  <c r="H100" i="4"/>
  <c r="I100" i="4"/>
  <c r="L100" i="4"/>
  <c r="O100" i="4"/>
  <c r="K100" i="4"/>
  <c r="N100" i="4"/>
  <c r="M100" i="4"/>
  <c r="S50" i="1" l="1"/>
  <c r="S12" i="1"/>
  <c r="Q12" i="1"/>
  <c r="Q50" i="1"/>
  <c r="Q70" i="1" l="1"/>
  <c r="Q90" i="1"/>
  <c r="G70" i="1"/>
  <c r="G90" i="1"/>
  <c r="S90" i="1" l="1"/>
  <c r="S70" i="1"/>
  <c r="G110" i="1" l="1"/>
  <c r="G13" i="1"/>
  <c r="P96" i="4" l="1"/>
  <c r="P103" i="4" s="1"/>
  <c r="D96" i="4"/>
  <c r="D103" i="4" s="1"/>
  <c r="P105" i="4" l="1"/>
  <c r="E96" i="4"/>
  <c r="E103" i="4" s="1"/>
  <c r="D105" i="4"/>
  <c r="E105" i="4" l="1"/>
  <c r="F96" i="4" l="1"/>
  <c r="F103" i="4" s="1"/>
  <c r="F58" i="3"/>
  <c r="F49" i="3"/>
  <c r="I96" i="4" l="1"/>
  <c r="I103" i="4" s="1"/>
  <c r="K96" i="4"/>
  <c r="K103" i="4" s="1"/>
  <c r="G58" i="3"/>
  <c r="G49" i="3"/>
  <c r="G96" i="4"/>
  <c r="G103" i="4" s="1"/>
  <c r="M49" i="3"/>
  <c r="M58" i="3"/>
  <c r="M96" i="4"/>
  <c r="M103" i="4" s="1"/>
  <c r="O96" i="4"/>
  <c r="O103" i="4" s="1"/>
  <c r="N96" i="4"/>
  <c r="N103" i="4" s="1"/>
  <c r="H96" i="4"/>
  <c r="H103" i="4" s="1"/>
  <c r="L96" i="4"/>
  <c r="L103" i="4" s="1"/>
  <c r="L58" i="3"/>
  <c r="L49" i="3"/>
  <c r="F105" i="4"/>
  <c r="J96" i="4"/>
  <c r="J103" i="4" s="1"/>
  <c r="B96" i="4"/>
  <c r="B103" i="4" s="1"/>
  <c r="C96" i="4"/>
  <c r="C103" i="4" s="1"/>
  <c r="K105" i="4" l="1"/>
  <c r="I105" i="4"/>
  <c r="M105" i="4"/>
  <c r="Q58" i="3"/>
  <c r="G105" i="4"/>
  <c r="Q49" i="3"/>
  <c r="O105" i="4"/>
  <c r="H105" i="4"/>
  <c r="J105" i="4"/>
  <c r="L105" i="4"/>
  <c r="N105" i="4"/>
  <c r="C105" i="4"/>
  <c r="B105" i="4"/>
  <c r="M103" i="1" l="1"/>
  <c r="O103" i="1"/>
  <c r="E103" i="1"/>
  <c r="M83" i="1"/>
  <c r="O83" i="1"/>
  <c r="E83" i="1"/>
  <c r="M63" i="1"/>
  <c r="O63" i="1"/>
  <c r="E63" i="1"/>
  <c r="Q69" i="1" l="1"/>
  <c r="Q78" i="1" s="1"/>
  <c r="Q79" i="1" s="1"/>
  <c r="M78" i="1"/>
  <c r="Q80" i="1" s="1"/>
  <c r="S49" i="1"/>
  <c r="S58" i="1" s="1"/>
  <c r="O58" i="1"/>
  <c r="S24" i="1"/>
  <c r="S10" i="1"/>
  <c r="S21" i="1" s="1"/>
  <c r="S23" i="1" s="1"/>
  <c r="O21" i="1"/>
  <c r="G89" i="1"/>
  <c r="G98" i="1" s="1"/>
  <c r="G99" i="1" s="1"/>
  <c r="E98" i="1"/>
  <c r="G100" i="1" s="1"/>
  <c r="E118" i="1"/>
  <c r="G109" i="1"/>
  <c r="G118" i="1" s="1"/>
  <c r="G119" i="1" s="1"/>
  <c r="G120" i="1"/>
  <c r="Q89" i="1"/>
  <c r="Q98" i="1" s="1"/>
  <c r="Q99" i="1" s="1"/>
  <c r="M98" i="1"/>
  <c r="O120" i="1"/>
  <c r="O109" i="1"/>
  <c r="O118" i="1" s="1"/>
  <c r="O119" i="1" s="1"/>
  <c r="M118" i="1"/>
  <c r="G10" i="1"/>
  <c r="E21" i="1"/>
  <c r="Z17" i="1" s="1"/>
  <c r="S89" i="1"/>
  <c r="S98" i="1" s="1"/>
  <c r="O98" i="1"/>
  <c r="Q49" i="1"/>
  <c r="Q58" i="1" s="1"/>
  <c r="Q59" i="1" s="1"/>
  <c r="M58" i="1"/>
  <c r="G42" i="1"/>
  <c r="G31" i="1"/>
  <c r="G40" i="1" s="1"/>
  <c r="G41" i="1" s="1"/>
  <c r="E40" i="1"/>
  <c r="Q24" i="1"/>
  <c r="Q10" i="1"/>
  <c r="Q21" i="1" s="1"/>
  <c r="Q23" i="1" s="1"/>
  <c r="M21" i="1"/>
  <c r="Q42" i="1"/>
  <c r="M40" i="1"/>
  <c r="Q31" i="1"/>
  <c r="Q40" i="1" s="1"/>
  <c r="Q41" i="1" s="1"/>
  <c r="S69" i="1"/>
  <c r="S78" i="1" s="1"/>
  <c r="O78" i="1"/>
  <c r="G11" i="1"/>
  <c r="S42" i="1"/>
  <c r="S31" i="1"/>
  <c r="S40" i="1" s="1"/>
  <c r="S41" i="1" s="1"/>
  <c r="O40" i="1"/>
  <c r="E58" i="1"/>
  <c r="G49" i="1"/>
  <c r="G58" i="1" s="1"/>
  <c r="G59" i="1" s="1"/>
  <c r="G69" i="1"/>
  <c r="G78" i="1" s="1"/>
  <c r="G79" i="1" s="1"/>
  <c r="E78" i="1"/>
  <c r="G60" i="1" l="1"/>
  <c r="S99" i="1"/>
  <c r="U96" i="1" s="1"/>
  <c r="U95" i="1"/>
  <c r="S79" i="1"/>
  <c r="U76" i="1" s="1"/>
  <c r="U75" i="1"/>
  <c r="S100" i="1"/>
  <c r="S60" i="1"/>
  <c r="G80" i="1"/>
  <c r="G24" i="1"/>
  <c r="S80" i="1"/>
  <c r="S59" i="1"/>
  <c r="U56" i="1" s="1"/>
  <c r="U55" i="1"/>
  <c r="Q100" i="1"/>
  <c r="Q60" i="1"/>
  <c r="G21" i="1"/>
  <c r="G23" i="1" s="1"/>
  <c r="R21" i="4" l="1"/>
  <c r="I31" i="4"/>
  <c r="I49" i="4" s="1"/>
  <c r="I51" i="4" s="1"/>
  <c r="H31" i="4"/>
  <c r="H49" i="4" s="1"/>
  <c r="H51" i="4" s="1"/>
  <c r="R28" i="4"/>
  <c r="E31" i="4"/>
  <c r="E49" i="4" s="1"/>
  <c r="E51" i="4" s="1"/>
  <c r="G31" i="4"/>
  <c r="G49" i="4" s="1"/>
  <c r="G51" i="4" s="1"/>
  <c r="N31" i="4"/>
  <c r="N49" i="4" s="1"/>
  <c r="N51" i="4" s="1"/>
  <c r="L31" i="4"/>
  <c r="L49" i="4" s="1"/>
  <c r="L51" i="4" s="1"/>
  <c r="C31" i="4"/>
  <c r="C49" i="4" s="1"/>
  <c r="C51" i="4" s="1"/>
  <c r="P31" i="4"/>
  <c r="P49" i="4" s="1"/>
  <c r="P51" i="4" s="1"/>
  <c r="F31" i="4"/>
  <c r="F49" i="4" s="1"/>
  <c r="F51" i="4" s="1"/>
  <c r="D31" i="4"/>
  <c r="D49" i="4" s="1"/>
  <c r="D51" i="4" s="1"/>
  <c r="M31" i="4" l="1"/>
  <c r="M49" i="4" s="1"/>
  <c r="M51" i="4" s="1"/>
  <c r="J31" i="4"/>
  <c r="J49" i="4" s="1"/>
  <c r="J51" i="4" s="1"/>
  <c r="O31" i="4"/>
  <c r="O49" i="4" s="1"/>
  <c r="O51" i="4" s="1"/>
  <c r="K31" i="4"/>
  <c r="K49" i="4" s="1"/>
  <c r="K51" i="4" s="1"/>
  <c r="B31" i="4"/>
  <c r="B49" i="4" s="1"/>
  <c r="B51" i="4" s="1"/>
  <c r="F52" i="4" l="1"/>
  <c r="N52" i="4"/>
  <c r="C52" i="4"/>
  <c r="I52" i="4"/>
  <c r="D52" i="4"/>
  <c r="G52" i="4"/>
  <c r="H52" i="4"/>
  <c r="E52" i="4"/>
  <c r="L52" i="4"/>
  <c r="P52" i="4"/>
  <c r="H25" i="3" l="1"/>
  <c r="H26" i="3" s="1"/>
  <c r="H99" i="4"/>
  <c r="H106" i="4" s="1"/>
  <c r="H32" i="4"/>
  <c r="O52" i="4"/>
  <c r="K52" i="4"/>
  <c r="C99" i="4"/>
  <c r="C106" i="4" s="1"/>
  <c r="C25" i="3"/>
  <c r="C26" i="3" s="1"/>
  <c r="C32" i="4"/>
  <c r="J52" i="4"/>
  <c r="I99" i="4"/>
  <c r="I106" i="4" s="1"/>
  <c r="I25" i="3"/>
  <c r="I26" i="3" s="1"/>
  <c r="I32" i="4"/>
  <c r="G25" i="3"/>
  <c r="G26" i="3" s="1"/>
  <c r="G99" i="4"/>
  <c r="G106" i="4" s="1"/>
  <c r="G32" i="4"/>
  <c r="N99" i="4"/>
  <c r="N106" i="4" s="1"/>
  <c r="N25" i="3"/>
  <c r="N26" i="3" s="1"/>
  <c r="N32" i="4"/>
  <c r="L25" i="3"/>
  <c r="L26" i="3" s="1"/>
  <c r="L99" i="4"/>
  <c r="L106" i="4" s="1"/>
  <c r="L32" i="4"/>
  <c r="F25" i="3"/>
  <c r="F26" i="3" s="1"/>
  <c r="F99" i="4"/>
  <c r="F106" i="4" s="1"/>
  <c r="F32" i="4"/>
  <c r="B52" i="4"/>
  <c r="D99" i="4"/>
  <c r="D106" i="4" s="1"/>
  <c r="D25" i="3"/>
  <c r="D26" i="3" s="1"/>
  <c r="D32" i="4"/>
  <c r="E25" i="3"/>
  <c r="E26" i="3" s="1"/>
  <c r="E99" i="4"/>
  <c r="E106" i="4" s="1"/>
  <c r="E32" i="4"/>
  <c r="P99" i="4"/>
  <c r="P106" i="4" s="1"/>
  <c r="P25" i="3"/>
  <c r="P26" i="3" s="1"/>
  <c r="P32" i="4"/>
  <c r="M52" i="4"/>
  <c r="O25" i="3" l="1"/>
  <c r="O26" i="3" s="1"/>
  <c r="O99" i="4"/>
  <c r="O106" i="4" s="1"/>
  <c r="O32" i="4"/>
  <c r="M25" i="3"/>
  <c r="M26" i="3" s="1"/>
  <c r="M99" i="4"/>
  <c r="M106" i="4" s="1"/>
  <c r="M32" i="4"/>
  <c r="B99" i="4"/>
  <c r="B106" i="4" s="1"/>
  <c r="B25" i="3"/>
  <c r="B26" i="3" s="1"/>
  <c r="B32" i="4"/>
  <c r="J99" i="4"/>
  <c r="J106" i="4" s="1"/>
  <c r="J25" i="3"/>
  <c r="J26" i="3" s="1"/>
  <c r="J32" i="4"/>
  <c r="K99" i="4"/>
  <c r="K106" i="4" s="1"/>
  <c r="K25" i="3"/>
  <c r="K26" i="3" s="1"/>
  <c r="K32" i="4"/>
  <c r="Z16" i="1" l="1"/>
  <c r="D72" i="4"/>
  <c r="D89" i="4" s="1"/>
  <c r="D91" i="4" s="1"/>
  <c r="P72" i="4"/>
  <c r="P89" i="4" s="1"/>
  <c r="P91" i="4" s="1"/>
  <c r="F72" i="4"/>
  <c r="F89" i="4" s="1"/>
  <c r="F91" i="4" s="1"/>
  <c r="F74" i="4" l="1"/>
  <c r="F48" i="3"/>
  <c r="F57" i="3"/>
  <c r="F97" i="4"/>
  <c r="R69" i="4"/>
  <c r="T69" i="4" s="1"/>
  <c r="E72" i="4"/>
  <c r="E89" i="4" s="1"/>
  <c r="E91" i="4" s="1"/>
  <c r="P74" i="4"/>
  <c r="P97" i="4"/>
  <c r="J72" i="4"/>
  <c r="J89" i="4" s="1"/>
  <c r="J91" i="4" s="1"/>
  <c r="D97" i="4"/>
  <c r="D74" i="4"/>
  <c r="L72" i="4"/>
  <c r="L89" i="4" s="1"/>
  <c r="L91" i="4" s="1"/>
  <c r="N72" i="4"/>
  <c r="N89" i="4" s="1"/>
  <c r="N91" i="4" s="1"/>
  <c r="G72" i="4"/>
  <c r="G89" i="4" s="1"/>
  <c r="G91" i="4" s="1"/>
  <c r="C72" i="4"/>
  <c r="C89" i="4" s="1"/>
  <c r="C91" i="4" s="1"/>
  <c r="B72" i="4"/>
  <c r="B89" i="4" s="1"/>
  <c r="B91" i="4" s="1"/>
  <c r="E74" i="4" l="1"/>
  <c r="E97" i="4"/>
  <c r="B74" i="4"/>
  <c r="B97" i="4"/>
  <c r="C97" i="4"/>
  <c r="C74" i="4"/>
  <c r="I72" i="4"/>
  <c r="I89" i="4" s="1"/>
  <c r="I91" i="4" s="1"/>
  <c r="K72" i="4"/>
  <c r="K89" i="4" s="1"/>
  <c r="K91" i="4" s="1"/>
  <c r="M72" i="4"/>
  <c r="M89" i="4" s="1"/>
  <c r="M91" i="4" s="1"/>
  <c r="R62" i="4"/>
  <c r="T62" i="4" s="1"/>
  <c r="H72" i="4"/>
  <c r="H89" i="4" s="1"/>
  <c r="H91" i="4" s="1"/>
  <c r="O72" i="4"/>
  <c r="O89" i="4" s="1"/>
  <c r="O91" i="4" s="1"/>
  <c r="J74" i="4"/>
  <c r="J97" i="4"/>
  <c r="N97" i="4"/>
  <c r="N74" i="4"/>
  <c r="L57" i="3"/>
  <c r="L48" i="3"/>
  <c r="L97" i="4"/>
  <c r="L74" i="4"/>
  <c r="G97" i="4"/>
  <c r="G74" i="4"/>
  <c r="G57" i="3"/>
  <c r="G48" i="3"/>
  <c r="I97" i="4" l="1"/>
  <c r="I74" i="4"/>
  <c r="O97" i="4"/>
  <c r="O74" i="4"/>
  <c r="M97" i="4"/>
  <c r="M57" i="3"/>
  <c r="Q57" i="3" s="1"/>
  <c r="M48" i="3"/>
  <c r="Q48" i="3" s="1"/>
  <c r="M74" i="4"/>
  <c r="H97" i="4"/>
  <c r="H74" i="4"/>
  <c r="K74" i="4"/>
  <c r="K97" i="4"/>
  <c r="J92" i="4" l="1"/>
  <c r="J109" i="4"/>
  <c r="G92" i="4"/>
  <c r="G109" i="4"/>
  <c r="L92" i="4"/>
  <c r="L109" i="4"/>
  <c r="N92" i="4"/>
  <c r="N109" i="4"/>
  <c r="M109" i="4"/>
  <c r="M92" i="4"/>
  <c r="O92" i="4"/>
  <c r="O109" i="4"/>
  <c r="K92" i="4"/>
  <c r="K109" i="4"/>
  <c r="D92" i="4"/>
  <c r="D109" i="4"/>
  <c r="I92" i="4"/>
  <c r="I109" i="4"/>
  <c r="B92" i="4"/>
  <c r="Z18" i="1"/>
  <c r="Z20" i="1" s="1"/>
  <c r="Z21" i="1" s="1"/>
  <c r="B109" i="4"/>
  <c r="P92" i="4"/>
  <c r="P109" i="4"/>
  <c r="C92" i="4"/>
  <c r="C109" i="4"/>
  <c r="T90" i="4"/>
  <c r="H109" i="4"/>
  <c r="E92" i="4"/>
  <c r="E109" i="4"/>
  <c r="F92" i="4"/>
  <c r="F109" i="4"/>
  <c r="H92" i="4" l="1"/>
  <c r="H73" i="4" s="1"/>
  <c r="O95" i="4"/>
  <c r="O102" i="4" s="1"/>
  <c r="O73" i="4"/>
  <c r="O29" i="3"/>
  <c r="O33" i="4"/>
  <c r="E33" i="4"/>
  <c r="E95" i="4"/>
  <c r="E102" i="4" s="1"/>
  <c r="E73" i="4"/>
  <c r="E29" i="3"/>
  <c r="G29" i="3"/>
  <c r="G73" i="4"/>
  <c r="G95" i="4"/>
  <c r="G102" i="4" s="1"/>
  <c r="G33" i="4"/>
  <c r="I29" i="3"/>
  <c r="I33" i="4"/>
  <c r="I73" i="4"/>
  <c r="I95" i="4"/>
  <c r="I102" i="4" s="1"/>
  <c r="P29" i="3"/>
  <c r="P95" i="4"/>
  <c r="P102" i="4" s="1"/>
  <c r="P73" i="4"/>
  <c r="P33" i="4"/>
  <c r="J73" i="4"/>
  <c r="J29" i="3"/>
  <c r="J95" i="4"/>
  <c r="J102" i="4" s="1"/>
  <c r="J33" i="4"/>
  <c r="M95" i="4"/>
  <c r="M102" i="4" s="1"/>
  <c r="M33" i="4"/>
  <c r="M29" i="3"/>
  <c r="M73" i="4"/>
  <c r="L29" i="3"/>
  <c r="L95" i="4"/>
  <c r="L102" i="4" s="1"/>
  <c r="L73" i="4"/>
  <c r="L33" i="4"/>
  <c r="K33" i="4"/>
  <c r="K73" i="4"/>
  <c r="K95" i="4"/>
  <c r="K102" i="4" s="1"/>
  <c r="K29" i="3"/>
  <c r="D73" i="4"/>
  <c r="D95" i="4"/>
  <c r="D102" i="4" s="1"/>
  <c r="D29" i="3"/>
  <c r="D33" i="4"/>
  <c r="F95" i="4"/>
  <c r="F102" i="4" s="1"/>
  <c r="F29" i="3"/>
  <c r="F33" i="4"/>
  <c r="F73" i="4"/>
  <c r="C73" i="4"/>
  <c r="C33" i="4"/>
  <c r="C95" i="4"/>
  <c r="C102" i="4" s="1"/>
  <c r="C29" i="3"/>
  <c r="N73" i="4"/>
  <c r="N29" i="3"/>
  <c r="N95" i="4"/>
  <c r="N102" i="4" s="1"/>
  <c r="N33" i="4"/>
  <c r="B95" i="4"/>
  <c r="B102" i="4" s="1"/>
  <c r="B29" i="3"/>
  <c r="B73" i="4"/>
  <c r="B33" i="4"/>
  <c r="H95" i="4" l="1"/>
  <c r="H102" i="4" s="1"/>
  <c r="H29" i="3"/>
  <c r="H30" i="3" s="1"/>
  <c r="H33" i="4"/>
  <c r="F30" i="3"/>
  <c r="F32" i="3"/>
  <c r="F33" i="3" s="1"/>
  <c r="L32" i="3"/>
  <c r="L33" i="3" s="1"/>
  <c r="L30" i="3"/>
  <c r="I32" i="3"/>
  <c r="I33" i="3" s="1"/>
  <c r="I30" i="3"/>
  <c r="K30" i="3"/>
  <c r="K32" i="3"/>
  <c r="K33" i="3" s="1"/>
  <c r="N30" i="3"/>
  <c r="N32" i="3"/>
  <c r="N33" i="3" s="1"/>
  <c r="J32" i="3"/>
  <c r="J33" i="3" s="1"/>
  <c r="J30" i="3"/>
  <c r="D32" i="3"/>
  <c r="D33" i="3" s="1"/>
  <c r="D30" i="3"/>
  <c r="M32" i="3"/>
  <c r="M33" i="3" s="1"/>
  <c r="M30" i="3"/>
  <c r="O30" i="3"/>
  <c r="O32" i="3"/>
  <c r="O33" i="3" s="1"/>
  <c r="E30" i="3"/>
  <c r="E32" i="3"/>
  <c r="E33" i="3" s="1"/>
  <c r="H32" i="3"/>
  <c r="H33" i="3" s="1"/>
  <c r="C32" i="3"/>
  <c r="C33" i="3" s="1"/>
  <c r="C30" i="3"/>
  <c r="B32" i="3"/>
  <c r="B33" i="3" s="1"/>
  <c r="B30" i="3"/>
  <c r="P32" i="3"/>
  <c r="P33" i="3" s="1"/>
  <c r="P30" i="3"/>
  <c r="G30" i="3"/>
  <c r="G32" i="3"/>
  <c r="G33" i="3" s="1"/>
  <c r="J39" i="3" l="1"/>
  <c r="J38" i="3"/>
  <c r="M56" i="3"/>
  <c r="M59" i="3" s="1"/>
  <c r="M47" i="3"/>
  <c r="M50" i="3" s="1"/>
  <c r="L39" i="3"/>
  <c r="L38" i="3"/>
  <c r="G56" i="3"/>
  <c r="G59" i="3" s="1"/>
  <c r="G47" i="3"/>
  <c r="G50" i="3" s="1"/>
  <c r="L47" i="3"/>
  <c r="L50" i="3" s="1"/>
  <c r="L56" i="3"/>
  <c r="L59" i="3" s="1"/>
  <c r="M39" i="3"/>
  <c r="M38" i="3"/>
  <c r="K38" i="3"/>
  <c r="K39" i="3"/>
  <c r="F56" i="3"/>
  <c r="F47" i="3"/>
  <c r="F59" i="3" l="1"/>
  <c r="Q56" i="3"/>
  <c r="F50" i="3"/>
  <c r="Q50" i="3" s="1"/>
  <c r="Q47" i="3"/>
  <c r="Q59" i="3"/>
  <c r="R56" i="3" l="1"/>
  <c r="R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</authors>
  <commentList>
    <comment ref="M6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on KW basis apply only to Base KW cause it's the total KW
</t>
        </r>
      </text>
    </comment>
  </commentList>
</comments>
</file>

<file path=xl/sharedStrings.xml><?xml version="1.0" encoding="utf-8"?>
<sst xmlns="http://schemas.openxmlformats.org/spreadsheetml/2006/main" count="406" uniqueCount="133">
  <si>
    <t>RS</t>
  </si>
  <si>
    <t>RST</t>
  </si>
  <si>
    <t xml:space="preserve">Present </t>
  </si>
  <si>
    <t>Proposed</t>
  </si>
  <si>
    <t>Difference</t>
  </si>
  <si>
    <t>On Peak</t>
  </si>
  <si>
    <t>Off Peak</t>
  </si>
  <si>
    <t>Base</t>
  </si>
  <si>
    <t>Fuel</t>
  </si>
  <si>
    <t>CCR</t>
  </si>
  <si>
    <t>ECCR</t>
  </si>
  <si>
    <t>TOTAL</t>
  </si>
  <si>
    <t>GS-1</t>
  </si>
  <si>
    <t>GST</t>
  </si>
  <si>
    <t>GSD</t>
  </si>
  <si>
    <t>GSDT</t>
  </si>
  <si>
    <t>Breakeven:</t>
  </si>
  <si>
    <t>CS</t>
  </si>
  <si>
    <t>CST</t>
  </si>
  <si>
    <t>IS</t>
  </si>
  <si>
    <t>IST</t>
  </si>
  <si>
    <t>GS-2</t>
  </si>
  <si>
    <t>LS</t>
  </si>
  <si>
    <t>ECRC</t>
  </si>
  <si>
    <t xml:space="preserve">    &gt;1000</t>
  </si>
  <si>
    <t>Base &lt;= 1000</t>
  </si>
  <si>
    <t>TOTAL @1000</t>
  </si>
  <si>
    <t>Demand</t>
  </si>
  <si>
    <t xml:space="preserve">   base</t>
  </si>
  <si>
    <t xml:space="preserve">   onp</t>
  </si>
  <si>
    <t xml:space="preserve">   credits</t>
  </si>
  <si>
    <t>Energy</t>
  </si>
  <si>
    <t xml:space="preserve">   offpeak</t>
  </si>
  <si>
    <t xml:space="preserve">   onpeak</t>
  </si>
  <si>
    <t xml:space="preserve">   level</t>
  </si>
  <si>
    <t>GRT</t>
  </si>
  <si>
    <t>GS</t>
  </si>
  <si>
    <t>CS1</t>
  </si>
  <si>
    <t>CST1</t>
  </si>
  <si>
    <t>CS2</t>
  </si>
  <si>
    <t>CST2</t>
  </si>
  <si>
    <t>IS1</t>
  </si>
  <si>
    <t>IST1</t>
  </si>
  <si>
    <t>IS2</t>
  </si>
  <si>
    <t>IST2</t>
  </si>
  <si>
    <t>Current</t>
  </si>
  <si>
    <t xml:space="preserve">   &gt;1000</t>
  </si>
  <si>
    <t xml:space="preserve">   &lt;=1000</t>
  </si>
  <si>
    <t>Use Characteristic</t>
  </si>
  <si>
    <t>LF</t>
  </si>
  <si>
    <t xml:space="preserve">   onp(95%)</t>
  </si>
  <si>
    <t xml:space="preserve">   onpeak(28%)</t>
  </si>
  <si>
    <t xml:space="preserve">       (NCD 50%)</t>
  </si>
  <si>
    <t xml:space="preserve"> Cents/kwh</t>
  </si>
  <si>
    <t xml:space="preserve">   credits CS</t>
  </si>
  <si>
    <t>% of tot current</t>
  </si>
  <si>
    <t>% of tot proposed</t>
  </si>
  <si>
    <t>LS1</t>
  </si>
  <si>
    <t>% change</t>
  </si>
  <si>
    <t>Fuel &lt;= 1000</t>
  </si>
  <si>
    <t xml:space="preserve">   level  &lt;= 1000</t>
  </si>
  <si>
    <t>Average Industrial</t>
  </si>
  <si>
    <t>Average Commercial</t>
  </si>
  <si>
    <t>percent of class</t>
  </si>
  <si>
    <t>gwh sales - E-13c</t>
  </si>
  <si>
    <t>% sales</t>
  </si>
  <si>
    <t>commercial sales</t>
  </si>
  <si>
    <t>weighted cent/kwh component</t>
  </si>
  <si>
    <t>w/o grt</t>
  </si>
  <si>
    <t>base</t>
  </si>
  <si>
    <t>fuel</t>
  </si>
  <si>
    <t>other</t>
  </si>
  <si>
    <t>Billing Adjustment Comparison</t>
  </si>
  <si>
    <t>(cents/kWh)</t>
  </si>
  <si>
    <t>Secondary Voltage</t>
  </si>
  <si>
    <t xml:space="preserve"> </t>
  </si>
  <si>
    <t>Rate Comparisons</t>
  </si>
  <si>
    <t>% Change by Rate Schedule</t>
  </si>
  <si>
    <t>Use Characteristics</t>
  </si>
  <si>
    <t xml:space="preserve">This worksheet is used to create &amp; check the bill stuffer. </t>
  </si>
  <si>
    <t>Beauty Salon</t>
  </si>
  <si>
    <t>Office</t>
  </si>
  <si>
    <t>Supermarket</t>
  </si>
  <si>
    <t>Base Rates</t>
  </si>
  <si>
    <t>Pass Thrus</t>
  </si>
  <si>
    <t>% of Tot Proposed</t>
  </si>
  <si>
    <t>Current Rates</t>
  </si>
  <si>
    <t>Total Base Rates</t>
  </si>
  <si>
    <t>Total Pass Thrus</t>
  </si>
  <si>
    <t>Total Current Rates</t>
  </si>
  <si>
    <t>Proposed Rates</t>
  </si>
  <si>
    <t>Total Proposed Rates</t>
  </si>
  <si>
    <t>NOTE:</t>
  </si>
  <si>
    <t>Difference - Fuel</t>
  </si>
  <si>
    <t>For all present base rates, if there is a base rate change, the reference to rates file needs to be column I, if there is not a base rate change it needs to to be column K.</t>
  </si>
  <si>
    <t>Change in Base Rates w/o CR</t>
  </si>
  <si>
    <t>2000 poles</t>
  </si>
  <si>
    <t>5000 fixtures</t>
  </si>
  <si>
    <t>Fixtures/Maintenance</t>
  </si>
  <si>
    <t>Prop Cents/KWH - Fuel</t>
  </si>
  <si>
    <t>Prior Cents/kwh - Fuel</t>
  </si>
  <si>
    <t>% change - fuel</t>
  </si>
  <si>
    <t>Fuel Change as % Tot bill</t>
  </si>
  <si>
    <t>Rate Adjmt</t>
  </si>
  <si>
    <t>Credits NOT Load Factor Adjusted</t>
  </si>
  <si>
    <t xml:space="preserve">Demand Chg </t>
  </si>
  <si>
    <t xml:space="preserve">  Total Demand</t>
  </si>
  <si>
    <t>Change in Rate Adj</t>
  </si>
  <si>
    <t>Prop Cents/KWH - Base</t>
  </si>
  <si>
    <t>ECCR &amp; CCR</t>
  </si>
  <si>
    <t>ASC</t>
  </si>
  <si>
    <t>Non-fuel Energy Chg</t>
  </si>
  <si>
    <t>Non-fuel &gt;1000</t>
  </si>
  <si>
    <t>Low =</t>
  </si>
  <si>
    <t>High=</t>
  </si>
  <si>
    <t>Industrial % Change</t>
  </si>
  <si>
    <t>Range</t>
  </si>
  <si>
    <t xml:space="preserve"> Commercial % Change</t>
  </si>
  <si>
    <t>`</t>
  </si>
  <si>
    <t>Duke Energy Florida</t>
  </si>
  <si>
    <t>Rate inputs</t>
  </si>
  <si>
    <t xml:space="preserve"> Curtailable % Change</t>
  </si>
  <si>
    <t>Interruptible % Change</t>
  </si>
  <si>
    <t>NOTE: When base rates are changing, these need to ref Proposed column (T) in 'Base Rates' tab of rates file, when not changing, the ref needs to be Current/Prior column ('R)</t>
  </si>
  <si>
    <t>SCRS</t>
  </si>
  <si>
    <t>Prop Cents/KWH - Non-Fuel, ASC, SCRS</t>
  </si>
  <si>
    <t>Prior Cents/kwh - Non Fuel, ASC, SCRS</t>
  </si>
  <si>
    <t>Difference - Non-Fuel, ASC, SCRS</t>
  </si>
  <si>
    <t>Avg Commercial: Incr 0.2% to 0.3%</t>
  </si>
  <si>
    <t xml:space="preserve">Avg Industrial: Incr 0.2% to 0.3% </t>
  </si>
  <si>
    <t>SPP</t>
  </si>
  <si>
    <t>Jan_22 vs Jan_22</t>
  </si>
  <si>
    <t>Non-Responsive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</si>
</sst>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%"/>
    <numFmt numFmtId="167" formatCode="_(* #,##0_);_(* \(#,##0\);_(* &quot;-&quot;??_);_(@_)"/>
    <numFmt numFmtId="168" formatCode="#,##0.000"/>
    <numFmt numFmtId="169" formatCode="#,##0.000_);\(#,##0.000\)"/>
    <numFmt numFmtId="170" formatCode="_(* #,##0.0000000_);_(* \(#,##0.0000000\);_(* &quot;-&quot;??_);_(@_)"/>
    <numFmt numFmtId="171" formatCode="_(&quot;$&quot;* #,##0.00000_);_(&quot;$&quot;* \(#,##0.00000\);_(&quot;$&quot;* &quot;-&quot;??_);_(@_)"/>
    <numFmt numFmtId="172" formatCode="0.00000"/>
    <numFmt numFmtId="173" formatCode="#,##0.00000_);\(#,##0.00000\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u/>
      <sz val="8"/>
      <name val="Arial Narrow"/>
      <family val="2"/>
    </font>
    <font>
      <sz val="8"/>
      <color indexed="12"/>
      <name val="Arial Narrow"/>
      <family val="2"/>
    </font>
    <font>
      <sz val="8"/>
      <color indexed="10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sz val="8"/>
      <color indexed="81"/>
      <name val="Tahoma"/>
      <family val="2"/>
    </font>
    <font>
      <b/>
      <sz val="14"/>
      <name val="Arial Narrow"/>
      <family val="2"/>
    </font>
    <font>
      <sz val="8"/>
      <color rgb="FF0070C0"/>
      <name val="Arial Narrow"/>
      <family val="2"/>
    </font>
    <font>
      <b/>
      <sz val="16"/>
      <name val="Arial Narrow"/>
      <family val="2"/>
    </font>
    <font>
      <b/>
      <sz val="8"/>
      <color rgb="FF0070C0"/>
      <name val="Arial Narrow"/>
      <family val="2"/>
    </font>
    <font>
      <sz val="10"/>
      <name val="Arial Narrow"/>
      <family val="2"/>
    </font>
    <font>
      <sz val="8"/>
      <color rgb="FFFF0000"/>
      <name val="Arial Narrow"/>
      <family val="2"/>
    </font>
    <font>
      <sz val="8"/>
      <color theme="1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9" fontId="13" fillId="0" borderId="1" xfId="3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7" fontId="4" fillId="0" borderId="0" xfId="1" applyNumberFormat="1" applyFont="1" applyProtection="1">
      <protection locked="0"/>
    </xf>
    <xf numFmtId="166" fontId="4" fillId="0" borderId="0" xfId="3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166" fontId="4" fillId="0" borderId="0" xfId="0" applyNumberFormat="1" applyFont="1" applyFill="1" applyProtection="1">
      <protection locked="0"/>
    </xf>
    <xf numFmtId="43" fontId="4" fillId="0" borderId="0" xfId="1" applyNumberFormat="1" applyFont="1" applyProtection="1">
      <protection locked="0"/>
    </xf>
    <xf numFmtId="43" fontId="4" fillId="0" borderId="0" xfId="1" applyFont="1" applyProtection="1"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167" fontId="4" fillId="0" borderId="0" xfId="1" applyNumberFormat="1" applyFont="1" applyFill="1" applyProtection="1">
      <protection locked="0"/>
    </xf>
    <xf numFmtId="166" fontId="4" fillId="0" borderId="0" xfId="3" applyNumberFormat="1" applyFont="1" applyFill="1" applyProtection="1">
      <protection locked="0"/>
    </xf>
    <xf numFmtId="4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72" fontId="4" fillId="0" borderId="0" xfId="0" applyNumberFormat="1" applyFont="1" applyFill="1" applyProtection="1">
      <protection locked="0"/>
    </xf>
    <xf numFmtId="166" fontId="3" fillId="0" borderId="0" xfId="3" applyNumberFormat="1" applyFont="1" applyFill="1" applyProtection="1">
      <protection locked="0"/>
    </xf>
    <xf numFmtId="166" fontId="4" fillId="0" borderId="0" xfId="0" applyNumberFormat="1" applyFont="1" applyFill="1" applyAlignment="1" applyProtection="1">
      <protection locked="0"/>
    </xf>
    <xf numFmtId="166" fontId="4" fillId="0" borderId="0" xfId="0" quotePrefix="1" applyNumberFormat="1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166" fontId="4" fillId="0" borderId="9" xfId="0" applyNumberFormat="1" applyFont="1" applyFill="1" applyBorder="1" applyAlignment="1" applyProtection="1">
      <alignment horizontal="center"/>
      <protection locked="0"/>
    </xf>
    <xf numFmtId="166" fontId="4" fillId="0" borderId="10" xfId="0" quotePrefix="1" applyNumberFormat="1" applyFont="1" applyFill="1" applyBorder="1" applyAlignment="1" applyProtection="1">
      <alignment horizontal="center" wrapText="1"/>
      <protection locked="0"/>
    </xf>
    <xf numFmtId="166" fontId="4" fillId="0" borderId="10" xfId="0" applyNumberFormat="1" applyFont="1" applyFill="1" applyBorder="1" applyAlignment="1" applyProtection="1">
      <alignment horizontal="center" wrapText="1"/>
      <protection locked="0"/>
    </xf>
    <xf numFmtId="166" fontId="4" fillId="0" borderId="1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right"/>
      <protection locked="0"/>
    </xf>
    <xf numFmtId="43" fontId="4" fillId="0" borderId="0" xfId="1" applyNumberFormat="1" applyFont="1" applyFill="1" applyProtection="1">
      <protection locked="0"/>
    </xf>
    <xf numFmtId="166" fontId="4" fillId="0" borderId="12" xfId="0" applyNumberFormat="1" applyFont="1" applyFill="1" applyBorder="1" applyAlignment="1" applyProtection="1">
      <alignment horizontal="center"/>
      <protection locked="0"/>
    </xf>
    <xf numFmtId="10" fontId="4" fillId="0" borderId="0" xfId="0" quotePrefix="1" applyNumberFormat="1" applyFont="1" applyFill="1" applyBorder="1" applyAlignment="1" applyProtection="1">
      <alignment horizontal="center"/>
      <protection locked="0"/>
    </xf>
    <xf numFmtId="10" fontId="4" fillId="0" borderId="13" xfId="0" quotePrefix="1" applyNumberFormat="1" applyFont="1" applyFill="1" applyBorder="1" applyAlignment="1" applyProtection="1">
      <alignment horizontal="center"/>
      <protection locked="0"/>
    </xf>
    <xf numFmtId="166" fontId="4" fillId="0" borderId="0" xfId="0" applyNumberFormat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166" fontId="4" fillId="0" borderId="14" xfId="0" applyNumberFormat="1" applyFont="1" applyFill="1" applyBorder="1" applyAlignment="1" applyProtection="1">
      <alignment horizontal="center"/>
      <protection locked="0"/>
    </xf>
    <xf numFmtId="10" fontId="4" fillId="0" borderId="1" xfId="0" quotePrefix="1" applyNumberFormat="1" applyFont="1" applyFill="1" applyBorder="1" applyAlignment="1" applyProtection="1">
      <alignment horizontal="center"/>
      <protection locked="0"/>
    </xf>
    <xf numFmtId="10" fontId="4" fillId="0" borderId="15" xfId="0" quotePrefix="1" applyNumberFormat="1" applyFont="1" applyFill="1" applyBorder="1" applyAlignment="1" applyProtection="1">
      <alignment horizontal="center"/>
      <protection locked="0"/>
    </xf>
    <xf numFmtId="43" fontId="3" fillId="0" borderId="0" xfId="1" applyFont="1" applyFill="1" applyProtection="1">
      <protection locked="0"/>
    </xf>
    <xf numFmtId="43" fontId="4" fillId="0" borderId="0" xfId="0" applyNumberFormat="1" applyFont="1" applyFill="1" applyProtection="1">
      <protection locked="0"/>
    </xf>
    <xf numFmtId="0" fontId="4" fillId="5" borderId="0" xfId="0" applyFont="1" applyFill="1" applyProtection="1">
      <protection hidden="1"/>
    </xf>
    <xf numFmtId="165" fontId="4" fillId="5" borderId="0" xfId="1" applyNumberFormat="1" applyFont="1" applyFill="1" applyProtection="1">
      <protection hidden="1"/>
    </xf>
    <xf numFmtId="165" fontId="4" fillId="5" borderId="0" xfId="0" applyNumberFormat="1" applyFont="1" applyFill="1" applyProtection="1">
      <protection hidden="1"/>
    </xf>
    <xf numFmtId="9" fontId="6" fillId="5" borderId="0" xfId="3" applyFont="1" applyFill="1" applyProtection="1">
      <protection hidden="1"/>
    </xf>
    <xf numFmtId="9" fontId="4" fillId="5" borderId="0" xfId="3" applyFont="1" applyFill="1" applyProtection="1">
      <protection hidden="1"/>
    </xf>
    <xf numFmtId="9" fontId="4" fillId="5" borderId="0" xfId="0" applyNumberFormat="1" applyFont="1" applyFill="1" applyProtection="1">
      <protection hidden="1"/>
    </xf>
    <xf numFmtId="167" fontId="4" fillId="5" borderId="0" xfId="1" applyNumberFormat="1" applyFont="1" applyFill="1" applyProtection="1">
      <protection hidden="1"/>
    </xf>
    <xf numFmtId="166" fontId="4" fillId="5" borderId="0" xfId="3" applyNumberFormat="1" applyFont="1" applyFill="1" applyProtection="1">
      <protection hidden="1"/>
    </xf>
    <xf numFmtId="43" fontId="4" fillId="5" borderId="0" xfId="1" applyFont="1" applyFill="1" applyProtection="1">
      <protection hidden="1"/>
    </xf>
    <xf numFmtId="43" fontId="4" fillId="5" borderId="0" xfId="0" applyNumberFormat="1" applyFont="1" applyFill="1" applyProtection="1">
      <protection hidden="1"/>
    </xf>
    <xf numFmtId="167" fontId="4" fillId="5" borderId="0" xfId="0" applyNumberFormat="1" applyFont="1" applyFill="1" applyProtection="1">
      <protection hidden="1"/>
    </xf>
    <xf numFmtId="9" fontId="17" fillId="5" borderId="0" xfId="3" applyFont="1" applyFill="1" applyProtection="1">
      <protection hidden="1"/>
    </xf>
    <xf numFmtId="173" fontId="4" fillId="5" borderId="0" xfId="0" applyNumberFormat="1" applyFont="1" applyFill="1" applyAlignment="1" applyProtection="1">
      <alignment horizontal="center"/>
      <protection hidden="1"/>
    </xf>
    <xf numFmtId="173" fontId="3" fillId="5" borderId="0" xfId="0" applyNumberFormat="1" applyFont="1" applyFill="1" applyAlignment="1" applyProtection="1">
      <alignment horizontal="center"/>
      <protection hidden="1"/>
    </xf>
    <xf numFmtId="0" fontId="3" fillId="5" borderId="0" xfId="0" applyFont="1" applyFill="1" applyProtection="1">
      <protection hidden="1"/>
    </xf>
    <xf numFmtId="173" fontId="4" fillId="5" borderId="0" xfId="0" applyNumberFormat="1" applyFont="1" applyFill="1" applyProtection="1">
      <protection hidden="1"/>
    </xf>
    <xf numFmtId="44" fontId="4" fillId="5" borderId="0" xfId="0" applyNumberFormat="1" applyFont="1" applyFill="1" applyProtection="1">
      <protection hidden="1"/>
    </xf>
    <xf numFmtId="0" fontId="3" fillId="2" borderId="0" xfId="0" applyFont="1" applyFill="1" applyProtection="1">
      <protection locked="0"/>
    </xf>
    <xf numFmtId="173" fontId="4" fillId="0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Continuous"/>
      <protection locked="0"/>
    </xf>
    <xf numFmtId="0" fontId="3" fillId="0" borderId="2" xfId="0" applyFont="1" applyBorder="1" applyAlignment="1" applyProtection="1">
      <alignment horizontal="center"/>
      <protection locked="0"/>
    </xf>
    <xf numFmtId="173" fontId="3" fillId="0" borderId="0" xfId="0" applyNumberFormat="1" applyFont="1" applyFill="1" applyAlignment="1" applyProtection="1">
      <alignment horizontal="center"/>
      <protection locked="0"/>
    </xf>
    <xf numFmtId="165" fontId="4" fillId="0" borderId="0" xfId="1" applyNumberFormat="1" applyFont="1" applyProtection="1">
      <protection locked="0"/>
    </xf>
    <xf numFmtId="167" fontId="14" fillId="0" borderId="0" xfId="1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2" xfId="0" applyFont="1" applyFill="1" applyBorder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0" xfId="2" applyFont="1" applyProtection="1">
      <protection locked="0"/>
    </xf>
    <xf numFmtId="0" fontId="7" fillId="0" borderId="0" xfId="0" applyFont="1" applyProtection="1">
      <protection locked="0"/>
    </xf>
    <xf numFmtId="44" fontId="7" fillId="0" borderId="0" xfId="2" applyFont="1" applyFill="1" applyProtection="1">
      <protection locked="0"/>
    </xf>
    <xf numFmtId="44" fontId="7" fillId="0" borderId="2" xfId="2" applyFont="1" applyBorder="1" applyProtection="1">
      <protection locked="0"/>
    </xf>
    <xf numFmtId="44" fontId="12" fillId="0" borderId="2" xfId="2" applyFont="1" applyFill="1" applyBorder="1" applyProtection="1">
      <protection locked="0"/>
    </xf>
    <xf numFmtId="44" fontId="3" fillId="0" borderId="0" xfId="2" applyFont="1" applyProtection="1">
      <protection locked="0"/>
    </xf>
    <xf numFmtId="9" fontId="4" fillId="0" borderId="0" xfId="3" applyFont="1" applyProtection="1">
      <protection locked="0"/>
    </xf>
    <xf numFmtId="44" fontId="4" fillId="0" borderId="0" xfId="2" applyFont="1" applyProtection="1">
      <protection locked="0"/>
    </xf>
    <xf numFmtId="0" fontId="3" fillId="0" borderId="2" xfId="0" applyFont="1" applyBorder="1" applyProtection="1">
      <protection locked="0"/>
    </xf>
    <xf numFmtId="44" fontId="7" fillId="0" borderId="0" xfId="2" applyFont="1" applyBorder="1" applyProtection="1">
      <protection locked="0"/>
    </xf>
    <xf numFmtId="44" fontId="7" fillId="0" borderId="2" xfId="2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44" fontId="7" fillId="0" borderId="0" xfId="2" applyFont="1" applyFill="1" applyBorder="1" applyProtection="1">
      <protection locked="0"/>
    </xf>
    <xf numFmtId="44" fontId="4" fillId="0" borderId="2" xfId="2" applyFont="1" applyBorder="1" applyProtection="1">
      <protection locked="0"/>
    </xf>
    <xf numFmtId="44" fontId="3" fillId="3" borderId="0" xfId="0" applyNumberFormat="1" applyFont="1" applyFill="1" applyProtection="1">
      <protection locked="0"/>
    </xf>
    <xf numFmtId="171" fontId="3" fillId="0" borderId="0" xfId="0" applyNumberFormat="1" applyFont="1" applyProtection="1">
      <protection locked="0"/>
    </xf>
    <xf numFmtId="170" fontId="4" fillId="0" borderId="0" xfId="0" applyNumberFormat="1" applyFont="1" applyProtection="1">
      <protection locked="0"/>
    </xf>
    <xf numFmtId="44" fontId="16" fillId="0" borderId="0" xfId="2" applyFont="1" applyFill="1" applyBorder="1" applyProtection="1">
      <protection locked="0"/>
    </xf>
    <xf numFmtId="2" fontId="4" fillId="0" borderId="0" xfId="1" applyNumberFormat="1" applyFont="1" applyProtection="1">
      <protection locked="0"/>
    </xf>
    <xf numFmtId="172" fontId="4" fillId="0" borderId="0" xfId="1" applyNumberFormat="1" applyFont="1" applyProtection="1">
      <protection locked="0"/>
    </xf>
    <xf numFmtId="165" fontId="4" fillId="0" borderId="0" xfId="3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9" fontId="4" fillId="0" borderId="0" xfId="3" applyNumberFormat="1" applyFont="1" applyProtection="1">
      <protection locked="0"/>
    </xf>
    <xf numFmtId="173" fontId="18" fillId="0" borderId="0" xfId="0" applyNumberFormat="1" applyFont="1" applyFill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centerContinuous"/>
      <protection hidden="1"/>
    </xf>
    <xf numFmtId="9" fontId="13" fillId="5" borderId="1" xfId="3" applyFont="1" applyFill="1" applyBorder="1" applyAlignment="1" applyProtection="1">
      <alignment horizontal="left"/>
      <protection hidden="1"/>
    </xf>
    <xf numFmtId="0" fontId="8" fillId="5" borderId="1" xfId="0" applyFont="1" applyFill="1" applyBorder="1" applyProtection="1">
      <protection hidden="1"/>
    </xf>
    <xf numFmtId="0" fontId="4" fillId="5" borderId="1" xfId="0" applyFont="1" applyFill="1" applyBorder="1" applyProtection="1">
      <protection hidden="1"/>
    </xf>
    <xf numFmtId="0" fontId="11" fillId="5" borderId="0" xfId="0" applyFont="1" applyFill="1" applyProtection="1"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3" fillId="5" borderId="0" xfId="0" applyFont="1" applyFill="1" applyBorder="1" applyProtection="1">
      <protection hidden="1"/>
    </xf>
    <xf numFmtId="0" fontId="3" fillId="5" borderId="2" xfId="0" applyFont="1" applyFill="1" applyBorder="1" applyAlignment="1" applyProtection="1">
      <alignment horizontal="centerContinuous"/>
      <protection hidden="1"/>
    </xf>
    <xf numFmtId="165" fontId="3" fillId="5" borderId="0" xfId="0" applyNumberFormat="1" applyFont="1" applyFill="1" applyBorder="1" applyProtection="1">
      <protection hidden="1"/>
    </xf>
    <xf numFmtId="43" fontId="3" fillId="5" borderId="0" xfId="0" applyNumberFormat="1" applyFont="1" applyFill="1" applyBorder="1" applyProtection="1">
      <protection hidden="1"/>
    </xf>
    <xf numFmtId="164" fontId="3" fillId="5" borderId="3" xfId="0" applyNumberFormat="1" applyFont="1" applyFill="1" applyBorder="1" applyAlignment="1" applyProtection="1">
      <alignment horizontal="centerContinuous"/>
      <protection hidden="1"/>
    </xf>
    <xf numFmtId="164" fontId="3" fillId="5" borderId="0" xfId="0" applyNumberFormat="1" applyFont="1" applyFill="1" applyBorder="1" applyAlignment="1" applyProtection="1">
      <alignment horizontal="centerContinuous"/>
      <protection hidden="1"/>
    </xf>
    <xf numFmtId="0" fontId="3" fillId="5" borderId="4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168" fontId="4" fillId="5" borderId="0" xfId="1" applyNumberFormat="1" applyFont="1" applyFill="1" applyAlignment="1" applyProtection="1">
      <alignment horizontal="right"/>
      <protection hidden="1"/>
    </xf>
    <xf numFmtId="168" fontId="4" fillId="5" borderId="0" xfId="0" applyNumberFormat="1" applyFont="1" applyFill="1" applyAlignment="1" applyProtection="1">
      <alignment horizontal="right"/>
      <protection hidden="1"/>
    </xf>
    <xf numFmtId="168" fontId="4" fillId="5" borderId="0" xfId="1" applyNumberFormat="1" applyFont="1" applyFill="1" applyBorder="1" applyAlignment="1" applyProtection="1">
      <alignment horizontal="right"/>
      <protection hidden="1"/>
    </xf>
    <xf numFmtId="168" fontId="4" fillId="5" borderId="0" xfId="1" applyNumberFormat="1" applyFont="1" applyFill="1" applyProtection="1">
      <protection hidden="1"/>
    </xf>
    <xf numFmtId="168" fontId="4" fillId="5" borderId="0" xfId="0" applyNumberFormat="1" applyFont="1" applyFill="1" applyProtection="1">
      <protection hidden="1"/>
    </xf>
    <xf numFmtId="168" fontId="4" fillId="5" borderId="0" xfId="1" applyNumberFormat="1" applyFont="1" applyFill="1" applyBorder="1" applyProtection="1">
      <protection hidden="1"/>
    </xf>
    <xf numFmtId="0" fontId="4" fillId="5" borderId="0" xfId="0" applyFont="1" applyFill="1" applyBorder="1" applyProtection="1">
      <protection hidden="1"/>
    </xf>
    <xf numFmtId="168" fontId="4" fillId="5" borderId="0" xfId="0" applyNumberFormat="1" applyFont="1" applyFill="1" applyBorder="1" applyProtection="1">
      <protection hidden="1"/>
    </xf>
    <xf numFmtId="44" fontId="4" fillId="5" borderId="0" xfId="0" applyNumberFormat="1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168" fontId="4" fillId="5" borderId="2" xfId="1" applyNumberFormat="1" applyFont="1" applyFill="1" applyBorder="1" applyAlignment="1" applyProtection="1">
      <alignment vertical="center"/>
      <protection hidden="1"/>
    </xf>
    <xf numFmtId="168" fontId="4" fillId="5" borderId="0" xfId="1" applyNumberFormat="1" applyFont="1" applyFill="1" applyAlignment="1" applyProtection="1">
      <alignment vertical="center"/>
      <protection hidden="1"/>
    </xf>
    <xf numFmtId="168" fontId="4" fillId="5" borderId="2" xfId="0" applyNumberFormat="1" applyFont="1" applyFill="1" applyBorder="1" applyProtection="1">
      <protection hidden="1"/>
    </xf>
    <xf numFmtId="168" fontId="4" fillId="5" borderId="0" xfId="1" applyNumberFormat="1" applyFont="1" applyFill="1" applyBorder="1" applyAlignment="1" applyProtection="1">
      <alignment vertical="center"/>
      <protection hidden="1"/>
    </xf>
    <xf numFmtId="43" fontId="4" fillId="5" borderId="0" xfId="1" applyFont="1" applyFill="1" applyAlignment="1" applyProtection="1">
      <alignment vertical="center"/>
      <protection hidden="1"/>
    </xf>
    <xf numFmtId="0" fontId="3" fillId="5" borderId="0" xfId="0" applyFont="1" applyFill="1" applyAlignment="1" applyProtection="1">
      <alignment horizontal="left" vertical="center"/>
      <protection hidden="1"/>
    </xf>
    <xf numFmtId="43" fontId="4" fillId="5" borderId="8" xfId="1" applyFont="1" applyFill="1" applyBorder="1" applyAlignment="1" applyProtection="1">
      <alignment vertical="center"/>
      <protection hidden="1"/>
    </xf>
    <xf numFmtId="43" fontId="4" fillId="5" borderId="0" xfId="0" applyNumberFormat="1" applyFont="1" applyFill="1" applyAlignment="1" applyProtection="1">
      <alignment vertical="center"/>
      <protection hidden="1"/>
    </xf>
    <xf numFmtId="10" fontId="4" fillId="5" borderId="0" xfId="3" applyNumberFormat="1" applyFont="1" applyFill="1" applyAlignment="1" applyProtection="1">
      <alignment vertical="center"/>
      <protection hidden="1"/>
    </xf>
    <xf numFmtId="0" fontId="4" fillId="5" borderId="5" xfId="0" applyFont="1" applyFill="1" applyBorder="1" applyAlignment="1" applyProtection="1">
      <alignment horizontal="left" vertical="center"/>
      <protection hidden="1"/>
    </xf>
    <xf numFmtId="0" fontId="4" fillId="5" borderId="5" xfId="0" applyFont="1" applyFill="1" applyBorder="1" applyAlignment="1" applyProtection="1">
      <alignment vertical="center"/>
      <protection hidden="1"/>
    </xf>
    <xf numFmtId="165" fontId="4" fillId="5" borderId="5" xfId="1" applyNumberFormat="1" applyFont="1" applyFill="1" applyBorder="1" applyAlignment="1" applyProtection="1">
      <alignment vertical="center"/>
      <protection hidden="1"/>
    </xf>
    <xf numFmtId="169" fontId="7" fillId="5" borderId="5" xfId="1" applyNumberFormat="1" applyFont="1" applyFill="1" applyBorder="1" applyAlignment="1" applyProtection="1">
      <alignment vertical="center"/>
      <protection hidden="1"/>
    </xf>
    <xf numFmtId="169" fontId="4" fillId="5" borderId="5" xfId="1" applyNumberFormat="1" applyFont="1" applyFill="1" applyBorder="1" applyAlignment="1" applyProtection="1">
      <alignment vertical="center"/>
      <protection hidden="1"/>
    </xf>
    <xf numFmtId="165" fontId="4" fillId="5" borderId="0" xfId="1" applyNumberFormat="1" applyFont="1" applyFill="1" applyAlignment="1" applyProtection="1">
      <alignment vertical="center"/>
      <protection hidden="1"/>
    </xf>
    <xf numFmtId="165" fontId="7" fillId="5" borderId="0" xfId="1" applyNumberFormat="1" applyFont="1" applyFill="1" applyAlignment="1" applyProtection="1">
      <alignment vertical="center"/>
      <protection hidden="1"/>
    </xf>
    <xf numFmtId="165" fontId="4" fillId="5" borderId="0" xfId="1" applyNumberFormat="1" applyFont="1" applyFill="1" applyBorder="1" applyAlignment="1" applyProtection="1">
      <alignment vertical="center"/>
      <protection hidden="1"/>
    </xf>
    <xf numFmtId="165" fontId="4" fillId="5" borderId="0" xfId="1" applyNumberFormat="1" applyFont="1" applyFill="1" applyBorder="1" applyProtection="1">
      <protection hidden="1"/>
    </xf>
    <xf numFmtId="164" fontId="3" fillId="5" borderId="0" xfId="0" applyNumberFormat="1" applyFont="1" applyFill="1" applyBorder="1" applyProtection="1">
      <protection hidden="1"/>
    </xf>
    <xf numFmtId="164" fontId="3" fillId="5" borderId="2" xfId="0" applyNumberFormat="1" applyFont="1" applyFill="1" applyBorder="1" applyAlignment="1" applyProtection="1">
      <alignment horizontal="centerContinuous"/>
      <protection hidden="1"/>
    </xf>
    <xf numFmtId="164" fontId="3" fillId="5" borderId="4" xfId="0" applyNumberFormat="1" applyFont="1" applyFill="1" applyBorder="1" applyAlignment="1" applyProtection="1">
      <alignment horizontal="center"/>
      <protection hidden="1"/>
    </xf>
    <xf numFmtId="164" fontId="3" fillId="5" borderId="4" xfId="0" applyNumberFormat="1" applyFont="1" applyFill="1" applyBorder="1" applyProtection="1">
      <protection hidden="1"/>
    </xf>
    <xf numFmtId="164" fontId="3" fillId="5" borderId="4" xfId="0" applyNumberFormat="1" applyFont="1" applyFill="1" applyBorder="1" applyAlignment="1" applyProtection="1">
      <alignment horizontal="left"/>
      <protection hidden="1"/>
    </xf>
    <xf numFmtId="164" fontId="4" fillId="5" borderId="0" xfId="0" applyNumberFormat="1" applyFont="1" applyFill="1" applyProtection="1">
      <protection hidden="1"/>
    </xf>
    <xf numFmtId="164" fontId="4" fillId="5" borderId="0" xfId="1" applyNumberFormat="1" applyFont="1" applyFill="1" applyProtection="1">
      <protection hidden="1"/>
    </xf>
    <xf numFmtId="164" fontId="4" fillId="5" borderId="2" xfId="1" applyNumberFormat="1" applyFont="1" applyFill="1" applyBorder="1" applyAlignment="1" applyProtection="1">
      <alignment vertical="center"/>
      <protection hidden="1"/>
    </xf>
    <xf numFmtId="164" fontId="4" fillId="5" borderId="2" xfId="0" applyNumberFormat="1" applyFont="1" applyFill="1" applyBorder="1" applyProtection="1">
      <protection hidden="1"/>
    </xf>
    <xf numFmtId="164" fontId="4" fillId="5" borderId="0" xfId="0" applyNumberFormat="1" applyFont="1" applyFill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4" fontId="17" fillId="5" borderId="0" xfId="1" applyNumberFormat="1" applyFont="1" applyFill="1" applyBorder="1" applyAlignment="1" applyProtection="1">
      <alignment vertical="center"/>
      <protection hidden="1"/>
    </xf>
    <xf numFmtId="2" fontId="17" fillId="5" borderId="0" xfId="1" applyNumberFormat="1" applyFont="1" applyFill="1" applyBorder="1" applyAlignment="1" applyProtection="1">
      <alignment vertical="center"/>
      <protection hidden="1"/>
    </xf>
    <xf numFmtId="4" fontId="4" fillId="5" borderId="0" xfId="1" applyNumberFormat="1" applyFont="1" applyFill="1" applyBorder="1" applyAlignment="1" applyProtection="1">
      <alignment vertical="center"/>
      <protection hidden="1"/>
    </xf>
    <xf numFmtId="4" fontId="7" fillId="5" borderId="0" xfId="1" applyNumberFormat="1" applyFont="1" applyFill="1" applyBorder="1" applyAlignment="1" applyProtection="1">
      <alignment vertical="center"/>
      <protection hidden="1"/>
    </xf>
    <xf numFmtId="4" fontId="17" fillId="5" borderId="2" xfId="0" applyNumberFormat="1" applyFont="1" applyFill="1" applyBorder="1" applyProtection="1">
      <protection hidden="1"/>
    </xf>
    <xf numFmtId="2" fontId="17" fillId="5" borderId="2" xfId="0" applyNumberFormat="1" applyFont="1" applyFill="1" applyBorder="1" applyProtection="1">
      <protection hidden="1"/>
    </xf>
    <xf numFmtId="164" fontId="4" fillId="5" borderId="0" xfId="0" applyNumberFormat="1" applyFont="1" applyFill="1" applyBorder="1" applyProtection="1">
      <protection hidden="1"/>
    </xf>
    <xf numFmtId="164" fontId="4" fillId="5" borderId="0" xfId="1" applyNumberFormat="1" applyFont="1" applyFill="1" applyBorder="1" applyProtection="1">
      <protection hidden="1"/>
    </xf>
    <xf numFmtId="4" fontId="17" fillId="5" borderId="0" xfId="1" applyNumberFormat="1" applyFont="1" applyFill="1" applyAlignment="1" applyProtection="1">
      <alignment vertical="center"/>
      <protection hidden="1"/>
    </xf>
    <xf numFmtId="0" fontId="3" fillId="5" borderId="6" xfId="0" applyFont="1" applyFill="1" applyBorder="1" applyProtection="1">
      <protection hidden="1"/>
    </xf>
    <xf numFmtId="164" fontId="3" fillId="5" borderId="7" xfId="0" applyNumberFormat="1" applyFont="1" applyFill="1" applyBorder="1" applyAlignment="1" applyProtection="1">
      <alignment horizontal="centerContinuous"/>
      <protection hidden="1"/>
    </xf>
    <xf numFmtId="4" fontId="17" fillId="5" borderId="2" xfId="1" applyNumberFormat="1" applyFont="1" applyFill="1" applyBorder="1" applyProtection="1">
      <protection hidden="1"/>
    </xf>
    <xf numFmtId="10" fontId="4" fillId="5" borderId="0" xfId="3" applyNumberFormat="1" applyFont="1" applyFill="1" applyBorder="1" applyProtection="1">
      <protection hidden="1"/>
    </xf>
    <xf numFmtId="164" fontId="4" fillId="5" borderId="0" xfId="3" applyNumberFormat="1" applyFont="1" applyFill="1" applyProtection="1">
      <protection hidden="1"/>
    </xf>
    <xf numFmtId="164" fontId="4" fillId="5" borderId="0" xfId="1" applyNumberFormat="1" applyFont="1" applyFill="1" applyAlignment="1" applyProtection="1">
      <alignment vertical="center"/>
      <protection hidden="1"/>
    </xf>
    <xf numFmtId="10" fontId="4" fillId="5" borderId="0" xfId="0" applyNumberFormat="1" applyFont="1" applyFill="1" applyAlignment="1" applyProtection="1">
      <alignment vertical="center"/>
      <protection hidden="1"/>
    </xf>
    <xf numFmtId="10" fontId="4" fillId="5" borderId="0" xfId="0" applyNumberFormat="1" applyFont="1" applyFill="1" applyProtection="1">
      <protection hidden="1"/>
    </xf>
    <xf numFmtId="164" fontId="4" fillId="5" borderId="5" xfId="1" applyNumberFormat="1" applyFont="1" applyFill="1" applyBorder="1" applyAlignment="1" applyProtection="1">
      <alignment vertic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164" fontId="3" fillId="5" borderId="3" xfId="0" applyNumberFormat="1" applyFont="1" applyFill="1" applyBorder="1" applyAlignment="1" applyProtection="1">
      <alignment horizontal="center"/>
      <protection hidden="1"/>
    </xf>
    <xf numFmtId="165" fontId="3" fillId="5" borderId="2" xfId="1" applyNumberFormat="1" applyFont="1" applyFill="1" applyBorder="1" applyAlignment="1" applyProtection="1">
      <alignment horizontal="center"/>
      <protection hidden="1"/>
    </xf>
    <xf numFmtId="164" fontId="3" fillId="5" borderId="2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165" fontId="4" fillId="0" borderId="0" xfId="0" applyNumberFormat="1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167" fontId="4" fillId="0" borderId="0" xfId="0" applyNumberFormat="1" applyFont="1" applyProtection="1">
      <protection hidden="1"/>
    </xf>
    <xf numFmtId="43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173" fontId="4" fillId="0" borderId="0" xfId="0" applyNumberFormat="1" applyFont="1" applyFill="1" applyAlignment="1" applyProtection="1">
      <alignment horizontal="center"/>
      <protection hidden="1"/>
    </xf>
    <xf numFmtId="166" fontId="4" fillId="0" borderId="0" xfId="3" applyNumberFormat="1" applyFont="1" applyProtection="1">
      <protection hidden="1"/>
    </xf>
    <xf numFmtId="165" fontId="4" fillId="0" borderId="0" xfId="1" applyNumberFormat="1" applyFont="1" applyProtection="1">
      <protection hidden="1"/>
    </xf>
    <xf numFmtId="0" fontId="3" fillId="0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9" fontId="15" fillId="0" borderId="0" xfId="3" applyFont="1" applyFill="1" applyProtection="1">
      <protection hidden="1"/>
    </xf>
    <xf numFmtId="167" fontId="4" fillId="0" borderId="0" xfId="1" applyNumberFormat="1" applyFont="1" applyFill="1" applyProtection="1">
      <protection hidden="1"/>
    </xf>
    <xf numFmtId="165" fontId="14" fillId="0" borderId="0" xfId="1" applyNumberFormat="1" applyFont="1" applyFill="1" applyProtection="1">
      <protection hidden="1"/>
    </xf>
    <xf numFmtId="166" fontId="4" fillId="0" borderId="0" xfId="3" applyNumberFormat="1" applyFont="1" applyFill="1" applyProtection="1"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228600</xdr:colOff>
      <xdr:row>125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BF67B42-B3E6-48DF-AA89-9805E480BE9B}"/>
            </a:ext>
          </a:extLst>
        </xdr:cNvPr>
        <xdr:cNvSpPr/>
      </xdr:nvSpPr>
      <xdr:spPr>
        <a:xfrm>
          <a:off x="0" y="0"/>
          <a:ext cx="12344400" cy="20459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165100</xdr:rowOff>
    </xdr:from>
    <xdr:to>
      <xdr:col>17</xdr:col>
      <xdr:colOff>596900</xdr:colOff>
      <xdr:row>58</xdr:row>
      <xdr:rowOff>101600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71F185-4652-4266-8D72-A743EBF7085F}"/>
            </a:ext>
          </a:extLst>
        </xdr:cNvPr>
        <xdr:cNvSpPr/>
      </xdr:nvSpPr>
      <xdr:spPr>
        <a:xfrm>
          <a:off x="0" y="5892800"/>
          <a:ext cx="10947400" cy="2324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899160</xdr:colOff>
      <xdr:row>13</xdr:row>
      <xdr:rowOff>52252</xdr:rowOff>
    </xdr:from>
    <xdr:to>
      <xdr:col>20</xdr:col>
      <xdr:colOff>15240</xdr:colOff>
      <xdr:row>90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CACE74-ED55-49E3-A708-BBD387059408}"/>
            </a:ext>
          </a:extLst>
        </xdr:cNvPr>
        <xdr:cNvSpPr/>
      </xdr:nvSpPr>
      <xdr:spPr>
        <a:xfrm>
          <a:off x="12503331" y="1750423"/>
          <a:ext cx="1935480" cy="101585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EF\Filings\2020\Storm%20Protection%20Plan\SPP%20Rates%20Files\Rates0122_SPP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Rates"/>
      <sheetName val="Side by Side"/>
      <sheetName val="BA-1 Rates Current_Prior"/>
      <sheetName val="BA-1 Rates Proposed_Approved"/>
      <sheetName val="BA-1 Rates Difference"/>
      <sheetName val="EDR Publix"/>
    </sheetNames>
    <sheetDataSet>
      <sheetData sheetId="0">
        <row r="33">
          <cell r="N33">
            <v>10.63</v>
          </cell>
          <cell r="P33">
            <v>10.63</v>
          </cell>
        </row>
        <row r="44">
          <cell r="I44">
            <v>6.1670000000000007</v>
          </cell>
          <cell r="L44">
            <v>6.1670000000000007</v>
          </cell>
          <cell r="N44">
            <v>6.167000000000001E-2</v>
          </cell>
          <cell r="P44">
            <v>6.1670000000000003E-2</v>
          </cell>
        </row>
        <row r="45">
          <cell r="I45">
            <v>7.855999999999999</v>
          </cell>
          <cell r="L45">
            <v>7.855999999999999</v>
          </cell>
          <cell r="N45">
            <v>7.8559999999999991E-2</v>
          </cell>
          <cell r="P45">
            <v>7.8560000000000005E-2</v>
          </cell>
        </row>
        <row r="46">
          <cell r="I46">
            <v>19.045000000000002</v>
          </cell>
          <cell r="L46">
            <v>19.045000000000002</v>
          </cell>
        </row>
        <row r="47">
          <cell r="I47">
            <v>1.0579999999999996</v>
          </cell>
          <cell r="L47">
            <v>1.0579999999999996</v>
          </cell>
        </row>
        <row r="53">
          <cell r="N53">
            <v>14.070000000000002</v>
          </cell>
          <cell r="P53">
            <v>14.07</v>
          </cell>
        </row>
        <row r="57">
          <cell r="N57">
            <v>23.089999999999996</v>
          </cell>
          <cell r="P57">
            <v>23.09</v>
          </cell>
        </row>
        <row r="66">
          <cell r="I66">
            <v>6.698999999999999</v>
          </cell>
          <cell r="L66">
            <v>6.698999999999999</v>
          </cell>
          <cell r="N66">
            <v>6.6989999999999994E-2</v>
          </cell>
          <cell r="P66">
            <v>6.6989999999999994E-2</v>
          </cell>
        </row>
        <row r="67">
          <cell r="I67">
            <v>19.015000000000001</v>
          </cell>
          <cell r="L67">
            <v>19.015000000000001</v>
          </cell>
          <cell r="N67">
            <v>0.19015000000000001</v>
          </cell>
          <cell r="P67">
            <v>0.19015000000000001</v>
          </cell>
        </row>
        <row r="68">
          <cell r="I68">
            <v>1.0310000000000001</v>
          </cell>
          <cell r="L68">
            <v>1.0310000000000001</v>
          </cell>
          <cell r="N68">
            <v>1.0310000000000001E-2</v>
          </cell>
          <cell r="P68">
            <v>1.031E-2</v>
          </cell>
        </row>
        <row r="84">
          <cell r="I84">
            <v>2.5409999999999999</v>
          </cell>
          <cell r="L84">
            <v>2.5409999999999999</v>
          </cell>
        </row>
        <row r="90">
          <cell r="N90">
            <v>14.070000000000002</v>
          </cell>
          <cell r="P90">
            <v>14.07</v>
          </cell>
        </row>
        <row r="94">
          <cell r="N94">
            <v>23.089999999999996</v>
          </cell>
          <cell r="P94">
            <v>23.09</v>
          </cell>
        </row>
        <row r="102">
          <cell r="L102">
            <v>6.2700000000000014</v>
          </cell>
          <cell r="N102">
            <v>6.2700000000000014</v>
          </cell>
          <cell r="P102">
            <v>6.27</v>
          </cell>
        </row>
        <row r="105">
          <cell r="L105">
            <v>1.56</v>
          </cell>
          <cell r="N105">
            <v>1.56</v>
          </cell>
          <cell r="P105">
            <v>1.56</v>
          </cell>
        </row>
        <row r="106">
          <cell r="L106">
            <v>4.67</v>
          </cell>
          <cell r="N106">
            <v>4.67</v>
          </cell>
          <cell r="P106">
            <v>4.67</v>
          </cell>
        </row>
        <row r="115">
          <cell r="I115">
            <v>2.7969999999999997</v>
          </cell>
          <cell r="L115">
            <v>2.7969999999999997</v>
          </cell>
          <cell r="N115">
            <v>2.7969999999999998E-2</v>
          </cell>
          <cell r="P115">
            <v>2.7969999999999998E-2</v>
          </cell>
        </row>
        <row r="116">
          <cell r="I116">
            <v>6.0889999999999995</v>
          </cell>
          <cell r="L116">
            <v>6.0889999999999995</v>
          </cell>
          <cell r="N116">
            <v>6.0889999999999993E-2</v>
          </cell>
          <cell r="P116">
            <v>6.089E-2</v>
          </cell>
        </row>
        <row r="117">
          <cell r="I117">
            <v>1.0210000000000001</v>
          </cell>
          <cell r="L117">
            <v>1.0210000000000001</v>
          </cell>
          <cell r="N117">
            <v>1.0210000000000002E-2</v>
          </cell>
          <cell r="P117">
            <v>1.021E-2</v>
          </cell>
        </row>
        <row r="165">
          <cell r="N165">
            <v>81.429999999999978</v>
          </cell>
          <cell r="P165">
            <v>81.430000000000007</v>
          </cell>
        </row>
        <row r="170">
          <cell r="L170">
            <v>10.06</v>
          </cell>
          <cell r="N170">
            <v>10.06</v>
          </cell>
          <cell r="P170">
            <v>10.06</v>
          </cell>
        </row>
        <row r="173">
          <cell r="L173">
            <v>1.5000000000000002</v>
          </cell>
          <cell r="N173">
            <v>1.5000000000000002</v>
          </cell>
          <cell r="P173">
            <v>1.5</v>
          </cell>
        </row>
        <row r="174">
          <cell r="L174">
            <v>8.5</v>
          </cell>
          <cell r="N174">
            <v>8.5</v>
          </cell>
          <cell r="P174">
            <v>8.5</v>
          </cell>
        </row>
        <row r="177">
          <cell r="N177">
            <v>5.03</v>
          </cell>
          <cell r="P177">
            <v>5.03</v>
          </cell>
        </row>
        <row r="178">
          <cell r="N178">
            <v>8.77</v>
          </cell>
          <cell r="P178">
            <v>8.77</v>
          </cell>
        </row>
        <row r="188">
          <cell r="I188">
            <v>1.839</v>
          </cell>
          <cell r="L188">
            <v>1.839</v>
          </cell>
          <cell r="N188">
            <v>1.839E-2</v>
          </cell>
          <cell r="P188">
            <v>1.839E-2</v>
          </cell>
        </row>
        <row r="189">
          <cell r="I189">
            <v>3.3730000000000002</v>
          </cell>
          <cell r="L189">
            <v>3.3730000000000002</v>
          </cell>
          <cell r="N189">
            <v>3.3730000000000003E-2</v>
          </cell>
          <cell r="P189">
            <v>3.3730000000000003E-2</v>
          </cell>
        </row>
        <row r="190">
          <cell r="I190">
            <v>1.014</v>
          </cell>
          <cell r="L190">
            <v>1.014</v>
          </cell>
          <cell r="N190">
            <v>1.014E-2</v>
          </cell>
          <cell r="P190">
            <v>1.014E-2</v>
          </cell>
        </row>
        <row r="202">
          <cell r="N202">
            <v>298.99</v>
          </cell>
          <cell r="P202">
            <v>298.99</v>
          </cell>
        </row>
        <row r="207">
          <cell r="L207">
            <v>8.5300000000000011</v>
          </cell>
          <cell r="N207">
            <v>8.5300000000000011</v>
          </cell>
          <cell r="P207">
            <v>8.5299999999999994</v>
          </cell>
        </row>
        <row r="210">
          <cell r="L210">
            <v>1.35</v>
          </cell>
          <cell r="N210">
            <v>1.35</v>
          </cell>
          <cell r="P210">
            <v>1.35</v>
          </cell>
        </row>
        <row r="211">
          <cell r="L211">
            <v>7.4399999999999995</v>
          </cell>
          <cell r="N211">
            <v>7.4399999999999995</v>
          </cell>
          <cell r="P211">
            <v>7.44</v>
          </cell>
        </row>
        <row r="214">
          <cell r="N214">
            <v>6.71</v>
          </cell>
          <cell r="P214">
            <v>6.71</v>
          </cell>
        </row>
        <row r="215">
          <cell r="N215">
            <v>11.7</v>
          </cell>
          <cell r="P215">
            <v>11.7</v>
          </cell>
        </row>
        <row r="224">
          <cell r="I224">
            <v>1.2319999999999995</v>
          </cell>
          <cell r="L224">
            <v>1.2319999999999995</v>
          </cell>
          <cell r="N224">
            <v>1.2319999999999996E-2</v>
          </cell>
          <cell r="P224">
            <v>1.2319999999999999E-2</v>
          </cell>
        </row>
        <row r="225">
          <cell r="I225">
            <v>1.7249999999999999</v>
          </cell>
          <cell r="L225">
            <v>1.7249999999999999</v>
          </cell>
          <cell r="N225">
            <v>1.7249999999999998E-2</v>
          </cell>
          <cell r="P225">
            <v>1.7250000000000001E-2</v>
          </cell>
        </row>
        <row r="226">
          <cell r="I226">
            <v>1.006</v>
          </cell>
          <cell r="L226">
            <v>1.006</v>
          </cell>
          <cell r="N226">
            <v>1.0059999999999999E-2</v>
          </cell>
          <cell r="P226">
            <v>1.0059999999999999E-2</v>
          </cell>
        </row>
        <row r="239">
          <cell r="N239">
            <v>1.4400000000000002</v>
          </cell>
          <cell r="P239">
            <v>1.44</v>
          </cell>
        </row>
        <row r="243">
          <cell r="I243">
            <v>2.6419999999999995</v>
          </cell>
          <cell r="L243">
            <v>2.6419999999999995</v>
          </cell>
          <cell r="N243">
            <v>2.6419999999999996E-2</v>
          </cell>
          <cell r="P243">
            <v>2.6419999999999999E-2</v>
          </cell>
        </row>
        <row r="339">
          <cell r="N339">
            <v>2.5641000000000001E-2</v>
          </cell>
          <cell r="P339">
            <v>2.5641000000000001E-2</v>
          </cell>
        </row>
        <row r="342">
          <cell r="N342">
            <v>0</v>
          </cell>
          <cell r="P342">
            <v>0</v>
          </cell>
        </row>
      </sheetData>
      <sheetData sheetId="1"/>
      <sheetData sheetId="2">
        <row r="6">
          <cell r="C6">
            <v>4.3079999999999998</v>
          </cell>
          <cell r="D6">
            <v>2.9209999999999998</v>
          </cell>
          <cell r="E6">
            <v>0.33900000000000002</v>
          </cell>
          <cell r="G6">
            <v>1.2</v>
          </cell>
          <cell r="I6">
            <v>7.9000000000000001E-2</v>
          </cell>
          <cell r="J6">
            <v>0.23499999999999999</v>
          </cell>
          <cell r="K6">
            <v>0</v>
          </cell>
          <cell r="L6">
            <v>2.7E-2</v>
          </cell>
          <cell r="R6">
            <v>3.3899999999999998E-3</v>
          </cell>
          <cell r="T6">
            <v>1.2E-2</v>
          </cell>
          <cell r="V6">
            <v>7.9000000000000001E-4</v>
          </cell>
          <cell r="W6">
            <v>2.3500000000000001E-3</v>
          </cell>
          <cell r="X6">
            <v>0</v>
          </cell>
          <cell r="Y6">
            <v>2.7E-4</v>
          </cell>
        </row>
        <row r="7">
          <cell r="B7">
            <v>3.0670000000000002</v>
          </cell>
          <cell r="O7">
            <v>3.0669999999999999E-2</v>
          </cell>
        </row>
        <row r="8">
          <cell r="B8">
            <v>4.0670000000000002</v>
          </cell>
          <cell r="O8">
            <v>4.0669999999999998E-2</v>
          </cell>
        </row>
        <row r="11">
          <cell r="B11">
            <v>3.35</v>
          </cell>
          <cell r="C11">
            <v>4.3079999999999998</v>
          </cell>
          <cell r="D11">
            <v>2.9209999999999998</v>
          </cell>
          <cell r="E11">
            <v>0.32700000000000001</v>
          </cell>
          <cell r="G11">
            <v>1.147</v>
          </cell>
          <cell r="I11">
            <v>7.9000000000000001E-2</v>
          </cell>
          <cell r="J11">
            <v>0.222</v>
          </cell>
          <cell r="K11">
            <v>0</v>
          </cell>
          <cell r="L11">
            <v>2.3E-2</v>
          </cell>
          <cell r="O11">
            <v>3.3500000000000002E-2</v>
          </cell>
          <cell r="P11">
            <v>4.308E-2</v>
          </cell>
          <cell r="Q11">
            <v>2.921E-2</v>
          </cell>
          <cell r="R11">
            <v>3.2699999999999999E-3</v>
          </cell>
          <cell r="T11">
            <v>1.1469999999999999E-2</v>
          </cell>
          <cell r="V11">
            <v>7.9000000000000001E-4</v>
          </cell>
          <cell r="W11">
            <v>2.2200000000000002E-3</v>
          </cell>
          <cell r="X11">
            <v>0</v>
          </cell>
          <cell r="Y11">
            <v>2.3000000000000001E-4</v>
          </cell>
        </row>
        <row r="15">
          <cell r="B15">
            <v>3.35</v>
          </cell>
          <cell r="E15">
            <v>0.22600000000000001</v>
          </cell>
          <cell r="G15">
            <v>0.69</v>
          </cell>
          <cell r="I15">
            <v>7.4999999999999997E-2</v>
          </cell>
          <cell r="J15">
            <v>0.13500000000000001</v>
          </cell>
          <cell r="K15">
            <v>0</v>
          </cell>
          <cell r="L15">
            <v>1.0999999999999999E-2</v>
          </cell>
        </row>
        <row r="18">
          <cell r="B18">
            <v>3.35</v>
          </cell>
          <cell r="C18">
            <v>4.3079999999999998</v>
          </cell>
          <cell r="D18">
            <v>2.9209999999999998</v>
          </cell>
          <cell r="I18">
            <v>7.5999999999999998E-2</v>
          </cell>
          <cell r="J18">
            <v>0.17499999999999999</v>
          </cell>
          <cell r="K18">
            <v>0</v>
          </cell>
          <cell r="L18">
            <v>1.7000000000000001E-2</v>
          </cell>
          <cell r="O18">
            <v>3.3500000000000002E-2</v>
          </cell>
          <cell r="P18">
            <v>4.308E-2</v>
          </cell>
          <cell r="Q18">
            <v>2.921E-2</v>
          </cell>
          <cell r="S18">
            <v>1.0900000000000001</v>
          </cell>
          <cell r="U18">
            <v>3.6</v>
          </cell>
          <cell r="V18">
            <v>7.6000000000000004E-4</v>
          </cell>
          <cell r="W18">
            <v>1.75E-3</v>
          </cell>
          <cell r="X18">
            <v>0</v>
          </cell>
          <cell r="Y18">
            <v>1.7000000000000001E-4</v>
          </cell>
        </row>
        <row r="23">
          <cell r="B23">
            <v>3.35</v>
          </cell>
          <cell r="C23">
            <v>4.3079999999999998</v>
          </cell>
          <cell r="D23">
            <v>2.9209999999999998</v>
          </cell>
          <cell r="I23">
            <v>7.1999999999999995E-2</v>
          </cell>
          <cell r="J23">
            <v>0.12</v>
          </cell>
          <cell r="K23">
            <v>0</v>
          </cell>
          <cell r="L23">
            <v>2.3E-2</v>
          </cell>
          <cell r="O23">
            <v>3.3500000000000002E-2</v>
          </cell>
          <cell r="P23">
            <v>4.308E-2</v>
          </cell>
          <cell r="Q23">
            <v>2.921E-2</v>
          </cell>
          <cell r="S23">
            <v>0.46</v>
          </cell>
          <cell r="U23">
            <v>1.38</v>
          </cell>
          <cell r="V23">
            <v>7.2000000000000005E-4</v>
          </cell>
          <cell r="W23">
            <v>1.1999999999999999E-3</v>
          </cell>
          <cell r="X23">
            <v>0</v>
          </cell>
          <cell r="Y23">
            <v>2.3000000000000001E-4</v>
          </cell>
        </row>
        <row r="28">
          <cell r="B28">
            <v>3.35</v>
          </cell>
          <cell r="C28">
            <v>4.3079999999999998</v>
          </cell>
          <cell r="I28">
            <v>7.2999999999999995E-2</v>
          </cell>
          <cell r="J28">
            <v>0.14399999999999999</v>
          </cell>
          <cell r="K28">
            <v>0</v>
          </cell>
          <cell r="L28">
            <v>1.2E-2</v>
          </cell>
          <cell r="O28">
            <v>3.3500000000000002E-2</v>
          </cell>
          <cell r="P28">
            <v>4.308E-2</v>
          </cell>
          <cell r="Q28">
            <v>2.921E-2</v>
          </cell>
          <cell r="S28">
            <v>0.95</v>
          </cell>
          <cell r="U28">
            <v>3</v>
          </cell>
          <cell r="V28">
            <v>7.2999999999999996E-4</v>
          </cell>
          <cell r="W28">
            <v>1.4400000000000001E-3</v>
          </cell>
          <cell r="X28">
            <v>0</v>
          </cell>
          <cell r="Y28">
            <v>1.2E-4</v>
          </cell>
        </row>
        <row r="32">
          <cell r="B32">
            <v>3.181</v>
          </cell>
          <cell r="E32">
            <v>0.10299999999999999</v>
          </cell>
          <cell r="G32">
            <v>0.14699999999999999</v>
          </cell>
          <cell r="I32">
            <v>7.0000000000000007E-2</v>
          </cell>
          <cell r="J32">
            <v>2.7E-2</v>
          </cell>
          <cell r="K32">
            <v>0</v>
          </cell>
          <cell r="L32">
            <v>1.6E-2</v>
          </cell>
          <cell r="O32">
            <v>3.1809999999999998E-2</v>
          </cell>
          <cell r="R32">
            <v>1.0300000000000001E-3</v>
          </cell>
          <cell r="T32">
            <v>1.47E-3</v>
          </cell>
          <cell r="V32">
            <v>6.9999999999999999E-4</v>
          </cell>
          <cell r="W32">
            <v>2.7E-4</v>
          </cell>
          <cell r="X32">
            <v>0</v>
          </cell>
          <cell r="Y32">
            <v>1.6000000000000001E-4</v>
          </cell>
        </row>
      </sheetData>
      <sheetData sheetId="3">
        <row r="6">
          <cell r="C6">
            <v>4.3079999999999998</v>
          </cell>
          <cell r="D6">
            <v>2.9209999999999998</v>
          </cell>
          <cell r="E6">
            <v>0.33900000000000002</v>
          </cell>
          <cell r="G6">
            <v>1.2</v>
          </cell>
          <cell r="I6">
            <v>7.9000000000000001E-2</v>
          </cell>
          <cell r="J6">
            <v>0.23499999999999999</v>
          </cell>
          <cell r="K6">
            <v>0</v>
          </cell>
          <cell r="L6">
            <v>0.32800000000000001</v>
          </cell>
          <cell r="R6">
            <v>3.3899999999999998E-3</v>
          </cell>
          <cell r="T6">
            <v>1.2E-2</v>
          </cell>
          <cell r="V6">
            <v>7.9000000000000001E-4</v>
          </cell>
          <cell r="W6">
            <v>2.3500000000000001E-3</v>
          </cell>
          <cell r="X6">
            <v>0</v>
          </cell>
          <cell r="Y6">
            <v>3.2799999999999999E-3</v>
          </cell>
        </row>
        <row r="7">
          <cell r="B7">
            <v>3.0670000000000002</v>
          </cell>
          <cell r="O7">
            <v>3.0669999999999999E-2</v>
          </cell>
        </row>
        <row r="8">
          <cell r="B8">
            <v>4.0670000000000002</v>
          </cell>
          <cell r="O8">
            <v>4.0669999999999998E-2</v>
          </cell>
        </row>
        <row r="11">
          <cell r="B11">
            <v>3.35</v>
          </cell>
          <cell r="C11">
            <v>4.3079999999999998</v>
          </cell>
          <cell r="D11">
            <v>2.9209999999999998</v>
          </cell>
          <cell r="E11">
            <v>0.32700000000000001</v>
          </cell>
          <cell r="G11">
            <v>1.147</v>
          </cell>
          <cell r="I11">
            <v>7.9000000000000001E-2</v>
          </cell>
          <cell r="J11">
            <v>0.222</v>
          </cell>
          <cell r="K11">
            <v>0</v>
          </cell>
          <cell r="L11">
            <v>0.27600000000000002</v>
          </cell>
          <cell r="O11">
            <v>3.3500000000000002E-2</v>
          </cell>
          <cell r="P11">
            <v>4.308E-2</v>
          </cell>
          <cell r="Q11">
            <v>2.921E-2</v>
          </cell>
          <cell r="R11">
            <v>3.2699999999999999E-3</v>
          </cell>
          <cell r="T11">
            <v>1.1469999999999999E-2</v>
          </cell>
          <cell r="V11">
            <v>7.9000000000000001E-4</v>
          </cell>
          <cell r="W11">
            <v>2.2200000000000002E-3</v>
          </cell>
          <cell r="X11">
            <v>0</v>
          </cell>
          <cell r="Y11">
            <v>2.7599999999999999E-3</v>
          </cell>
        </row>
        <row r="15">
          <cell r="B15">
            <v>3.35</v>
          </cell>
          <cell r="E15">
            <v>0.22600000000000001</v>
          </cell>
          <cell r="G15">
            <v>0.69</v>
          </cell>
          <cell r="I15">
            <v>7.4999999999999997E-2</v>
          </cell>
          <cell r="J15">
            <v>0.13500000000000001</v>
          </cell>
          <cell r="K15">
            <v>0</v>
          </cell>
          <cell r="L15">
            <v>0.13100000000000001</v>
          </cell>
        </row>
        <row r="18">
          <cell r="B18">
            <v>3.35</v>
          </cell>
          <cell r="C18">
            <v>4.3079999999999998</v>
          </cell>
          <cell r="D18">
            <v>2.9209999999999998</v>
          </cell>
          <cell r="F18">
            <v>1.0900000000000001</v>
          </cell>
          <cell r="H18">
            <v>3.6</v>
          </cell>
          <cell r="I18">
            <v>7.5999999999999998E-2</v>
          </cell>
          <cell r="J18">
            <v>0.17499999999999999</v>
          </cell>
          <cell r="K18">
            <v>0</v>
          </cell>
          <cell r="L18">
            <v>0.20100000000000001</v>
          </cell>
          <cell r="O18">
            <v>3.3500000000000002E-2</v>
          </cell>
          <cell r="P18">
            <v>4.308E-2</v>
          </cell>
          <cell r="Q18">
            <v>2.921E-2</v>
          </cell>
          <cell r="S18">
            <v>1.0900000000000001</v>
          </cell>
          <cell r="U18">
            <v>3.6</v>
          </cell>
          <cell r="V18">
            <v>7.6000000000000004E-4</v>
          </cell>
          <cell r="W18">
            <v>1.75E-3</v>
          </cell>
          <cell r="X18">
            <v>0</v>
          </cell>
          <cell r="Y18">
            <v>2.0100000000000001E-3</v>
          </cell>
        </row>
        <row r="23">
          <cell r="B23">
            <v>3.35</v>
          </cell>
          <cell r="C23">
            <v>4.3079999999999998</v>
          </cell>
          <cell r="D23">
            <v>2.9209999999999998</v>
          </cell>
          <cell r="F23">
            <v>0.46</v>
          </cell>
          <cell r="H23">
            <v>1.38</v>
          </cell>
          <cell r="I23">
            <v>7.1999999999999995E-2</v>
          </cell>
          <cell r="J23">
            <v>0.12</v>
          </cell>
          <cell r="K23">
            <v>0</v>
          </cell>
          <cell r="L23">
            <v>0.30499999999999999</v>
          </cell>
          <cell r="O23">
            <v>3.3500000000000002E-2</v>
          </cell>
          <cell r="P23">
            <v>4.308E-2</v>
          </cell>
          <cell r="Q23">
            <v>2.921E-2</v>
          </cell>
          <cell r="S23">
            <v>0.46</v>
          </cell>
          <cell r="U23">
            <v>1.38</v>
          </cell>
          <cell r="V23">
            <v>7.2000000000000005E-4</v>
          </cell>
          <cell r="W23">
            <v>1.1999999999999999E-3</v>
          </cell>
          <cell r="X23">
            <v>0</v>
          </cell>
          <cell r="Y23">
            <v>3.0500000000000002E-3</v>
          </cell>
        </row>
        <row r="28">
          <cell r="B28">
            <v>3.35</v>
          </cell>
          <cell r="C28">
            <v>4.3079999999999998</v>
          </cell>
          <cell r="F28">
            <v>0.95</v>
          </cell>
          <cell r="H28">
            <v>3</v>
          </cell>
          <cell r="I28">
            <v>7.2999999999999995E-2</v>
          </cell>
          <cell r="J28">
            <v>0.14399999999999999</v>
          </cell>
          <cell r="K28">
            <v>0</v>
          </cell>
          <cell r="L28">
            <v>0.13300000000000001</v>
          </cell>
          <cell r="O28">
            <v>3.3500000000000002E-2</v>
          </cell>
          <cell r="P28">
            <v>4.308E-2</v>
          </cell>
          <cell r="Q28">
            <v>2.921E-2</v>
          </cell>
          <cell r="S28">
            <v>0.95</v>
          </cell>
          <cell r="U28">
            <v>3</v>
          </cell>
          <cell r="V28">
            <v>7.2999999999999996E-4</v>
          </cell>
          <cell r="W28">
            <v>1.4400000000000001E-3</v>
          </cell>
          <cell r="X28">
            <v>0</v>
          </cell>
          <cell r="Y28">
            <v>1.33E-3</v>
          </cell>
        </row>
        <row r="32">
          <cell r="B32">
            <v>3.181</v>
          </cell>
          <cell r="E32">
            <v>0.10299999999999999</v>
          </cell>
          <cell r="G32">
            <v>0.14699999999999999</v>
          </cell>
          <cell r="I32">
            <v>7.0000000000000007E-2</v>
          </cell>
          <cell r="J32">
            <v>2.7E-2</v>
          </cell>
          <cell r="K32">
            <v>0</v>
          </cell>
          <cell r="L32">
            <v>0.216</v>
          </cell>
          <cell r="O32">
            <v>3.1809999999999998E-2</v>
          </cell>
          <cell r="R32">
            <v>1.0300000000000001E-3</v>
          </cell>
          <cell r="T32">
            <v>1.47E-3</v>
          </cell>
          <cell r="V32">
            <v>6.9999999999999999E-4</v>
          </cell>
          <cell r="W32">
            <v>2.7E-4</v>
          </cell>
          <cell r="X32">
            <v>0</v>
          </cell>
          <cell r="Y32">
            <v>2.16E-3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4"/>
  <sheetViews>
    <sheetView view="pageBreakPreview" topLeftCell="A91" zoomScale="85" zoomScaleNormal="130" zoomScaleSheetLayoutView="85" workbookViewId="0">
      <selection activeCell="AA124" sqref="A1:AA124"/>
    </sheetView>
  </sheetViews>
  <sheetFormatPr defaultColWidth="9.109375" defaultRowHeight="10.199999999999999" x14ac:dyDescent="0.2"/>
  <cols>
    <col min="1" max="1" width="13.44140625" style="174" customWidth="1"/>
    <col min="2" max="2" width="1.5546875" style="174" customWidth="1"/>
    <col min="3" max="3" width="9.109375" style="174"/>
    <col min="4" max="4" width="1.5546875" style="174" customWidth="1"/>
    <col min="5" max="5" width="9.109375" style="174"/>
    <col min="6" max="6" width="1.5546875" style="174" customWidth="1"/>
    <col min="7" max="7" width="9.109375" style="174"/>
    <col min="8" max="8" width="1.5546875" style="174" customWidth="1"/>
    <col min="9" max="9" width="10.5546875" style="174" customWidth="1"/>
    <col min="10" max="10" width="1.5546875" style="174" customWidth="1"/>
    <col min="11" max="11" width="9.88671875" style="174" customWidth="1"/>
    <col min="12" max="12" width="1.5546875" style="174" customWidth="1"/>
    <col min="13" max="13" width="10.5546875" style="174" customWidth="1"/>
    <col min="14" max="14" width="1.5546875" style="174" customWidth="1"/>
    <col min="15" max="15" width="9.88671875" style="174" customWidth="1"/>
    <col min="16" max="16" width="1.5546875" style="174" customWidth="1"/>
    <col min="17" max="17" width="10.5546875" style="174" customWidth="1"/>
    <col min="18" max="18" width="1.5546875" style="174" customWidth="1"/>
    <col min="19" max="19" width="9.88671875" style="174" customWidth="1"/>
    <col min="20" max="20" width="10.44140625" style="174" hidden="1" customWidth="1"/>
    <col min="21" max="21" width="6" style="174" hidden="1" customWidth="1"/>
    <col min="22" max="24" width="0" style="174" hidden="1" customWidth="1"/>
    <col min="25" max="26" width="9.109375" style="174"/>
    <col min="27" max="27" width="45" style="174" customWidth="1"/>
    <col min="28" max="16384" width="9.109375" style="174"/>
  </cols>
  <sheetData>
    <row r="1" spans="1:27" x14ac:dyDescent="0.2">
      <c r="A1" s="95" t="s">
        <v>119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44"/>
      <c r="U1" s="44"/>
      <c r="V1" s="44"/>
      <c r="W1" s="44"/>
      <c r="X1" s="44"/>
      <c r="Y1" s="44"/>
      <c r="Z1" s="44"/>
      <c r="AA1" s="44"/>
    </row>
    <row r="2" spans="1:27" x14ac:dyDescent="0.2">
      <c r="A2" s="95" t="s">
        <v>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44"/>
      <c r="U2" s="44"/>
      <c r="V2" s="44"/>
      <c r="W2" s="44"/>
      <c r="X2" s="44"/>
      <c r="Y2" s="44"/>
      <c r="Z2" s="44"/>
      <c r="AA2" s="44"/>
    </row>
    <row r="3" spans="1:27" x14ac:dyDescent="0.2">
      <c r="A3" s="168" t="str">
        <f>+' % change by rate'!A3</f>
        <v>Jan_22 vs Jan_22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44"/>
      <c r="U3" s="44"/>
      <c r="V3" s="44"/>
      <c r="W3" s="44"/>
      <c r="X3" s="44"/>
      <c r="Y3" s="44"/>
      <c r="Z3" s="44"/>
      <c r="AA3" s="44"/>
    </row>
    <row r="4" spans="1:27" x14ac:dyDescent="0.2">
      <c r="A4" s="95" t="s">
        <v>73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44"/>
      <c r="U4" s="44"/>
      <c r="V4" s="44"/>
      <c r="W4" s="44"/>
      <c r="X4" s="44"/>
      <c r="Y4" s="44"/>
      <c r="Z4" s="44"/>
      <c r="AA4" s="44"/>
    </row>
    <row r="5" spans="1:27" x14ac:dyDescent="0.2">
      <c r="A5" s="95" t="s">
        <v>74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44"/>
      <c r="U5" s="44"/>
      <c r="V5" s="44"/>
      <c r="W5" s="44"/>
      <c r="X5" s="44"/>
      <c r="Y5" s="44"/>
      <c r="Z5" s="44"/>
      <c r="AA5" s="44"/>
    </row>
    <row r="6" spans="1:27" ht="21" thickBot="1" x14ac:dyDescent="0.4">
      <c r="A6" s="96">
        <f>+' % change by rate'!A6</f>
        <v>0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44"/>
      <c r="U6" s="44"/>
      <c r="V6" s="44"/>
      <c r="W6" s="44"/>
      <c r="X6" s="44"/>
      <c r="Y6" s="44"/>
      <c r="Z6" s="99" t="s">
        <v>92</v>
      </c>
      <c r="AA6" s="100" t="s">
        <v>94</v>
      </c>
    </row>
    <row r="7" spans="1:27" ht="16.5" customHeight="1" x14ac:dyDescent="0.2">
      <c r="A7" s="101"/>
      <c r="B7" s="101"/>
      <c r="C7" s="102" t="s">
        <v>0</v>
      </c>
      <c r="D7" s="102"/>
      <c r="E7" s="102"/>
      <c r="F7" s="102"/>
      <c r="G7" s="102"/>
      <c r="H7" s="101"/>
      <c r="I7" s="102" t="s">
        <v>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44"/>
      <c r="U7" s="44"/>
      <c r="V7" s="44"/>
      <c r="W7" s="44"/>
      <c r="X7" s="44"/>
      <c r="Y7" s="44"/>
      <c r="Z7" s="44"/>
      <c r="AA7" s="44"/>
    </row>
    <row r="8" spans="1:27" x14ac:dyDescent="0.2">
      <c r="A8" s="103"/>
      <c r="B8" s="101"/>
      <c r="C8" s="101"/>
      <c r="D8" s="101"/>
      <c r="E8" s="104"/>
      <c r="F8" s="101"/>
      <c r="G8" s="101"/>
      <c r="H8" s="101"/>
      <c r="I8" s="105" t="s">
        <v>2</v>
      </c>
      <c r="J8" s="105"/>
      <c r="K8" s="105"/>
      <c r="L8" s="106"/>
      <c r="M8" s="105" t="s">
        <v>3</v>
      </c>
      <c r="N8" s="105"/>
      <c r="O8" s="105"/>
      <c r="P8" s="106"/>
      <c r="Q8" s="169" t="s">
        <v>4</v>
      </c>
      <c r="R8" s="169"/>
      <c r="S8" s="169"/>
      <c r="T8" s="44"/>
      <c r="U8" s="44"/>
      <c r="V8" s="44"/>
      <c r="W8" s="44"/>
      <c r="X8" s="44"/>
      <c r="Y8" s="44"/>
      <c r="Z8" s="44"/>
      <c r="AA8" s="44"/>
    </row>
    <row r="9" spans="1:27" ht="20.25" customHeight="1" thickBot="1" x14ac:dyDescent="0.25">
      <c r="A9" s="107"/>
      <c r="B9" s="107"/>
      <c r="C9" s="108" t="s">
        <v>2</v>
      </c>
      <c r="D9" s="108"/>
      <c r="E9" s="108" t="s">
        <v>3</v>
      </c>
      <c r="F9" s="108"/>
      <c r="G9" s="108" t="s">
        <v>4</v>
      </c>
      <c r="H9" s="109"/>
      <c r="I9" s="108" t="s">
        <v>5</v>
      </c>
      <c r="J9" s="108"/>
      <c r="K9" s="108" t="s">
        <v>6</v>
      </c>
      <c r="L9" s="108"/>
      <c r="M9" s="108" t="s">
        <v>5</v>
      </c>
      <c r="N9" s="108"/>
      <c r="O9" s="108" t="s">
        <v>6</v>
      </c>
      <c r="P9" s="108"/>
      <c r="Q9" s="108" t="s">
        <v>5</v>
      </c>
      <c r="R9" s="108"/>
      <c r="S9" s="108" t="s">
        <v>6</v>
      </c>
      <c r="T9" s="44"/>
      <c r="U9" s="44"/>
      <c r="V9" s="44"/>
      <c r="W9" s="44"/>
      <c r="X9" s="44"/>
      <c r="Y9" s="44"/>
      <c r="Z9" s="44"/>
      <c r="AA9" s="44"/>
    </row>
    <row r="10" spans="1:27" ht="10.8" thickTop="1" x14ac:dyDescent="0.2">
      <c r="A10" s="44" t="s">
        <v>25</v>
      </c>
      <c r="B10" s="44"/>
      <c r="C10" s="110">
        <f>'[1]Base Rates'!$I$44</f>
        <v>6.1670000000000007</v>
      </c>
      <c r="D10" s="110"/>
      <c r="E10" s="110">
        <f>'[1]Base Rates'!$L$44</f>
        <v>6.1670000000000007</v>
      </c>
      <c r="F10" s="110"/>
      <c r="G10" s="111">
        <f t="shared" ref="G10:G16" si="0">E10-C10</f>
        <v>0</v>
      </c>
      <c r="H10" s="112"/>
      <c r="I10" s="110">
        <f>'[1]Base Rates'!$I$46</f>
        <v>19.045000000000002</v>
      </c>
      <c r="J10" s="110"/>
      <c r="K10" s="110">
        <f>'[1]Base Rates'!$I$47</f>
        <v>1.0579999999999996</v>
      </c>
      <c r="L10" s="110"/>
      <c r="M10" s="110">
        <f>'[1]Base Rates'!$L$46</f>
        <v>19.045000000000002</v>
      </c>
      <c r="N10" s="110"/>
      <c r="O10" s="110">
        <f>'[1]Base Rates'!$L$47</f>
        <v>1.0579999999999996</v>
      </c>
      <c r="P10" s="110"/>
      <c r="Q10" s="111">
        <f>M10-I10</f>
        <v>0</v>
      </c>
      <c r="R10" s="110"/>
      <c r="S10" s="111">
        <f>O10-K10</f>
        <v>0</v>
      </c>
      <c r="T10" s="44"/>
      <c r="U10" s="44"/>
      <c r="V10" s="44"/>
      <c r="W10" s="44"/>
      <c r="X10" s="44"/>
      <c r="Y10" s="44"/>
      <c r="Z10" s="44"/>
      <c r="AA10" s="44"/>
    </row>
    <row r="11" spans="1:27" x14ac:dyDescent="0.2">
      <c r="A11" s="44" t="s">
        <v>24</v>
      </c>
      <c r="B11" s="44"/>
      <c r="C11" s="110">
        <f>'[1]Base Rates'!$I$45</f>
        <v>7.855999999999999</v>
      </c>
      <c r="D11" s="110"/>
      <c r="E11" s="110">
        <f>'[1]Base Rates'!$L$45</f>
        <v>7.855999999999999</v>
      </c>
      <c r="F11" s="110"/>
      <c r="G11" s="111">
        <f t="shared" si="0"/>
        <v>0</v>
      </c>
      <c r="H11" s="112"/>
      <c r="I11" s="110"/>
      <c r="J11" s="110"/>
      <c r="K11" s="110"/>
      <c r="L11" s="110"/>
      <c r="M11" s="110"/>
      <c r="N11" s="110"/>
      <c r="O11" s="110"/>
      <c r="P11" s="110"/>
      <c r="Q11" s="111"/>
      <c r="R11" s="110"/>
      <c r="S11" s="111"/>
      <c r="T11" s="44"/>
      <c r="U11" s="44"/>
      <c r="V11" s="44"/>
      <c r="W11" s="44"/>
      <c r="X11" s="44"/>
      <c r="Y11" s="44"/>
      <c r="Z11" s="44" t="s">
        <v>79</v>
      </c>
      <c r="AA11" s="44"/>
    </row>
    <row r="12" spans="1:27" x14ac:dyDescent="0.2">
      <c r="A12" s="44" t="s">
        <v>59</v>
      </c>
      <c r="B12" s="44"/>
      <c r="C12" s="113">
        <f>'[1]BA-1 Rates Current_Prior'!$B$7</f>
        <v>3.0670000000000002</v>
      </c>
      <c r="D12" s="113"/>
      <c r="E12" s="113">
        <f>'[1]BA-1 Rates Proposed_Approved'!$B$7</f>
        <v>3.0670000000000002</v>
      </c>
      <c r="F12" s="113"/>
      <c r="G12" s="114">
        <f t="shared" si="0"/>
        <v>0</v>
      </c>
      <c r="H12" s="115"/>
      <c r="I12" s="113">
        <f>'[1]BA-1 Rates Current_Prior'!$C$6</f>
        <v>4.3079999999999998</v>
      </c>
      <c r="J12" s="113"/>
      <c r="K12" s="113">
        <f>'[1]BA-1 Rates Current_Prior'!$D$6</f>
        <v>2.9209999999999998</v>
      </c>
      <c r="L12" s="113"/>
      <c r="M12" s="113">
        <f>'[1]BA-1 Rates Proposed_Approved'!$C$6</f>
        <v>4.3079999999999998</v>
      </c>
      <c r="N12" s="113"/>
      <c r="O12" s="113">
        <f>'[1]BA-1 Rates Proposed_Approved'!$D$6</f>
        <v>2.9209999999999998</v>
      </c>
      <c r="P12" s="113"/>
      <c r="Q12" s="114">
        <f t="shared" ref="Q12:Q16" si="1">M12-I12</f>
        <v>0</v>
      </c>
      <c r="R12" s="113"/>
      <c r="S12" s="114">
        <f t="shared" ref="S12:S16" si="2">O12-K12</f>
        <v>0</v>
      </c>
      <c r="T12" s="44"/>
      <c r="U12" s="44"/>
      <c r="V12" s="44"/>
      <c r="W12" s="44"/>
      <c r="X12" s="44"/>
      <c r="Y12" s="44"/>
      <c r="Z12" s="44"/>
      <c r="AA12" s="44"/>
    </row>
    <row r="13" spans="1:27" x14ac:dyDescent="0.2">
      <c r="A13" s="44" t="s">
        <v>24</v>
      </c>
      <c r="B13" s="44"/>
      <c r="C13" s="113">
        <f>'[1]BA-1 Rates Current_Prior'!$B$8</f>
        <v>4.0670000000000002</v>
      </c>
      <c r="D13" s="113"/>
      <c r="E13" s="113">
        <f>'[1]BA-1 Rates Proposed_Approved'!$B$8</f>
        <v>4.0670000000000002</v>
      </c>
      <c r="F13" s="113"/>
      <c r="G13" s="114">
        <f>E13-C13</f>
        <v>0</v>
      </c>
      <c r="H13" s="115"/>
      <c r="I13" s="113"/>
      <c r="J13" s="113"/>
      <c r="K13" s="113"/>
      <c r="L13" s="113"/>
      <c r="M13" s="113"/>
      <c r="N13" s="113"/>
      <c r="O13" s="113"/>
      <c r="P13" s="113"/>
      <c r="Q13" s="114"/>
      <c r="R13" s="113"/>
      <c r="S13" s="114"/>
      <c r="T13" s="44"/>
      <c r="U13" s="44"/>
      <c r="V13" s="44"/>
      <c r="W13" s="44"/>
      <c r="X13" s="44"/>
      <c r="Y13" s="44"/>
      <c r="Z13" s="53"/>
      <c r="AA13" s="44"/>
    </row>
    <row r="14" spans="1:27" x14ac:dyDescent="0.2">
      <c r="A14" s="44" t="s">
        <v>10</v>
      </c>
      <c r="B14" s="44"/>
      <c r="C14" s="113">
        <f>'[1]BA-1 Rates Current_Prior'!$E$6</f>
        <v>0.33900000000000002</v>
      </c>
      <c r="D14" s="113"/>
      <c r="E14" s="113">
        <f>'[1]BA-1 Rates Proposed_Approved'!$E$6</f>
        <v>0.33900000000000002</v>
      </c>
      <c r="F14" s="113"/>
      <c r="G14" s="114">
        <f t="shared" si="0"/>
        <v>0</v>
      </c>
      <c r="H14" s="115"/>
      <c r="I14" s="113">
        <f>'[1]BA-1 Rates Current_Prior'!$E$6</f>
        <v>0.33900000000000002</v>
      </c>
      <c r="J14" s="113"/>
      <c r="K14" s="113">
        <f>'[1]BA-1 Rates Current_Prior'!$E$6</f>
        <v>0.33900000000000002</v>
      </c>
      <c r="L14" s="113"/>
      <c r="M14" s="113">
        <f>'[1]BA-1 Rates Proposed_Approved'!$E$6</f>
        <v>0.33900000000000002</v>
      </c>
      <c r="N14" s="113"/>
      <c r="O14" s="113">
        <f>'[1]BA-1 Rates Proposed_Approved'!$E$6</f>
        <v>0.33900000000000002</v>
      </c>
      <c r="P14" s="113"/>
      <c r="Q14" s="114">
        <f t="shared" si="1"/>
        <v>0</v>
      </c>
      <c r="R14" s="113"/>
      <c r="S14" s="114">
        <f t="shared" si="2"/>
        <v>0</v>
      </c>
      <c r="T14" s="44"/>
      <c r="U14" s="44"/>
      <c r="V14" s="44"/>
      <c r="W14" s="44"/>
      <c r="X14" s="44"/>
      <c r="Y14" s="44"/>
      <c r="Z14" s="46"/>
      <c r="AA14" s="44"/>
    </row>
    <row r="15" spans="1:27" x14ac:dyDescent="0.2">
      <c r="A15" s="44" t="s">
        <v>9</v>
      </c>
      <c r="B15" s="44"/>
      <c r="C15" s="113">
        <f>'[1]BA-1 Rates Current_Prior'!$G$6</f>
        <v>1.2</v>
      </c>
      <c r="D15" s="113"/>
      <c r="E15" s="113">
        <f>'[1]BA-1 Rates Proposed_Approved'!$G$6</f>
        <v>1.2</v>
      </c>
      <c r="F15" s="113"/>
      <c r="G15" s="114">
        <f t="shared" si="0"/>
        <v>0</v>
      </c>
      <c r="H15" s="115"/>
      <c r="I15" s="113">
        <f>'[1]BA-1 Rates Current_Prior'!$G$6</f>
        <v>1.2</v>
      </c>
      <c r="J15" s="113"/>
      <c r="K15" s="113">
        <f>'[1]BA-1 Rates Current_Prior'!$G$6</f>
        <v>1.2</v>
      </c>
      <c r="L15" s="113"/>
      <c r="M15" s="113">
        <f>'[1]BA-1 Rates Proposed_Approved'!$G$6</f>
        <v>1.2</v>
      </c>
      <c r="N15" s="113"/>
      <c r="O15" s="113">
        <f>'[1]BA-1 Rates Proposed_Approved'!$G$6</f>
        <v>1.2</v>
      </c>
      <c r="P15" s="113"/>
      <c r="Q15" s="114">
        <f t="shared" si="1"/>
        <v>0</v>
      </c>
      <c r="R15" s="113"/>
      <c r="S15" s="114">
        <f t="shared" si="2"/>
        <v>0</v>
      </c>
      <c r="T15" s="44"/>
      <c r="U15" s="44"/>
      <c r="V15" s="44"/>
      <c r="W15" s="44"/>
      <c r="X15" s="44"/>
      <c r="Y15" s="44"/>
      <c r="Z15" s="44"/>
      <c r="AA15" s="44"/>
    </row>
    <row r="16" spans="1:27" x14ac:dyDescent="0.2">
      <c r="A16" s="116" t="s">
        <v>23</v>
      </c>
      <c r="B16" s="116"/>
      <c r="C16" s="115">
        <f>'[1]BA-1 Rates Current_Prior'!$I$6</f>
        <v>7.9000000000000001E-2</v>
      </c>
      <c r="D16" s="115"/>
      <c r="E16" s="113">
        <f>'[1]BA-1 Rates Proposed_Approved'!$I$6</f>
        <v>7.9000000000000001E-2</v>
      </c>
      <c r="F16" s="115"/>
      <c r="G16" s="117">
        <f t="shared" si="0"/>
        <v>0</v>
      </c>
      <c r="H16" s="115"/>
      <c r="I16" s="115">
        <f>'[1]BA-1 Rates Current_Prior'!$I$6</f>
        <v>7.9000000000000001E-2</v>
      </c>
      <c r="J16" s="115"/>
      <c r="K16" s="115">
        <f>'[1]BA-1 Rates Current_Prior'!$I$6</f>
        <v>7.9000000000000001E-2</v>
      </c>
      <c r="L16" s="115"/>
      <c r="M16" s="115">
        <f>'[1]BA-1 Rates Proposed_Approved'!$I$6</f>
        <v>7.9000000000000001E-2</v>
      </c>
      <c r="N16" s="113"/>
      <c r="O16" s="115">
        <f>'[1]BA-1 Rates Proposed_Approved'!$I$6</f>
        <v>7.9000000000000001E-2</v>
      </c>
      <c r="P16" s="115"/>
      <c r="Q16" s="117">
        <f t="shared" si="1"/>
        <v>0</v>
      </c>
      <c r="R16" s="115"/>
      <c r="S16" s="117">
        <f t="shared" si="2"/>
        <v>0</v>
      </c>
      <c r="T16" s="44"/>
      <c r="U16" s="44"/>
      <c r="V16" s="44"/>
      <c r="W16" s="44"/>
      <c r="X16" s="44"/>
      <c r="Y16" s="44"/>
      <c r="Z16" s="118">
        <f>+calc!B60</f>
        <v>10.63</v>
      </c>
      <c r="AA16" s="44"/>
    </row>
    <row r="17" spans="1:27" x14ac:dyDescent="0.2">
      <c r="A17" s="44" t="s">
        <v>110</v>
      </c>
      <c r="B17" s="44"/>
      <c r="C17" s="115">
        <f>'[1]BA-1 Rates Current_Prior'!$J$6</f>
        <v>0.23499999999999999</v>
      </c>
      <c r="D17" s="115"/>
      <c r="E17" s="115">
        <f>'[1]BA-1 Rates Proposed_Approved'!$J$6</f>
        <v>0.23499999999999999</v>
      </c>
      <c r="F17" s="115"/>
      <c r="G17" s="117">
        <f>E17-C17</f>
        <v>0</v>
      </c>
      <c r="H17" s="115"/>
      <c r="I17" s="115">
        <f>'[1]BA-1 Rates Current_Prior'!$J$6</f>
        <v>0.23499999999999999</v>
      </c>
      <c r="J17" s="115"/>
      <c r="K17" s="115">
        <f>'[1]BA-1 Rates Current_Prior'!$J$6</f>
        <v>0.23499999999999999</v>
      </c>
      <c r="L17" s="115"/>
      <c r="M17" s="115">
        <f>'[1]BA-1 Rates Proposed_Approved'!$J$6</f>
        <v>0.23499999999999999</v>
      </c>
      <c r="N17" s="113"/>
      <c r="O17" s="115">
        <f>'[1]BA-1 Rates Proposed_Approved'!$J$6</f>
        <v>0.23499999999999999</v>
      </c>
      <c r="P17" s="115"/>
      <c r="Q17" s="117">
        <f>M17-I17</f>
        <v>0</v>
      </c>
      <c r="R17" s="115"/>
      <c r="S17" s="117">
        <f>O17-K17</f>
        <v>0</v>
      </c>
      <c r="T17" s="44"/>
      <c r="U17" s="44"/>
      <c r="V17" s="44"/>
      <c r="W17" s="44"/>
      <c r="X17" s="44"/>
      <c r="Y17" s="44"/>
      <c r="Z17" s="52">
        <f>E21*10</f>
        <v>114.14999999999999</v>
      </c>
      <c r="AA17" s="44"/>
    </row>
    <row r="18" spans="1:27" s="176" customFormat="1" x14ac:dyDescent="0.2">
      <c r="A18" s="44" t="s">
        <v>124</v>
      </c>
      <c r="B18" s="44"/>
      <c r="C18" s="115">
        <f>'[1]BA-1 Rates Current_Prior'!$K$6</f>
        <v>0</v>
      </c>
      <c r="D18" s="115"/>
      <c r="E18" s="115">
        <f>'[1]BA-1 Rates Proposed_Approved'!$K$6</f>
        <v>0</v>
      </c>
      <c r="F18" s="115"/>
      <c r="G18" s="117">
        <f>E18-C18</f>
        <v>0</v>
      </c>
      <c r="H18" s="115"/>
      <c r="I18" s="115">
        <f>'[1]BA-1 Rates Current_Prior'!$K$6</f>
        <v>0</v>
      </c>
      <c r="J18" s="115"/>
      <c r="K18" s="115">
        <f>'[1]BA-1 Rates Current_Prior'!$K$6</f>
        <v>0</v>
      </c>
      <c r="L18" s="115"/>
      <c r="M18" s="115">
        <f>'[1]BA-1 Rates Proposed_Approved'!$K$6</f>
        <v>0</v>
      </c>
      <c r="N18" s="113"/>
      <c r="O18" s="115">
        <f>'[1]BA-1 Rates Proposed_Approved'!$K$6</f>
        <v>0</v>
      </c>
      <c r="P18" s="115"/>
      <c r="Q18" s="117">
        <f>M18-I18</f>
        <v>0</v>
      </c>
      <c r="R18" s="115"/>
      <c r="S18" s="117">
        <f>O18-K18</f>
        <v>0</v>
      </c>
      <c r="T18" s="119"/>
      <c r="U18" s="119"/>
      <c r="V18" s="119"/>
      <c r="W18" s="119"/>
      <c r="X18" s="119"/>
      <c r="Y18" s="119"/>
      <c r="Z18" s="52">
        <f>+calc!B89</f>
        <v>0</v>
      </c>
      <c r="AA18" s="119"/>
    </row>
    <row r="19" spans="1:27" s="176" customFormat="1" x14ac:dyDescent="0.2">
      <c r="A19" s="44" t="s">
        <v>130</v>
      </c>
      <c r="B19" s="44"/>
      <c r="C19" s="115">
        <f>'[1]BA-1 Rates Current_Prior'!$L$6</f>
        <v>2.7E-2</v>
      </c>
      <c r="D19" s="115"/>
      <c r="E19" s="115">
        <f>'[1]BA-1 Rates Proposed_Approved'!$L$6</f>
        <v>0.32800000000000001</v>
      </c>
      <c r="F19" s="115"/>
      <c r="G19" s="117">
        <f>E19-C19</f>
        <v>0.30099999999999999</v>
      </c>
      <c r="H19" s="115"/>
      <c r="I19" s="115">
        <f>'[1]BA-1 Rates Current_Prior'!$L$6</f>
        <v>2.7E-2</v>
      </c>
      <c r="J19" s="115"/>
      <c r="K19" s="115">
        <f>'[1]BA-1 Rates Current_Prior'!$L$6</f>
        <v>2.7E-2</v>
      </c>
      <c r="L19" s="115"/>
      <c r="M19" s="115">
        <f>'[1]BA-1 Rates Proposed_Approved'!$L$6</f>
        <v>0.32800000000000001</v>
      </c>
      <c r="N19" s="113"/>
      <c r="O19" s="115">
        <f>'[1]BA-1 Rates Proposed_Approved'!$L$6</f>
        <v>0.32800000000000001</v>
      </c>
      <c r="P19" s="115"/>
      <c r="Q19" s="117">
        <f>M19-I19</f>
        <v>0.30099999999999999</v>
      </c>
      <c r="R19" s="115"/>
      <c r="S19" s="117">
        <f>O19-K19</f>
        <v>0.30099999999999999</v>
      </c>
      <c r="T19" s="119"/>
      <c r="U19" s="119"/>
      <c r="V19" s="119"/>
      <c r="W19" s="119"/>
      <c r="X19" s="119"/>
      <c r="Y19" s="119"/>
      <c r="Z19" s="52"/>
      <c r="AA19" s="119"/>
    </row>
    <row r="20" spans="1:27" s="176" customFormat="1" ht="18" customHeight="1" x14ac:dyDescent="0.2">
      <c r="A20" s="120"/>
      <c r="B20" s="119"/>
      <c r="C20" s="121"/>
      <c r="D20" s="122"/>
      <c r="E20" s="121"/>
      <c r="F20" s="122"/>
      <c r="G20" s="123"/>
      <c r="H20" s="124"/>
      <c r="I20" s="121"/>
      <c r="J20" s="122"/>
      <c r="K20" s="121"/>
      <c r="L20" s="122"/>
      <c r="M20" s="121"/>
      <c r="N20" s="122"/>
      <c r="O20" s="121"/>
      <c r="P20" s="122"/>
      <c r="Q20" s="123"/>
      <c r="R20" s="122"/>
      <c r="S20" s="123"/>
      <c r="T20" s="119"/>
      <c r="U20" s="119"/>
      <c r="V20" s="119"/>
      <c r="W20" s="119"/>
      <c r="X20" s="119"/>
      <c r="Y20" s="119"/>
      <c r="Z20" s="125">
        <f>ROUND((Z17+Z16+Z18)*0.025641,2)</f>
        <v>3.2</v>
      </c>
      <c r="AA20" s="119"/>
    </row>
    <row r="21" spans="1:27" ht="10.8" thickBot="1" x14ac:dyDescent="0.25">
      <c r="A21" s="126" t="s">
        <v>26</v>
      </c>
      <c r="B21" s="119"/>
      <c r="C21" s="122">
        <f>SUM(C10:C20)-C11-C13</f>
        <v>11.114000000000001</v>
      </c>
      <c r="D21" s="122"/>
      <c r="E21" s="122">
        <f>SUM(E10:E20)-E11-E13</f>
        <v>11.414999999999999</v>
      </c>
      <c r="F21" s="122"/>
      <c r="G21" s="122">
        <f>SUM(G10:G20)-G11-G13</f>
        <v>0.30099999999999999</v>
      </c>
      <c r="H21" s="124"/>
      <c r="I21" s="122">
        <f>SUM(I10:I20)</f>
        <v>25.233000000000001</v>
      </c>
      <c r="J21" s="122"/>
      <c r="K21" s="122">
        <f>SUM(K10:K20)</f>
        <v>5.859</v>
      </c>
      <c r="L21" s="122"/>
      <c r="M21" s="122">
        <f>SUM(M10:M20)</f>
        <v>25.533999999999999</v>
      </c>
      <c r="N21" s="122"/>
      <c r="O21" s="122">
        <f>SUM(O10:O20)</f>
        <v>6.16</v>
      </c>
      <c r="P21" s="122"/>
      <c r="Q21" s="122">
        <f>SUM(Q10:Q20)</f>
        <v>0.30099999999999999</v>
      </c>
      <c r="R21" s="122"/>
      <c r="S21" s="122">
        <f>SUM(S10:S20)</f>
        <v>0.30099999999999999</v>
      </c>
      <c r="T21" s="44"/>
      <c r="U21" s="44"/>
      <c r="V21" s="44"/>
      <c r="W21" s="44"/>
      <c r="X21" s="44"/>
      <c r="Y21" s="44"/>
      <c r="Z21" s="127">
        <f>SUM(Z16:Z20)</f>
        <v>127.97999999999999</v>
      </c>
      <c r="AA21" s="44"/>
    </row>
    <row r="22" spans="1:27" s="176" customFormat="1" ht="18" customHeight="1" thickTop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122"/>
      <c r="Q22" s="44"/>
      <c r="R22" s="44"/>
      <c r="S22" s="44"/>
      <c r="T22" s="119"/>
      <c r="U22" s="119"/>
      <c r="V22" s="119"/>
      <c r="W22" s="119"/>
      <c r="X22" s="119"/>
      <c r="Y22" s="119"/>
      <c r="Z22" s="119"/>
      <c r="AA22" s="119"/>
    </row>
    <row r="23" spans="1:27" x14ac:dyDescent="0.2">
      <c r="A23" s="119" t="s">
        <v>58</v>
      </c>
      <c r="B23" s="119"/>
      <c r="C23" s="128" t="s">
        <v>75</v>
      </c>
      <c r="D23" s="119"/>
      <c r="E23" s="119"/>
      <c r="F23" s="119"/>
      <c r="G23" s="129">
        <f>+G21/C21</f>
        <v>2.7082958430807987E-2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29">
        <f>+Q21/I21</f>
        <v>1.1928823366226766E-2</v>
      </c>
      <c r="R23" s="119"/>
      <c r="S23" s="129">
        <f>+S21/K21</f>
        <v>5.1373954599761053E-2</v>
      </c>
      <c r="T23" s="44"/>
      <c r="U23" s="44"/>
      <c r="V23" s="44"/>
      <c r="W23" s="44"/>
      <c r="X23" s="44"/>
      <c r="Y23" s="44"/>
      <c r="Z23" s="119" t="s">
        <v>75</v>
      </c>
      <c r="AA23" s="44"/>
    </row>
    <row r="24" spans="1:27" ht="10.8" thickBot="1" x14ac:dyDescent="0.25">
      <c r="A24" s="130" t="s">
        <v>111</v>
      </c>
      <c r="B24" s="131"/>
      <c r="C24" s="132">
        <f>+C10+C14+C15+C16+C18+C19</f>
        <v>7.8120000000000012</v>
      </c>
      <c r="D24" s="133"/>
      <c r="E24" s="132">
        <f>+E10+E14+E15+E16+E18+E19</f>
        <v>8.1130000000000013</v>
      </c>
      <c r="F24" s="134"/>
      <c r="G24" s="134">
        <f>+E24-C24</f>
        <v>0.30100000000000016</v>
      </c>
      <c r="H24" s="134"/>
      <c r="I24" s="132">
        <f>+I10+I14+I15+I16+I18+I19</f>
        <v>20.69</v>
      </c>
      <c r="J24" s="134"/>
      <c r="K24" s="132">
        <f>+K10+K14+K15+K16+K18+K19</f>
        <v>2.7029999999999998</v>
      </c>
      <c r="L24" s="134"/>
      <c r="M24" s="132">
        <f>+M10+M14+M15+M16+M18+M19</f>
        <v>20.991</v>
      </c>
      <c r="N24" s="134"/>
      <c r="O24" s="132">
        <f>+O10+O14+O15+O16+O18+O19</f>
        <v>3.0039999999999996</v>
      </c>
      <c r="P24" s="134"/>
      <c r="Q24" s="134">
        <f>+M24-I24</f>
        <v>0.30099999999999838</v>
      </c>
      <c r="R24" s="134"/>
      <c r="S24" s="134">
        <f>+O24-K24</f>
        <v>0.30099999999999971</v>
      </c>
      <c r="T24" s="44"/>
      <c r="U24" s="44"/>
      <c r="V24" s="44"/>
      <c r="W24" s="44"/>
      <c r="X24" s="44"/>
      <c r="Y24" s="44"/>
      <c r="Z24" s="44"/>
      <c r="AA24" s="44"/>
    </row>
    <row r="25" spans="1:27" ht="10.8" thickTop="1" x14ac:dyDescent="0.2">
      <c r="A25" s="120" t="s">
        <v>112</v>
      </c>
      <c r="B25" s="119"/>
      <c r="C25" s="135">
        <f>+C11+C14+C15+C16+C18+C19</f>
        <v>9.5009999999999977</v>
      </c>
      <c r="D25" s="135"/>
      <c r="E25" s="135">
        <f>+E11+E14+E15+E16+E18+E19</f>
        <v>9.8019999999999978</v>
      </c>
      <c r="F25" s="135"/>
      <c r="G25" s="136"/>
      <c r="H25" s="137"/>
      <c r="I25" s="136"/>
      <c r="J25" s="136"/>
      <c r="K25" s="136"/>
      <c r="L25" s="135"/>
      <c r="M25" s="136"/>
      <c r="N25" s="136"/>
      <c r="O25" s="136"/>
      <c r="P25" s="135"/>
      <c r="Q25" s="136"/>
      <c r="R25" s="135"/>
      <c r="S25" s="136"/>
      <c r="T25" s="44"/>
      <c r="U25" s="44"/>
      <c r="V25" s="44"/>
      <c r="W25" s="44"/>
      <c r="X25" s="44"/>
      <c r="Y25" s="44"/>
      <c r="Z25" s="44"/>
      <c r="AA25" s="44"/>
    </row>
    <row r="26" spans="1:27" x14ac:dyDescent="0.2">
      <c r="A26" s="120"/>
      <c r="B26" s="119"/>
      <c r="C26" s="136"/>
      <c r="D26" s="136"/>
      <c r="E26" s="136"/>
      <c r="F26" s="135"/>
      <c r="G26" s="136"/>
      <c r="H26" s="137"/>
      <c r="I26" s="136"/>
      <c r="J26" s="136"/>
      <c r="K26" s="136"/>
      <c r="L26" s="135"/>
      <c r="M26" s="136"/>
      <c r="N26" s="136"/>
      <c r="O26" s="136"/>
      <c r="P26" s="135"/>
      <c r="Q26" s="136"/>
      <c r="R26" s="135"/>
      <c r="S26" s="136"/>
      <c r="T26" s="44"/>
      <c r="U26" s="44"/>
      <c r="V26" s="44"/>
      <c r="W26" s="44"/>
      <c r="X26" s="44"/>
      <c r="Y26" s="44"/>
      <c r="Z26" s="44"/>
      <c r="AA26" s="44"/>
    </row>
    <row r="27" spans="1:27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44"/>
      <c r="U27" s="44"/>
      <c r="V27" s="44"/>
      <c r="W27" s="44"/>
      <c r="X27" s="44"/>
      <c r="Y27" s="44"/>
      <c r="Z27" s="44"/>
      <c r="AA27" s="44"/>
    </row>
    <row r="28" spans="1:27" x14ac:dyDescent="0.2">
      <c r="A28" s="44"/>
      <c r="B28" s="44"/>
      <c r="C28" s="170" t="s">
        <v>12</v>
      </c>
      <c r="D28" s="170"/>
      <c r="E28" s="170"/>
      <c r="F28" s="170"/>
      <c r="G28" s="170"/>
      <c r="H28" s="138"/>
      <c r="I28" s="170" t="s">
        <v>13</v>
      </c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44"/>
      <c r="U28" s="44"/>
      <c r="V28" s="44"/>
      <c r="W28" s="44"/>
      <c r="X28" s="44"/>
      <c r="Y28" s="44"/>
      <c r="Z28" s="44"/>
      <c r="AA28" s="44"/>
    </row>
    <row r="29" spans="1:27" ht="20.25" customHeight="1" x14ac:dyDescent="0.2">
      <c r="A29" s="101"/>
      <c r="B29" s="101"/>
      <c r="C29" s="139"/>
      <c r="D29" s="139"/>
      <c r="E29" s="139"/>
      <c r="F29" s="139"/>
      <c r="G29" s="139"/>
      <c r="H29" s="139"/>
      <c r="I29" s="140" t="s">
        <v>2</v>
      </c>
      <c r="J29" s="140"/>
      <c r="K29" s="140"/>
      <c r="L29" s="106"/>
      <c r="M29" s="140" t="s">
        <v>3</v>
      </c>
      <c r="N29" s="140"/>
      <c r="O29" s="140"/>
      <c r="P29" s="106"/>
      <c r="Q29" s="171" t="s">
        <v>4</v>
      </c>
      <c r="R29" s="171"/>
      <c r="S29" s="171"/>
      <c r="T29" s="44"/>
      <c r="U29" s="44"/>
      <c r="V29" s="44"/>
      <c r="W29" s="44"/>
      <c r="X29" s="44"/>
      <c r="Y29" s="44"/>
      <c r="Z29" s="44"/>
      <c r="AA29" s="44"/>
    </row>
    <row r="30" spans="1:27" ht="10.8" thickBot="1" x14ac:dyDescent="0.25">
      <c r="A30" s="107"/>
      <c r="B30" s="107"/>
      <c r="C30" s="141" t="s">
        <v>2</v>
      </c>
      <c r="D30" s="142"/>
      <c r="E30" s="141" t="s">
        <v>3</v>
      </c>
      <c r="F30" s="142"/>
      <c r="G30" s="142" t="s">
        <v>4</v>
      </c>
      <c r="H30" s="139"/>
      <c r="I30" s="143" t="s">
        <v>5</v>
      </c>
      <c r="J30" s="142"/>
      <c r="K30" s="143" t="s">
        <v>6</v>
      </c>
      <c r="L30" s="142"/>
      <c r="M30" s="143" t="s">
        <v>5</v>
      </c>
      <c r="N30" s="142"/>
      <c r="O30" s="143" t="s">
        <v>6</v>
      </c>
      <c r="P30" s="142"/>
      <c r="Q30" s="143" t="s">
        <v>5</v>
      </c>
      <c r="R30" s="142"/>
      <c r="S30" s="143" t="s">
        <v>6</v>
      </c>
      <c r="T30" s="45"/>
      <c r="U30" s="45"/>
      <c r="V30" s="45"/>
      <c r="W30" s="45"/>
      <c r="X30" s="45"/>
      <c r="Y30" s="45"/>
      <c r="Z30" s="45"/>
      <c r="AA30" s="45"/>
    </row>
    <row r="31" spans="1:27" ht="10.8" thickTop="1" x14ac:dyDescent="0.2">
      <c r="A31" s="44" t="s">
        <v>7</v>
      </c>
      <c r="B31" s="44"/>
      <c r="C31" s="110">
        <f>'[1]Base Rates'!$I$66</f>
        <v>6.698999999999999</v>
      </c>
      <c r="D31" s="110"/>
      <c r="E31" s="110">
        <f>'[1]Base Rates'!$L$66</f>
        <v>6.698999999999999</v>
      </c>
      <c r="F31" s="110"/>
      <c r="G31" s="111">
        <f t="shared" ref="G31:G36" si="3">E31-C31</f>
        <v>0</v>
      </c>
      <c r="H31" s="112"/>
      <c r="I31" s="110">
        <f>'[1]Base Rates'!$I$67</f>
        <v>19.015000000000001</v>
      </c>
      <c r="J31" s="110"/>
      <c r="K31" s="110">
        <f>'[1]Base Rates'!$I$68</f>
        <v>1.0310000000000001</v>
      </c>
      <c r="L31" s="110"/>
      <c r="M31" s="110">
        <f>'[1]Base Rates'!$L$67</f>
        <v>19.015000000000001</v>
      </c>
      <c r="N31" s="110"/>
      <c r="O31" s="110">
        <f>'[1]Base Rates'!$L$68</f>
        <v>1.0310000000000001</v>
      </c>
      <c r="P31" s="110"/>
      <c r="Q31" s="111">
        <f t="shared" ref="Q31:Q36" si="4">M31-I31</f>
        <v>0</v>
      </c>
      <c r="R31" s="110"/>
      <c r="S31" s="111">
        <f t="shared" ref="S31:S36" si="5">O31-K31</f>
        <v>0</v>
      </c>
      <c r="T31" s="45"/>
      <c r="U31" s="45"/>
      <c r="V31" s="45"/>
      <c r="W31" s="45"/>
      <c r="X31" s="45"/>
      <c r="Y31" s="45"/>
      <c r="Z31" s="45"/>
      <c r="AA31" s="45"/>
    </row>
    <row r="32" spans="1:27" x14ac:dyDescent="0.2">
      <c r="A32" s="44" t="s">
        <v>8</v>
      </c>
      <c r="B32" s="44"/>
      <c r="C32" s="113">
        <f>'[1]BA-1 Rates Current_Prior'!$B$11</f>
        <v>3.35</v>
      </c>
      <c r="D32" s="113"/>
      <c r="E32" s="113">
        <f>'[1]BA-1 Rates Proposed_Approved'!$B$11</f>
        <v>3.35</v>
      </c>
      <c r="F32" s="113"/>
      <c r="G32" s="114">
        <f t="shared" si="3"/>
        <v>0</v>
      </c>
      <c r="H32" s="115"/>
      <c r="I32" s="113">
        <f>'[1]BA-1 Rates Current_Prior'!$C$11</f>
        <v>4.3079999999999998</v>
      </c>
      <c r="J32" s="113"/>
      <c r="K32" s="113">
        <f>'[1]BA-1 Rates Current_Prior'!$D$11</f>
        <v>2.9209999999999998</v>
      </c>
      <c r="L32" s="113"/>
      <c r="M32" s="113">
        <f>'[1]BA-1 Rates Proposed_Approved'!$C$11</f>
        <v>4.3079999999999998</v>
      </c>
      <c r="N32" s="113"/>
      <c r="O32" s="113">
        <f>'[1]BA-1 Rates Proposed_Approved'!$D$11</f>
        <v>2.9209999999999998</v>
      </c>
      <c r="P32" s="113"/>
      <c r="Q32" s="114">
        <f t="shared" si="4"/>
        <v>0</v>
      </c>
      <c r="R32" s="113"/>
      <c r="S32" s="114">
        <f t="shared" si="5"/>
        <v>0</v>
      </c>
      <c r="T32" s="45"/>
      <c r="U32" s="45"/>
      <c r="V32" s="45"/>
      <c r="W32" s="45"/>
      <c r="X32" s="45"/>
      <c r="Y32" s="45"/>
      <c r="Z32" s="45"/>
      <c r="AA32" s="45"/>
    </row>
    <row r="33" spans="1:27" x14ac:dyDescent="0.2">
      <c r="A33" s="44" t="s">
        <v>10</v>
      </c>
      <c r="B33" s="44"/>
      <c r="C33" s="113">
        <f>'[1]BA-1 Rates Current_Prior'!$E$11</f>
        <v>0.32700000000000001</v>
      </c>
      <c r="D33" s="113"/>
      <c r="E33" s="113">
        <f>'[1]BA-1 Rates Proposed_Approved'!$E$11</f>
        <v>0.32700000000000001</v>
      </c>
      <c r="F33" s="113"/>
      <c r="G33" s="114">
        <f t="shared" si="3"/>
        <v>0</v>
      </c>
      <c r="H33" s="115"/>
      <c r="I33" s="113">
        <f>'[1]BA-1 Rates Current_Prior'!$E$11</f>
        <v>0.32700000000000001</v>
      </c>
      <c r="J33" s="113"/>
      <c r="K33" s="113">
        <f>'[1]BA-1 Rates Current_Prior'!$E$11</f>
        <v>0.32700000000000001</v>
      </c>
      <c r="L33" s="113"/>
      <c r="M33" s="113">
        <f>'[1]BA-1 Rates Proposed_Approved'!$E$11</f>
        <v>0.32700000000000001</v>
      </c>
      <c r="N33" s="113"/>
      <c r="O33" s="113">
        <f>'[1]BA-1 Rates Proposed_Approved'!$E$11</f>
        <v>0.32700000000000001</v>
      </c>
      <c r="P33" s="113"/>
      <c r="Q33" s="114">
        <f t="shared" si="4"/>
        <v>0</v>
      </c>
      <c r="R33" s="113"/>
      <c r="S33" s="114">
        <f t="shared" si="5"/>
        <v>0</v>
      </c>
      <c r="T33" s="45"/>
      <c r="U33" s="45"/>
      <c r="V33" s="45"/>
      <c r="W33" s="45"/>
      <c r="X33" s="45"/>
      <c r="Y33" s="45"/>
      <c r="Z33" s="45"/>
      <c r="AA33" s="45"/>
    </row>
    <row r="34" spans="1:27" x14ac:dyDescent="0.2">
      <c r="A34" s="44" t="s">
        <v>9</v>
      </c>
      <c r="B34" s="44"/>
      <c r="C34" s="113">
        <f>'[1]BA-1 Rates Current_Prior'!$G$11</f>
        <v>1.147</v>
      </c>
      <c r="D34" s="113"/>
      <c r="E34" s="113">
        <f>'[1]BA-1 Rates Proposed_Approved'!$G$11</f>
        <v>1.147</v>
      </c>
      <c r="F34" s="113"/>
      <c r="G34" s="114">
        <f t="shared" si="3"/>
        <v>0</v>
      </c>
      <c r="H34" s="115"/>
      <c r="I34" s="113">
        <f>'[1]BA-1 Rates Current_Prior'!$G$11</f>
        <v>1.147</v>
      </c>
      <c r="J34" s="113"/>
      <c r="K34" s="113">
        <f>'[1]BA-1 Rates Current_Prior'!$G$11</f>
        <v>1.147</v>
      </c>
      <c r="L34" s="113"/>
      <c r="M34" s="113">
        <f>'[1]BA-1 Rates Proposed_Approved'!$G$11</f>
        <v>1.147</v>
      </c>
      <c r="N34" s="113"/>
      <c r="O34" s="113">
        <f>'[1]BA-1 Rates Proposed_Approved'!$G$11</f>
        <v>1.147</v>
      </c>
      <c r="P34" s="113"/>
      <c r="Q34" s="114">
        <f t="shared" si="4"/>
        <v>0</v>
      </c>
      <c r="R34" s="113"/>
      <c r="S34" s="114">
        <f t="shared" si="5"/>
        <v>0</v>
      </c>
      <c r="T34" s="45"/>
      <c r="U34" s="45"/>
      <c r="V34" s="45"/>
      <c r="W34" s="45"/>
      <c r="X34" s="45"/>
      <c r="Y34" s="45"/>
      <c r="Z34" s="45"/>
      <c r="AA34" s="45"/>
    </row>
    <row r="35" spans="1:27" x14ac:dyDescent="0.2">
      <c r="A35" s="44" t="s">
        <v>23</v>
      </c>
      <c r="B35" s="44"/>
      <c r="C35" s="115">
        <f>'[1]BA-1 Rates Current_Prior'!$I$11</f>
        <v>7.9000000000000001E-2</v>
      </c>
      <c r="D35" s="115"/>
      <c r="E35" s="115">
        <f>'[1]BA-1 Rates Proposed_Approved'!$I$11</f>
        <v>7.9000000000000001E-2</v>
      </c>
      <c r="F35" s="115"/>
      <c r="G35" s="117">
        <f t="shared" si="3"/>
        <v>0</v>
      </c>
      <c r="H35" s="115"/>
      <c r="I35" s="115">
        <f>'[1]BA-1 Rates Current_Prior'!$I$11</f>
        <v>7.9000000000000001E-2</v>
      </c>
      <c r="J35" s="115"/>
      <c r="K35" s="115">
        <f>'[1]BA-1 Rates Current_Prior'!$I$11</f>
        <v>7.9000000000000001E-2</v>
      </c>
      <c r="L35" s="115"/>
      <c r="M35" s="115">
        <f>'[1]BA-1 Rates Proposed_Approved'!$I$11</f>
        <v>7.9000000000000001E-2</v>
      </c>
      <c r="N35" s="113"/>
      <c r="O35" s="115">
        <f>'[1]BA-1 Rates Proposed_Approved'!$I$11</f>
        <v>7.9000000000000001E-2</v>
      </c>
      <c r="P35" s="115"/>
      <c r="Q35" s="117">
        <f t="shared" si="4"/>
        <v>0</v>
      </c>
      <c r="R35" s="115"/>
      <c r="S35" s="117">
        <f t="shared" si="5"/>
        <v>0</v>
      </c>
      <c r="T35" s="45"/>
      <c r="U35" s="45"/>
      <c r="V35" s="45"/>
      <c r="W35" s="45"/>
      <c r="X35" s="45"/>
      <c r="Y35" s="45"/>
      <c r="Z35" s="45"/>
      <c r="AA35" s="45"/>
    </row>
    <row r="36" spans="1:27" x14ac:dyDescent="0.2">
      <c r="A36" s="44" t="s">
        <v>110</v>
      </c>
      <c r="B36" s="44"/>
      <c r="C36" s="115">
        <f>'[1]BA-1 Rates Current_Prior'!$J$11</f>
        <v>0.222</v>
      </c>
      <c r="D36" s="115"/>
      <c r="E36" s="115">
        <f>'[1]BA-1 Rates Proposed_Approved'!$J$11</f>
        <v>0.222</v>
      </c>
      <c r="F36" s="115"/>
      <c r="G36" s="117">
        <f t="shared" si="3"/>
        <v>0</v>
      </c>
      <c r="H36" s="115"/>
      <c r="I36" s="115">
        <f>'[1]BA-1 Rates Current_Prior'!$J$11</f>
        <v>0.222</v>
      </c>
      <c r="J36" s="115"/>
      <c r="K36" s="115">
        <f>'[1]BA-1 Rates Current_Prior'!$J$11</f>
        <v>0.222</v>
      </c>
      <c r="L36" s="115"/>
      <c r="M36" s="115">
        <f>'[1]BA-1 Rates Proposed_Approved'!$J$11</f>
        <v>0.222</v>
      </c>
      <c r="N36" s="113"/>
      <c r="O36" s="115">
        <f>'[1]BA-1 Rates Proposed_Approved'!$J$11</f>
        <v>0.222</v>
      </c>
      <c r="P36" s="115"/>
      <c r="Q36" s="117">
        <f t="shared" si="4"/>
        <v>0</v>
      </c>
      <c r="R36" s="115"/>
      <c r="S36" s="117">
        <f t="shared" si="5"/>
        <v>0</v>
      </c>
      <c r="T36" s="45"/>
      <c r="U36" s="45"/>
      <c r="V36" s="45"/>
      <c r="W36" s="45"/>
      <c r="X36" s="45"/>
      <c r="Y36" s="45"/>
      <c r="Z36" s="45"/>
      <c r="AA36" s="45"/>
    </row>
    <row r="37" spans="1:27" x14ac:dyDescent="0.2">
      <c r="A37" s="44" t="s">
        <v>124</v>
      </c>
      <c r="B37" s="44"/>
      <c r="C37" s="115">
        <f>'[1]BA-1 Rates Current_Prior'!$K$11</f>
        <v>0</v>
      </c>
      <c r="D37" s="115"/>
      <c r="E37" s="115">
        <f>'[1]BA-1 Rates Proposed_Approved'!$K$11</f>
        <v>0</v>
      </c>
      <c r="F37" s="115"/>
      <c r="G37" s="117">
        <f t="shared" ref="G37" si="6">E37-C37</f>
        <v>0</v>
      </c>
      <c r="H37" s="115"/>
      <c r="I37" s="115">
        <f>'[1]BA-1 Rates Current_Prior'!$K$11</f>
        <v>0</v>
      </c>
      <c r="J37" s="115"/>
      <c r="K37" s="115">
        <f>'[1]BA-1 Rates Current_Prior'!$K$11</f>
        <v>0</v>
      </c>
      <c r="L37" s="115"/>
      <c r="M37" s="115">
        <f>'[1]BA-1 Rates Proposed_Approved'!$K$11</f>
        <v>0</v>
      </c>
      <c r="N37" s="113"/>
      <c r="O37" s="115">
        <f>'[1]BA-1 Rates Proposed_Approved'!$K$11</f>
        <v>0</v>
      </c>
      <c r="P37" s="115"/>
      <c r="Q37" s="117">
        <f t="shared" ref="Q37" si="7">M37-I37</f>
        <v>0</v>
      </c>
      <c r="R37" s="115"/>
      <c r="S37" s="117">
        <f t="shared" ref="S37" si="8">O37-K37</f>
        <v>0</v>
      </c>
      <c r="T37" s="45"/>
      <c r="U37" s="45"/>
      <c r="V37" s="45"/>
      <c r="W37" s="45"/>
      <c r="X37" s="45"/>
      <c r="Y37" s="45"/>
      <c r="Z37" s="45"/>
      <c r="AA37" s="45"/>
    </row>
    <row r="38" spans="1:27" x14ac:dyDescent="0.2">
      <c r="A38" s="44" t="s">
        <v>130</v>
      </c>
      <c r="B38" s="44"/>
      <c r="C38" s="115">
        <f>'[1]BA-1 Rates Current_Prior'!$L$11</f>
        <v>2.3E-2</v>
      </c>
      <c r="D38" s="115"/>
      <c r="E38" s="115">
        <f>'[1]BA-1 Rates Proposed_Approved'!$L$11</f>
        <v>0.27600000000000002</v>
      </c>
      <c r="F38" s="115"/>
      <c r="G38" s="117">
        <f t="shared" ref="G38" si="9">E38-C38</f>
        <v>0.253</v>
      </c>
      <c r="H38" s="115"/>
      <c r="I38" s="115">
        <f>'[1]BA-1 Rates Current_Prior'!$L$11</f>
        <v>2.3E-2</v>
      </c>
      <c r="J38" s="115"/>
      <c r="K38" s="115">
        <f>'[1]BA-1 Rates Current_Prior'!$L$11</f>
        <v>2.3E-2</v>
      </c>
      <c r="L38" s="115"/>
      <c r="M38" s="115">
        <f>'[1]BA-1 Rates Proposed_Approved'!$L$11</f>
        <v>0.27600000000000002</v>
      </c>
      <c r="N38" s="113"/>
      <c r="O38" s="115">
        <f>'[1]BA-1 Rates Proposed_Approved'!$L$11</f>
        <v>0.27600000000000002</v>
      </c>
      <c r="P38" s="115"/>
      <c r="Q38" s="117">
        <f t="shared" ref="Q38" si="10">M38-I38</f>
        <v>0.253</v>
      </c>
      <c r="R38" s="115"/>
      <c r="S38" s="117">
        <f t="shared" ref="S38" si="11">O38-K38</f>
        <v>0.253</v>
      </c>
      <c r="T38" s="45"/>
      <c r="U38" s="45"/>
      <c r="V38" s="45"/>
      <c r="W38" s="45"/>
      <c r="X38" s="45"/>
      <c r="Y38" s="45"/>
      <c r="Z38" s="45"/>
      <c r="AA38" s="45"/>
    </row>
    <row r="39" spans="1:27" s="176" customFormat="1" ht="18" customHeight="1" x14ac:dyDescent="0.2">
      <c r="A39" s="120"/>
      <c r="B39" s="44"/>
      <c r="C39" s="121"/>
      <c r="D39" s="113"/>
      <c r="E39" s="121"/>
      <c r="F39" s="113"/>
      <c r="G39" s="123"/>
      <c r="H39" s="115"/>
      <c r="I39" s="121"/>
      <c r="J39" s="115"/>
      <c r="K39" s="121"/>
      <c r="L39" s="113"/>
      <c r="M39" s="121"/>
      <c r="N39" s="115"/>
      <c r="O39" s="121"/>
      <c r="P39" s="113"/>
      <c r="Q39" s="123"/>
      <c r="R39" s="115"/>
      <c r="S39" s="123"/>
      <c r="T39" s="135"/>
      <c r="U39" s="135"/>
      <c r="V39" s="135"/>
      <c r="W39" s="135"/>
      <c r="X39" s="135"/>
      <c r="Y39" s="135"/>
      <c r="Z39" s="135"/>
      <c r="AA39" s="135"/>
    </row>
    <row r="40" spans="1:27" s="176" customFormat="1" ht="18" customHeight="1" x14ac:dyDescent="0.25">
      <c r="A40" s="126" t="s">
        <v>11</v>
      </c>
      <c r="B40" s="119"/>
      <c r="C40" s="122">
        <f>SUM(C31:C39)</f>
        <v>11.847</v>
      </c>
      <c r="D40" s="122"/>
      <c r="E40" s="122">
        <f>SUM(E31:E39)</f>
        <v>12.1</v>
      </c>
      <c r="F40" s="122"/>
      <c r="G40" s="122">
        <f>SUM(G31:G39)</f>
        <v>0.253</v>
      </c>
      <c r="H40" s="124"/>
      <c r="I40" s="122">
        <f>SUM(I31:I39)</f>
        <v>25.121000000000002</v>
      </c>
      <c r="J40" s="122"/>
      <c r="K40" s="122">
        <f>SUM(K31:K39)</f>
        <v>5.75</v>
      </c>
      <c r="L40" s="122"/>
      <c r="M40" s="122">
        <f>SUM(M31:M39)</f>
        <v>25.374000000000002</v>
      </c>
      <c r="N40" s="122"/>
      <c r="O40" s="122">
        <f>SUM(O31:O39)</f>
        <v>6.0030000000000001</v>
      </c>
      <c r="P40" s="122"/>
      <c r="Q40" s="122">
        <f>SUM(Q31:Q39)</f>
        <v>0.253</v>
      </c>
      <c r="R40" s="122"/>
      <c r="S40" s="122">
        <f>SUM(S31:S39)</f>
        <v>0.253</v>
      </c>
      <c r="T40" s="135"/>
      <c r="U40" s="135"/>
      <c r="V40" s="135"/>
      <c r="W40" s="135"/>
      <c r="X40" s="135"/>
      <c r="Y40" s="135"/>
      <c r="Z40" s="135"/>
      <c r="AA40" s="135"/>
    </row>
    <row r="41" spans="1:27" x14ac:dyDescent="0.2">
      <c r="A41" s="119" t="s">
        <v>58</v>
      </c>
      <c r="B41" s="119"/>
      <c r="C41" s="119"/>
      <c r="D41" s="119"/>
      <c r="E41" s="119"/>
      <c r="F41" s="119"/>
      <c r="G41" s="129">
        <f>+G40/C40</f>
        <v>2.1355617455896009E-2</v>
      </c>
      <c r="H41" s="119"/>
      <c r="I41" s="119"/>
      <c r="J41" s="119"/>
      <c r="K41" s="119"/>
      <c r="L41" s="119"/>
      <c r="M41" s="119"/>
      <c r="N41" s="119"/>
      <c r="O41" s="119"/>
      <c r="P41" s="119"/>
      <c r="Q41" s="129">
        <f>+Q40/I40</f>
        <v>1.0071255125194059E-2</v>
      </c>
      <c r="R41" s="119"/>
      <c r="S41" s="129">
        <f>+S40/K40</f>
        <v>4.3999999999999997E-2</v>
      </c>
      <c r="T41" s="44"/>
      <c r="U41" s="44"/>
      <c r="V41" s="44"/>
      <c r="W41" s="44"/>
      <c r="X41" s="44"/>
      <c r="Y41" s="44"/>
      <c r="Z41" s="44"/>
      <c r="AA41" s="44"/>
    </row>
    <row r="42" spans="1:27" ht="10.8" thickBot="1" x14ac:dyDescent="0.25">
      <c r="A42" s="130" t="s">
        <v>111</v>
      </c>
      <c r="B42" s="131"/>
      <c r="C42" s="134">
        <f>+C31+C33+C34+C35+C37+C38</f>
        <v>8.2749999999999986</v>
      </c>
      <c r="D42" s="134"/>
      <c r="E42" s="134">
        <f>+E31+E33+E34+E35+E37+E38</f>
        <v>8.5279999999999987</v>
      </c>
      <c r="F42" s="134"/>
      <c r="G42" s="134">
        <f>+E42-C42</f>
        <v>0.25300000000000011</v>
      </c>
      <c r="H42" s="134"/>
      <c r="I42" s="134">
        <f>+I31+I33+I34+I35+I37+I38</f>
        <v>20.591000000000001</v>
      </c>
      <c r="J42" s="134"/>
      <c r="K42" s="134">
        <f>+K31+K33+K34+K35+K37+K38</f>
        <v>2.6070000000000002</v>
      </c>
      <c r="L42" s="134"/>
      <c r="M42" s="134">
        <f>+M31+M33+M34+M35+M37+M38</f>
        <v>20.844000000000001</v>
      </c>
      <c r="N42" s="134"/>
      <c r="O42" s="134">
        <f>+O31+O33+O34+O35+O37+O38</f>
        <v>2.8600000000000003</v>
      </c>
      <c r="P42" s="134"/>
      <c r="Q42" s="134">
        <f>+M42-I42</f>
        <v>0.25300000000000011</v>
      </c>
      <c r="R42" s="134"/>
      <c r="S42" s="134">
        <f>+O42-K42</f>
        <v>0.25300000000000011</v>
      </c>
      <c r="T42" s="44"/>
      <c r="U42" s="44"/>
      <c r="V42" s="44"/>
      <c r="W42" s="44"/>
      <c r="X42" s="44"/>
      <c r="Y42" s="44"/>
      <c r="Z42" s="44"/>
      <c r="AA42" s="44"/>
    </row>
    <row r="43" spans="1:27" ht="10.8" thickTop="1" x14ac:dyDescent="0.2">
      <c r="A43" s="120"/>
      <c r="B43" s="119"/>
      <c r="C43" s="136"/>
      <c r="D43" s="136"/>
      <c r="E43" s="136"/>
      <c r="F43" s="135"/>
      <c r="G43" s="136"/>
      <c r="H43" s="137"/>
      <c r="I43" s="136"/>
      <c r="J43" s="136"/>
      <c r="K43" s="136"/>
      <c r="L43" s="135"/>
      <c r="M43" s="136"/>
      <c r="N43" s="136"/>
      <c r="O43" s="136"/>
      <c r="P43" s="135"/>
      <c r="Q43" s="136"/>
      <c r="R43" s="135"/>
      <c r="S43" s="136"/>
      <c r="T43" s="44"/>
      <c r="U43" s="44"/>
      <c r="V43" s="44"/>
      <c r="W43" s="44"/>
      <c r="X43" s="44"/>
      <c r="Y43" s="44"/>
      <c r="Z43" s="44"/>
      <c r="AA43" s="44"/>
    </row>
    <row r="44" spans="1:27" x14ac:dyDescent="0.2">
      <c r="A44" s="120"/>
      <c r="B44" s="119"/>
      <c r="C44" s="136"/>
      <c r="D44" s="136"/>
      <c r="E44" s="136"/>
      <c r="F44" s="135"/>
      <c r="G44" s="136"/>
      <c r="H44" s="137"/>
      <c r="I44" s="136"/>
      <c r="J44" s="136"/>
      <c r="K44" s="136"/>
      <c r="L44" s="135"/>
      <c r="M44" s="136"/>
      <c r="N44" s="136"/>
      <c r="O44" s="136"/>
      <c r="P44" s="135"/>
      <c r="Q44" s="136"/>
      <c r="R44" s="135"/>
      <c r="S44" s="136"/>
      <c r="T44" s="44"/>
      <c r="U44" s="44"/>
      <c r="V44" s="44"/>
      <c r="W44" s="44"/>
      <c r="X44" s="44"/>
      <c r="Y44" s="44"/>
      <c r="Z44" s="44"/>
      <c r="AA44" s="44"/>
    </row>
    <row r="45" spans="1:27" ht="16.5" customHeight="1" x14ac:dyDescent="0.2">
      <c r="A45" s="120"/>
      <c r="B45" s="119"/>
      <c r="C45" s="136"/>
      <c r="D45" s="136"/>
      <c r="E45" s="136"/>
      <c r="F45" s="135"/>
      <c r="G45" s="136"/>
      <c r="H45" s="137"/>
      <c r="I45" s="136"/>
      <c r="J45" s="136"/>
      <c r="K45" s="136"/>
      <c r="L45" s="135"/>
      <c r="M45" s="136"/>
      <c r="N45" s="136"/>
      <c r="O45" s="136"/>
      <c r="P45" s="135"/>
      <c r="Q45" s="136"/>
      <c r="R45" s="135"/>
      <c r="S45" s="136"/>
      <c r="T45" s="44"/>
      <c r="U45" s="44"/>
      <c r="V45" s="44"/>
      <c r="W45" s="44"/>
      <c r="X45" s="44"/>
      <c r="Y45" s="44"/>
      <c r="Z45" s="44"/>
      <c r="AA45" s="44"/>
    </row>
    <row r="46" spans="1:27" x14ac:dyDescent="0.2">
      <c r="A46" s="101"/>
      <c r="B46" s="101"/>
      <c r="C46" s="140" t="s">
        <v>14</v>
      </c>
      <c r="D46" s="140"/>
      <c r="E46" s="140"/>
      <c r="F46" s="140"/>
      <c r="G46" s="140"/>
      <c r="H46" s="139"/>
      <c r="I46" s="140" t="s">
        <v>15</v>
      </c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44"/>
      <c r="U46" s="44"/>
      <c r="V46" s="44"/>
      <c r="W46" s="44"/>
      <c r="X46" s="44"/>
      <c r="Y46" s="44"/>
      <c r="Z46" s="44"/>
      <c r="AA46" s="44"/>
    </row>
    <row r="47" spans="1:27" ht="20.25" customHeight="1" x14ac:dyDescent="0.2">
      <c r="A47" s="101"/>
      <c r="B47" s="101"/>
      <c r="C47" s="139"/>
      <c r="D47" s="139"/>
      <c r="E47" s="139"/>
      <c r="F47" s="139"/>
      <c r="G47" s="139"/>
      <c r="H47" s="139"/>
      <c r="I47" s="105" t="s">
        <v>2</v>
      </c>
      <c r="J47" s="105"/>
      <c r="K47" s="105"/>
      <c r="L47" s="106"/>
      <c r="M47" s="105" t="s">
        <v>3</v>
      </c>
      <c r="N47" s="105"/>
      <c r="O47" s="105"/>
      <c r="P47" s="106"/>
      <c r="Q47" s="169" t="s">
        <v>4</v>
      </c>
      <c r="R47" s="169"/>
      <c r="S47" s="169"/>
      <c r="T47" s="44"/>
      <c r="U47" s="44"/>
      <c r="V47" s="44"/>
      <c r="W47" s="44"/>
      <c r="X47" s="44"/>
      <c r="Y47" s="44"/>
      <c r="Z47" s="44"/>
      <c r="AA47" s="44"/>
    </row>
    <row r="48" spans="1:27" ht="10.8" thickBot="1" x14ac:dyDescent="0.25">
      <c r="A48" s="107"/>
      <c r="B48" s="107"/>
      <c r="C48" s="141" t="s">
        <v>2</v>
      </c>
      <c r="D48" s="142"/>
      <c r="E48" s="141" t="s">
        <v>3</v>
      </c>
      <c r="F48" s="142"/>
      <c r="G48" s="142" t="s">
        <v>4</v>
      </c>
      <c r="H48" s="139"/>
      <c r="I48" s="143" t="s">
        <v>5</v>
      </c>
      <c r="J48" s="142"/>
      <c r="K48" s="143" t="s">
        <v>6</v>
      </c>
      <c r="L48" s="142"/>
      <c r="M48" s="143" t="s">
        <v>5</v>
      </c>
      <c r="N48" s="142"/>
      <c r="O48" s="143" t="s">
        <v>6</v>
      </c>
      <c r="P48" s="142"/>
      <c r="Q48" s="143" t="s">
        <v>5</v>
      </c>
      <c r="R48" s="142"/>
      <c r="S48" s="143" t="s">
        <v>6</v>
      </c>
      <c r="T48" s="44"/>
      <c r="U48" s="44"/>
      <c r="V48" s="44"/>
      <c r="W48" s="44"/>
      <c r="X48" s="44"/>
      <c r="Y48" s="44"/>
      <c r="Z48" s="45"/>
      <c r="AA48" s="44"/>
    </row>
    <row r="49" spans="1:27" ht="10.8" thickTop="1" x14ac:dyDescent="0.2">
      <c r="A49" s="44" t="s">
        <v>7</v>
      </c>
      <c r="B49" s="44"/>
      <c r="C49" s="144">
        <f>'[1]Base Rates'!$I$115</f>
        <v>2.7969999999999997</v>
      </c>
      <c r="D49" s="144"/>
      <c r="E49" s="144">
        <f>'[1]Base Rates'!$L$115</f>
        <v>2.7969999999999997</v>
      </c>
      <c r="F49" s="144"/>
      <c r="G49" s="144">
        <f t="shared" ref="G49:G54" si="12">E49-C49</f>
        <v>0</v>
      </c>
      <c r="H49" s="144"/>
      <c r="I49" s="144">
        <f>'[1]Base Rates'!$I$116</f>
        <v>6.0889999999999995</v>
      </c>
      <c r="J49" s="144"/>
      <c r="K49" s="144">
        <f>'[1]Base Rates'!$I$117</f>
        <v>1.0210000000000001</v>
      </c>
      <c r="L49" s="144"/>
      <c r="M49" s="144">
        <f>'[1]Base Rates'!$L$116</f>
        <v>6.0889999999999995</v>
      </c>
      <c r="N49" s="144"/>
      <c r="O49" s="144">
        <f>'[1]Base Rates'!$L$117</f>
        <v>1.0210000000000001</v>
      </c>
      <c r="P49" s="144"/>
      <c r="Q49" s="144">
        <f t="shared" ref="Q49:Q54" si="13">M49-I49</f>
        <v>0</v>
      </c>
      <c r="R49" s="144"/>
      <c r="S49" s="144">
        <f t="shared" ref="S49:S54" si="14">O49-K49</f>
        <v>0</v>
      </c>
      <c r="T49" s="44"/>
      <c r="U49" s="44"/>
      <c r="V49" s="44"/>
      <c r="W49" s="44"/>
      <c r="X49" s="44"/>
      <c r="Y49" s="44"/>
      <c r="Z49" s="44"/>
      <c r="AA49" s="44"/>
    </row>
    <row r="50" spans="1:27" x14ac:dyDescent="0.2">
      <c r="A50" s="44" t="s">
        <v>8</v>
      </c>
      <c r="B50" s="44"/>
      <c r="C50" s="144">
        <f>'[1]BA-1 Rates Current_Prior'!$B$18</f>
        <v>3.35</v>
      </c>
      <c r="D50" s="144"/>
      <c r="E50" s="144">
        <f>'[1]BA-1 Rates Proposed_Approved'!$B$18</f>
        <v>3.35</v>
      </c>
      <c r="F50" s="144"/>
      <c r="G50" s="144">
        <f t="shared" si="12"/>
        <v>0</v>
      </c>
      <c r="H50" s="144"/>
      <c r="I50" s="144">
        <f>'[1]BA-1 Rates Current_Prior'!$C$18</f>
        <v>4.3079999999999998</v>
      </c>
      <c r="J50" s="144"/>
      <c r="K50" s="144">
        <f>'[1]BA-1 Rates Current_Prior'!$D$18</f>
        <v>2.9209999999999998</v>
      </c>
      <c r="L50" s="144"/>
      <c r="M50" s="144">
        <f>'[1]BA-1 Rates Proposed_Approved'!$C$18</f>
        <v>4.3079999999999998</v>
      </c>
      <c r="N50" s="144"/>
      <c r="O50" s="144">
        <f>'[1]BA-1 Rates Proposed_Approved'!$D$18</f>
        <v>2.9209999999999998</v>
      </c>
      <c r="P50" s="144"/>
      <c r="Q50" s="144">
        <f t="shared" si="13"/>
        <v>0</v>
      </c>
      <c r="R50" s="144"/>
      <c r="S50" s="144">
        <f t="shared" si="14"/>
        <v>0</v>
      </c>
      <c r="T50" s="44"/>
      <c r="U50" s="44"/>
      <c r="V50" s="44"/>
      <c r="W50" s="44"/>
      <c r="X50" s="44"/>
      <c r="Y50" s="44"/>
      <c r="Z50" s="44"/>
      <c r="AA50" s="44"/>
    </row>
    <row r="51" spans="1:27" x14ac:dyDescent="0.2">
      <c r="A51" s="44" t="s">
        <v>10</v>
      </c>
      <c r="B51" s="44"/>
      <c r="C51" s="144"/>
      <c r="D51" s="144"/>
      <c r="E51" s="44"/>
      <c r="F51" s="144"/>
      <c r="G51" s="144"/>
      <c r="H51" s="144"/>
      <c r="I51" s="144"/>
      <c r="J51" s="144"/>
      <c r="K51" s="144"/>
      <c r="L51" s="144"/>
      <c r="M51" s="44"/>
      <c r="N51" s="44"/>
      <c r="O51" s="44"/>
      <c r="P51" s="144"/>
      <c r="Q51" s="144"/>
      <c r="R51" s="144"/>
      <c r="S51" s="144"/>
      <c r="T51" s="44"/>
      <c r="U51" s="44"/>
      <c r="V51" s="44"/>
      <c r="W51" s="44"/>
      <c r="X51" s="44"/>
      <c r="Y51" s="44"/>
      <c r="Z51" s="46"/>
      <c r="AA51" s="44"/>
    </row>
    <row r="52" spans="1:27" x14ac:dyDescent="0.2">
      <c r="A52" s="44" t="s">
        <v>9</v>
      </c>
      <c r="B52" s="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44"/>
      <c r="U52" s="44"/>
      <c r="V52" s="44"/>
      <c r="W52" s="44"/>
      <c r="X52" s="44"/>
      <c r="Y52" s="44"/>
      <c r="Z52" s="44"/>
      <c r="AA52" s="44"/>
    </row>
    <row r="53" spans="1:27" x14ac:dyDescent="0.2">
      <c r="A53" s="116" t="s">
        <v>23</v>
      </c>
      <c r="B53" s="116"/>
      <c r="C53" s="144">
        <f>'[1]BA-1 Rates Current_Prior'!$I$18</f>
        <v>7.5999999999999998E-2</v>
      </c>
      <c r="D53" s="144"/>
      <c r="E53" s="144">
        <f>'[1]BA-1 Rates Proposed_Approved'!$I$18</f>
        <v>7.5999999999999998E-2</v>
      </c>
      <c r="F53" s="144"/>
      <c r="G53" s="144">
        <f t="shared" si="12"/>
        <v>0</v>
      </c>
      <c r="H53" s="144"/>
      <c r="I53" s="144">
        <f>'[1]BA-1 Rates Current_Prior'!$I$18</f>
        <v>7.5999999999999998E-2</v>
      </c>
      <c r="J53" s="144"/>
      <c r="K53" s="144">
        <f>'[1]BA-1 Rates Current_Prior'!$I$18</f>
        <v>7.5999999999999998E-2</v>
      </c>
      <c r="L53" s="144"/>
      <c r="M53" s="144">
        <f>'[1]BA-1 Rates Proposed_Approved'!$I$18</f>
        <v>7.5999999999999998E-2</v>
      </c>
      <c r="N53" s="144"/>
      <c r="O53" s="144">
        <f>'[1]BA-1 Rates Proposed_Approved'!$I$18</f>
        <v>7.5999999999999998E-2</v>
      </c>
      <c r="P53" s="144"/>
      <c r="Q53" s="144">
        <f t="shared" si="13"/>
        <v>0</v>
      </c>
      <c r="R53" s="144"/>
      <c r="S53" s="144">
        <f t="shared" si="14"/>
        <v>0</v>
      </c>
      <c r="T53" s="44"/>
      <c r="U53" s="44"/>
      <c r="V53" s="44"/>
      <c r="W53" s="44"/>
      <c r="X53" s="44"/>
      <c r="Y53" s="44"/>
      <c r="Z53" s="44"/>
      <c r="AA53" s="44"/>
    </row>
    <row r="54" spans="1:27" x14ac:dyDescent="0.2">
      <c r="A54" s="44" t="s">
        <v>110</v>
      </c>
      <c r="B54" s="44"/>
      <c r="C54" s="144">
        <f>'[1]BA-1 Rates Current_Prior'!$J$18</f>
        <v>0.17499999999999999</v>
      </c>
      <c r="D54" s="144"/>
      <c r="E54" s="145">
        <f>'[1]BA-1 Rates Proposed_Approved'!$J$18</f>
        <v>0.17499999999999999</v>
      </c>
      <c r="F54" s="144"/>
      <c r="G54" s="144">
        <f t="shared" si="12"/>
        <v>0</v>
      </c>
      <c r="H54" s="144"/>
      <c r="I54" s="144">
        <f>'[1]BA-1 Rates Current_Prior'!$J$18</f>
        <v>0.17499999999999999</v>
      </c>
      <c r="J54" s="144"/>
      <c r="K54" s="144">
        <f>'[1]BA-1 Rates Current_Prior'!$J$18</f>
        <v>0.17499999999999999</v>
      </c>
      <c r="L54" s="144"/>
      <c r="M54" s="145">
        <f>'[1]BA-1 Rates Proposed_Approved'!$J$18</f>
        <v>0.17499999999999999</v>
      </c>
      <c r="N54" s="145"/>
      <c r="O54" s="145">
        <f>'[1]BA-1 Rates Proposed_Approved'!$J$18</f>
        <v>0.17499999999999999</v>
      </c>
      <c r="P54" s="144"/>
      <c r="Q54" s="144">
        <f t="shared" si="13"/>
        <v>0</v>
      </c>
      <c r="R54" s="144"/>
      <c r="S54" s="144">
        <f t="shared" si="14"/>
        <v>0</v>
      </c>
      <c r="T54" s="44"/>
      <c r="U54" s="44"/>
      <c r="V54" s="44"/>
      <c r="W54" s="44"/>
      <c r="X54" s="44"/>
      <c r="Y54" s="44"/>
      <c r="Z54" s="44"/>
      <c r="AA54" s="44"/>
    </row>
    <row r="55" spans="1:27" x14ac:dyDescent="0.2">
      <c r="A55" s="44" t="s">
        <v>124</v>
      </c>
      <c r="B55" s="44"/>
      <c r="C55" s="115">
        <f>'[1]BA-1 Rates Current_Prior'!$K$18</f>
        <v>0</v>
      </c>
      <c r="D55" s="115"/>
      <c r="E55" s="115">
        <f>'[1]BA-1 Rates Proposed_Approved'!$K$18</f>
        <v>0</v>
      </c>
      <c r="F55" s="115"/>
      <c r="G55" s="117">
        <f t="shared" ref="G55" si="15">E55-C55</f>
        <v>0</v>
      </c>
      <c r="H55" s="115"/>
      <c r="I55" s="115">
        <f>'[1]BA-1 Rates Current_Prior'!$K$18</f>
        <v>0</v>
      </c>
      <c r="J55" s="115"/>
      <c r="K55" s="115">
        <f>'[1]BA-1 Rates Current_Prior'!$K$18</f>
        <v>0</v>
      </c>
      <c r="L55" s="115"/>
      <c r="M55" s="115">
        <f>'[1]BA-1 Rates Proposed_Approved'!$K$18</f>
        <v>0</v>
      </c>
      <c r="N55" s="113"/>
      <c r="O55" s="115">
        <f>'[1]BA-1 Rates Proposed_Approved'!$K$18</f>
        <v>0</v>
      </c>
      <c r="P55" s="115"/>
      <c r="Q55" s="117">
        <f t="shared" ref="Q55" si="16">M55-I55</f>
        <v>0</v>
      </c>
      <c r="R55" s="115"/>
      <c r="S55" s="117">
        <f t="shared" ref="S55" si="17">O55-K55</f>
        <v>0</v>
      </c>
      <c r="T55" s="45" t="s">
        <v>16</v>
      </c>
      <c r="U55" s="45" t="e">
        <f>S58/(-Q58+S58)</f>
        <v>#DIV/0!</v>
      </c>
      <c r="V55" s="45"/>
      <c r="W55" s="45"/>
      <c r="X55" s="45"/>
      <c r="Y55" s="45"/>
      <c r="Z55" s="45"/>
      <c r="AA55" s="45"/>
    </row>
    <row r="56" spans="1:27" x14ac:dyDescent="0.2">
      <c r="A56" s="44" t="s">
        <v>130</v>
      </c>
      <c r="B56" s="44"/>
      <c r="C56" s="115">
        <f>'[1]BA-1 Rates Current_Prior'!$L$18</f>
        <v>1.7000000000000001E-2</v>
      </c>
      <c r="D56" s="115"/>
      <c r="E56" s="115">
        <f>'[1]BA-1 Rates Proposed_Approved'!$L$18</f>
        <v>0.20100000000000001</v>
      </c>
      <c r="F56" s="115"/>
      <c r="G56" s="117">
        <f t="shared" ref="G56" si="18">E56-C56</f>
        <v>0.184</v>
      </c>
      <c r="H56" s="115"/>
      <c r="I56" s="115">
        <f>'[1]BA-1 Rates Current_Prior'!$L$18</f>
        <v>1.7000000000000001E-2</v>
      </c>
      <c r="J56" s="115"/>
      <c r="K56" s="115">
        <f>'[1]BA-1 Rates Current_Prior'!$L$18</f>
        <v>1.7000000000000001E-2</v>
      </c>
      <c r="L56" s="115"/>
      <c r="M56" s="115">
        <f>'[1]BA-1 Rates Proposed_Approved'!$L$18</f>
        <v>0.20100000000000001</v>
      </c>
      <c r="N56" s="113"/>
      <c r="O56" s="115">
        <f>'[1]BA-1 Rates Proposed_Approved'!$L$18</f>
        <v>0.20100000000000001</v>
      </c>
      <c r="P56" s="115"/>
      <c r="Q56" s="117">
        <f t="shared" ref="Q56" si="19">M56-I56</f>
        <v>0.184</v>
      </c>
      <c r="R56" s="115"/>
      <c r="S56" s="117">
        <f t="shared" ref="S56" si="20">O56-K56</f>
        <v>0.184</v>
      </c>
      <c r="T56" s="45" t="s">
        <v>16</v>
      </c>
      <c r="U56" s="45">
        <f>S59/(-Q59+S59)</f>
        <v>1.6522075910147174</v>
      </c>
      <c r="V56" s="45"/>
      <c r="W56" s="45"/>
      <c r="X56" s="45"/>
      <c r="Y56" s="45"/>
      <c r="Z56" s="45"/>
      <c r="AA56" s="45"/>
    </row>
    <row r="57" spans="1:27" s="176" customFormat="1" ht="18" customHeight="1" x14ac:dyDescent="0.2">
      <c r="A57" s="120"/>
      <c r="B57" s="44"/>
      <c r="C57" s="146"/>
      <c r="D57" s="144"/>
      <c r="E57" s="146"/>
      <c r="F57" s="144"/>
      <c r="G57" s="147"/>
      <c r="H57" s="144"/>
      <c r="I57" s="146"/>
      <c r="J57" s="144"/>
      <c r="K57" s="146"/>
      <c r="L57" s="144"/>
      <c r="M57" s="146"/>
      <c r="N57" s="145"/>
      <c r="O57" s="146"/>
      <c r="P57" s="144"/>
      <c r="Q57" s="147"/>
      <c r="R57" s="144"/>
      <c r="S57" s="147"/>
      <c r="T57" s="120"/>
      <c r="U57" s="148"/>
      <c r="V57" s="119"/>
      <c r="W57" s="119"/>
      <c r="X57" s="119"/>
      <c r="Y57" s="119"/>
      <c r="Z57" s="119"/>
      <c r="AA57" s="119"/>
    </row>
    <row r="58" spans="1:27" x14ac:dyDescent="0.2">
      <c r="A58" s="126" t="s">
        <v>11</v>
      </c>
      <c r="B58" s="119"/>
      <c r="C58" s="148">
        <f>SUM(C49:C57)</f>
        <v>6.415</v>
      </c>
      <c r="D58" s="148"/>
      <c r="E58" s="148">
        <f>SUM(E49:E57)</f>
        <v>6.5989999999999993</v>
      </c>
      <c r="F58" s="148"/>
      <c r="G58" s="148">
        <f>SUM(G49:G57)</f>
        <v>0.184</v>
      </c>
      <c r="H58" s="148"/>
      <c r="I58" s="148">
        <f>SUM(I49:I57)</f>
        <v>10.664999999999999</v>
      </c>
      <c r="J58" s="148"/>
      <c r="K58" s="148">
        <f>SUM(K49:K57)</f>
        <v>4.21</v>
      </c>
      <c r="L58" s="148"/>
      <c r="M58" s="148">
        <f>SUM(M49:M57)</f>
        <v>10.849</v>
      </c>
      <c r="N58" s="148"/>
      <c r="O58" s="148">
        <f>SUM(O49:O57)</f>
        <v>4.3939999999999992</v>
      </c>
      <c r="P58" s="148"/>
      <c r="Q58" s="148">
        <f>SUM(Q49:Q57)</f>
        <v>0.184</v>
      </c>
      <c r="R58" s="148"/>
      <c r="S58" s="148">
        <f>SUM(S49:S57)</f>
        <v>0.184</v>
      </c>
      <c r="T58" s="44"/>
      <c r="U58" s="44"/>
      <c r="V58" s="44"/>
      <c r="W58" s="44"/>
      <c r="X58" s="44"/>
      <c r="Y58" s="44"/>
      <c r="Z58" s="44"/>
      <c r="AA58" s="44"/>
    </row>
    <row r="59" spans="1:27" x14ac:dyDescent="0.2">
      <c r="A59" s="119" t="s">
        <v>58</v>
      </c>
      <c r="B59" s="119"/>
      <c r="C59" s="119"/>
      <c r="D59" s="119"/>
      <c r="E59" s="119"/>
      <c r="F59" s="119"/>
      <c r="G59" s="129">
        <f>+G58/C58</f>
        <v>2.8682774746687449E-2</v>
      </c>
      <c r="H59" s="119"/>
      <c r="I59" s="119"/>
      <c r="J59" s="119"/>
      <c r="K59" s="119"/>
      <c r="L59" s="119"/>
      <c r="M59" s="119"/>
      <c r="N59" s="119"/>
      <c r="O59" s="119"/>
      <c r="P59" s="119"/>
      <c r="Q59" s="129">
        <f>+Q58/I58</f>
        <v>1.7252695733708395E-2</v>
      </c>
      <c r="R59" s="119"/>
      <c r="S59" s="129">
        <f>+S58/K58</f>
        <v>4.3705463182897863E-2</v>
      </c>
      <c r="T59" s="44"/>
      <c r="U59" s="44"/>
      <c r="V59" s="44"/>
      <c r="W59" s="44"/>
      <c r="X59" s="44"/>
      <c r="Y59" s="44"/>
      <c r="Z59" s="44"/>
      <c r="AA59" s="44"/>
    </row>
    <row r="60" spans="1:27" ht="10.8" thickBot="1" x14ac:dyDescent="0.25">
      <c r="A60" s="130" t="s">
        <v>111</v>
      </c>
      <c r="B60" s="131"/>
      <c r="C60" s="134">
        <f>+C49+C51+C52+C53+C55+C56</f>
        <v>2.8899999999999997</v>
      </c>
      <c r="D60" s="134"/>
      <c r="E60" s="134">
        <f>+E49+E51+E52+E53+E55+E56</f>
        <v>3.0739999999999998</v>
      </c>
      <c r="F60" s="134"/>
      <c r="G60" s="134">
        <f>+E60-C60</f>
        <v>0.18400000000000016</v>
      </c>
      <c r="H60" s="134"/>
      <c r="I60" s="134">
        <f>+I49+I51+I52+I53+I55+I56</f>
        <v>6.1819999999999995</v>
      </c>
      <c r="J60" s="134"/>
      <c r="K60" s="134">
        <f>+K49+K51+K52+K53+K55+K56</f>
        <v>1.1140000000000001</v>
      </c>
      <c r="L60" s="134"/>
      <c r="M60" s="134">
        <f>+M49+M51+M52+M53+M55+M56</f>
        <v>6.3659999999999988</v>
      </c>
      <c r="N60" s="134"/>
      <c r="O60" s="134">
        <f>+O49+O51+O52+O53+O55+O56</f>
        <v>1.2980000000000003</v>
      </c>
      <c r="P60" s="134"/>
      <c r="Q60" s="134">
        <f>+M60-I60</f>
        <v>0.18399999999999928</v>
      </c>
      <c r="R60" s="134"/>
      <c r="S60" s="134">
        <f>+O60-K60</f>
        <v>0.18400000000000016</v>
      </c>
      <c r="T60" s="44"/>
      <c r="U60" s="44"/>
      <c r="V60" s="44"/>
      <c r="W60" s="44"/>
      <c r="X60" s="44"/>
      <c r="Y60" s="44"/>
      <c r="Z60" s="44"/>
      <c r="AA60" s="44"/>
    </row>
    <row r="61" spans="1:27" ht="10.8" thickTop="1" x14ac:dyDescent="0.2">
      <c r="A61" s="120" t="s">
        <v>105</v>
      </c>
      <c r="B61" s="119"/>
      <c r="C61" s="149"/>
      <c r="D61" s="149"/>
      <c r="E61" s="150">
        <f>+'[1]Base Rates'!$L$102</f>
        <v>6.2700000000000014</v>
      </c>
      <c r="F61" s="150"/>
      <c r="G61" s="150"/>
      <c r="H61" s="150"/>
      <c r="I61" s="150"/>
      <c r="J61" s="150"/>
      <c r="K61" s="150"/>
      <c r="L61" s="150"/>
      <c r="M61" s="151">
        <f>+'[1]Base Rates'!$L$106</f>
        <v>4.67</v>
      </c>
      <c r="N61" s="151"/>
      <c r="O61" s="151">
        <f>+'[1]Base Rates'!$L$105</f>
        <v>1.56</v>
      </c>
      <c r="P61" s="152"/>
      <c r="Q61" s="153"/>
      <c r="R61" s="152"/>
      <c r="S61" s="153"/>
      <c r="T61" s="44"/>
      <c r="U61" s="44"/>
      <c r="V61" s="44"/>
      <c r="W61" s="44"/>
      <c r="X61" s="44"/>
      <c r="Y61" s="44"/>
      <c r="Z61" s="44"/>
      <c r="AA61" s="44"/>
    </row>
    <row r="62" spans="1:27" x14ac:dyDescent="0.2">
      <c r="A62" s="120" t="s">
        <v>109</v>
      </c>
      <c r="B62" s="119"/>
      <c r="C62" s="149"/>
      <c r="D62" s="149"/>
      <c r="E62" s="154">
        <f>'[1]BA-1 Rates Proposed_Approved'!$F$18+'[1]BA-1 Rates Proposed_Approved'!$H$18</f>
        <v>4.6900000000000004</v>
      </c>
      <c r="F62" s="150"/>
      <c r="G62" s="150"/>
      <c r="H62" s="150"/>
      <c r="I62" s="150"/>
      <c r="J62" s="150"/>
      <c r="K62" s="150"/>
      <c r="L62" s="150"/>
      <c r="M62" s="155">
        <v>0</v>
      </c>
      <c r="N62" s="155"/>
      <c r="O62" s="155">
        <f>'[1]BA-1 Rates Proposed_Approved'!$F$18+'[1]BA-1 Rates Proposed_Approved'!$H$18</f>
        <v>4.6900000000000004</v>
      </c>
      <c r="P62" s="152"/>
      <c r="Q62" s="153"/>
      <c r="R62" s="152"/>
      <c r="S62" s="153"/>
      <c r="T62" s="44"/>
      <c r="U62" s="44"/>
      <c r="V62" s="44"/>
      <c r="W62" s="44"/>
      <c r="X62" s="44"/>
      <c r="Y62" s="44"/>
      <c r="Z62" s="44"/>
      <c r="AA62" s="44"/>
    </row>
    <row r="63" spans="1:27" x14ac:dyDescent="0.2">
      <c r="A63" s="120" t="s">
        <v>106</v>
      </c>
      <c r="B63" s="119"/>
      <c r="C63" s="149"/>
      <c r="D63" s="149"/>
      <c r="E63" s="150">
        <f>E61+E62</f>
        <v>10.96</v>
      </c>
      <c r="F63" s="150"/>
      <c r="G63" s="150"/>
      <c r="H63" s="150"/>
      <c r="I63" s="150"/>
      <c r="J63" s="150"/>
      <c r="K63" s="150"/>
      <c r="L63" s="150"/>
      <c r="M63" s="151">
        <f>M61+M62</f>
        <v>4.67</v>
      </c>
      <c r="N63" s="151"/>
      <c r="O63" s="151">
        <f>O61+O62</f>
        <v>6.25</v>
      </c>
      <c r="P63" s="152"/>
      <c r="Q63" s="153"/>
      <c r="R63" s="152"/>
      <c r="S63" s="153"/>
      <c r="T63" s="44"/>
      <c r="U63" s="44"/>
      <c r="V63" s="44"/>
      <c r="W63" s="44"/>
      <c r="X63" s="44"/>
      <c r="Y63" s="44"/>
      <c r="Z63" s="44"/>
      <c r="AA63" s="44"/>
    </row>
    <row r="64" spans="1:27" ht="16.5" customHeight="1" x14ac:dyDescent="0.2">
      <c r="A64" s="120"/>
      <c r="B64" s="119"/>
      <c r="C64" s="149"/>
      <c r="D64" s="149"/>
      <c r="E64" s="150"/>
      <c r="F64" s="150"/>
      <c r="G64" s="150"/>
      <c r="H64" s="150"/>
      <c r="I64" s="150"/>
      <c r="J64" s="150"/>
      <c r="K64" s="150"/>
      <c r="L64" s="150"/>
      <c r="M64" s="151"/>
      <c r="N64" s="151"/>
      <c r="O64" s="151"/>
      <c r="P64" s="152"/>
      <c r="Q64" s="153"/>
      <c r="R64" s="152"/>
      <c r="S64" s="153"/>
      <c r="T64" s="44"/>
      <c r="U64" s="44"/>
      <c r="V64" s="44"/>
      <c r="W64" s="44"/>
      <c r="X64" s="44"/>
      <c r="Y64" s="44"/>
      <c r="Z64" s="44"/>
      <c r="AA64" s="44"/>
    </row>
    <row r="65" spans="1:27" x14ac:dyDescent="0.2">
      <c r="A65" s="120"/>
      <c r="B65" s="119"/>
      <c r="C65" s="149"/>
      <c r="D65" s="149"/>
      <c r="E65" s="149"/>
      <c r="F65" s="137"/>
      <c r="G65" s="149"/>
      <c r="H65" s="137"/>
      <c r="I65" s="149"/>
      <c r="J65" s="149"/>
      <c r="K65" s="149"/>
      <c r="L65" s="137"/>
      <c r="M65" s="149"/>
      <c r="N65" s="149"/>
      <c r="O65" s="149"/>
      <c r="P65" s="137"/>
      <c r="Q65" s="149"/>
      <c r="R65" s="137"/>
      <c r="S65" s="149"/>
      <c r="T65" s="44"/>
      <c r="U65" s="44"/>
      <c r="V65" s="44"/>
      <c r="W65" s="44"/>
      <c r="X65" s="44"/>
      <c r="Y65" s="44"/>
      <c r="Z65" s="44"/>
      <c r="AA65" s="44"/>
    </row>
    <row r="66" spans="1:27" ht="20.25" customHeight="1" x14ac:dyDescent="0.2">
      <c r="A66" s="101"/>
      <c r="B66" s="101"/>
      <c r="C66" s="171" t="s">
        <v>17</v>
      </c>
      <c r="D66" s="171"/>
      <c r="E66" s="171"/>
      <c r="F66" s="171"/>
      <c r="G66" s="171"/>
      <c r="H66" s="139"/>
      <c r="I66" s="171" t="s">
        <v>18</v>
      </c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44"/>
      <c r="U66" s="44"/>
      <c r="V66" s="44"/>
      <c r="W66" s="44"/>
      <c r="X66" s="44"/>
      <c r="Y66" s="44"/>
      <c r="Z66" s="44"/>
      <c r="AA66" s="44"/>
    </row>
    <row r="67" spans="1:27" x14ac:dyDescent="0.2">
      <c r="A67" s="101"/>
      <c r="B67" s="101"/>
      <c r="C67" s="139"/>
      <c r="D67" s="139"/>
      <c r="E67" s="139"/>
      <c r="F67" s="139"/>
      <c r="G67" s="139"/>
      <c r="H67" s="139"/>
      <c r="I67" s="140" t="s">
        <v>2</v>
      </c>
      <c r="J67" s="140"/>
      <c r="K67" s="140"/>
      <c r="L67" s="106"/>
      <c r="M67" s="140" t="s">
        <v>3</v>
      </c>
      <c r="N67" s="140"/>
      <c r="O67" s="140"/>
      <c r="P67" s="106"/>
      <c r="Q67" s="171" t="s">
        <v>4</v>
      </c>
      <c r="R67" s="171"/>
      <c r="S67" s="171"/>
      <c r="T67" s="44"/>
      <c r="U67" s="44"/>
      <c r="V67" s="44"/>
      <c r="W67" s="44"/>
      <c r="X67" s="44"/>
      <c r="Y67" s="44"/>
      <c r="Z67" s="44"/>
      <c r="AA67" s="44"/>
    </row>
    <row r="68" spans="1:27" ht="10.8" thickBot="1" x14ac:dyDescent="0.25">
      <c r="A68" s="107"/>
      <c r="B68" s="107"/>
      <c r="C68" s="141" t="s">
        <v>2</v>
      </c>
      <c r="D68" s="142"/>
      <c r="E68" s="141" t="s">
        <v>3</v>
      </c>
      <c r="F68" s="142"/>
      <c r="G68" s="142" t="s">
        <v>4</v>
      </c>
      <c r="H68" s="139"/>
      <c r="I68" s="143" t="s">
        <v>5</v>
      </c>
      <c r="J68" s="142"/>
      <c r="K68" s="143" t="s">
        <v>6</v>
      </c>
      <c r="L68" s="142"/>
      <c r="M68" s="143" t="s">
        <v>5</v>
      </c>
      <c r="N68" s="142"/>
      <c r="O68" s="143" t="s">
        <v>6</v>
      </c>
      <c r="P68" s="142"/>
      <c r="Q68" s="143" t="s">
        <v>5</v>
      </c>
      <c r="R68" s="142"/>
      <c r="S68" s="143" t="s">
        <v>6</v>
      </c>
      <c r="T68" s="44"/>
      <c r="U68" s="44"/>
      <c r="V68" s="44"/>
      <c r="W68" s="44"/>
      <c r="X68" s="44"/>
      <c r="Y68" s="44"/>
      <c r="Z68" s="44"/>
      <c r="AA68" s="44"/>
    </row>
    <row r="69" spans="1:27" ht="10.8" thickTop="1" x14ac:dyDescent="0.2">
      <c r="A69" s="44" t="s">
        <v>7</v>
      </c>
      <c r="B69" s="44"/>
      <c r="C69" s="144">
        <f>'[1]Base Rates'!$I$188</f>
        <v>1.839</v>
      </c>
      <c r="D69" s="144"/>
      <c r="E69" s="144">
        <f>'[1]Base Rates'!$L$188</f>
        <v>1.839</v>
      </c>
      <c r="F69" s="144"/>
      <c r="G69" s="144">
        <f t="shared" ref="G69:G74" si="21">E69-C69</f>
        <v>0</v>
      </c>
      <c r="H69" s="156"/>
      <c r="I69" s="144">
        <f>'[1]Base Rates'!$I$189</f>
        <v>3.3730000000000002</v>
      </c>
      <c r="J69" s="144"/>
      <c r="K69" s="144">
        <f>'[1]Base Rates'!$I$190</f>
        <v>1.014</v>
      </c>
      <c r="L69" s="144"/>
      <c r="M69" s="144">
        <f>'[1]Base Rates'!$L$189</f>
        <v>3.3730000000000002</v>
      </c>
      <c r="N69" s="144"/>
      <c r="O69" s="144">
        <f>'[1]Base Rates'!$L$190</f>
        <v>1.014</v>
      </c>
      <c r="P69" s="144"/>
      <c r="Q69" s="144">
        <f t="shared" ref="Q69:Q74" si="22">M69-I69</f>
        <v>0</v>
      </c>
      <c r="R69" s="144"/>
      <c r="S69" s="144">
        <f t="shared" ref="S69:S74" si="23">O69-K69</f>
        <v>0</v>
      </c>
      <c r="T69" s="44"/>
      <c r="U69" s="44"/>
      <c r="V69" s="44"/>
      <c r="W69" s="44"/>
      <c r="X69" s="44"/>
      <c r="Y69" s="44"/>
      <c r="Z69" s="44"/>
      <c r="AA69" s="44"/>
    </row>
    <row r="70" spans="1:27" x14ac:dyDescent="0.2">
      <c r="A70" s="44" t="s">
        <v>8</v>
      </c>
      <c r="B70" s="44"/>
      <c r="C70" s="144">
        <f>'[1]BA-1 Rates Current_Prior'!$B$23</f>
        <v>3.35</v>
      </c>
      <c r="D70" s="144"/>
      <c r="E70" s="144">
        <f>'[1]BA-1 Rates Proposed_Approved'!$B$23</f>
        <v>3.35</v>
      </c>
      <c r="F70" s="144"/>
      <c r="G70" s="144">
        <f t="shared" si="21"/>
        <v>0</v>
      </c>
      <c r="H70" s="156"/>
      <c r="I70" s="144">
        <f>'[1]BA-1 Rates Current_Prior'!$C$23</f>
        <v>4.3079999999999998</v>
      </c>
      <c r="J70" s="144"/>
      <c r="K70" s="144">
        <f>'[1]BA-1 Rates Current_Prior'!$D$23</f>
        <v>2.9209999999999998</v>
      </c>
      <c r="L70" s="144"/>
      <c r="M70" s="144">
        <f>'[1]BA-1 Rates Proposed_Approved'!$C$23</f>
        <v>4.3079999999999998</v>
      </c>
      <c r="N70" s="144"/>
      <c r="O70" s="144">
        <f>'[1]BA-1 Rates Proposed_Approved'!$D$23</f>
        <v>2.9209999999999998</v>
      </c>
      <c r="P70" s="144"/>
      <c r="Q70" s="144">
        <f t="shared" si="22"/>
        <v>0</v>
      </c>
      <c r="R70" s="144"/>
      <c r="S70" s="144">
        <f t="shared" si="23"/>
        <v>0</v>
      </c>
      <c r="T70" s="44"/>
      <c r="U70" s="44"/>
      <c r="V70" s="44"/>
      <c r="W70" s="44"/>
      <c r="X70" s="44"/>
      <c r="Y70" s="44"/>
      <c r="Z70" s="44"/>
      <c r="AA70" s="44"/>
    </row>
    <row r="71" spans="1:27" x14ac:dyDescent="0.2">
      <c r="A71" s="44" t="s">
        <v>10</v>
      </c>
      <c r="B71" s="44"/>
      <c r="C71" s="144"/>
      <c r="D71" s="144"/>
      <c r="E71" s="44"/>
      <c r="F71" s="144"/>
      <c r="G71" s="144"/>
      <c r="H71" s="156"/>
      <c r="I71" s="144"/>
      <c r="J71" s="144"/>
      <c r="K71" s="144"/>
      <c r="L71" s="144"/>
      <c r="M71" s="44"/>
      <c r="N71" s="44"/>
      <c r="O71" s="44"/>
      <c r="P71" s="144"/>
      <c r="Q71" s="144"/>
      <c r="R71" s="144"/>
      <c r="S71" s="144"/>
      <c r="T71" s="44"/>
      <c r="U71" s="44"/>
      <c r="V71" s="44"/>
      <c r="W71" s="44"/>
      <c r="X71" s="44"/>
      <c r="Y71" s="44"/>
      <c r="Z71" s="44"/>
      <c r="AA71" s="44"/>
    </row>
    <row r="72" spans="1:27" x14ac:dyDescent="0.2">
      <c r="A72" s="44" t="s">
        <v>9</v>
      </c>
      <c r="B72" s="44"/>
      <c r="C72" s="144"/>
      <c r="D72" s="144"/>
      <c r="E72" s="144"/>
      <c r="F72" s="144"/>
      <c r="G72" s="144"/>
      <c r="H72" s="156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44"/>
      <c r="U72" s="44"/>
      <c r="V72" s="44"/>
      <c r="W72" s="44"/>
      <c r="X72" s="44"/>
      <c r="Y72" s="44"/>
      <c r="Z72" s="44"/>
      <c r="AA72" s="44"/>
    </row>
    <row r="73" spans="1:27" x14ac:dyDescent="0.2">
      <c r="A73" s="116" t="s">
        <v>23</v>
      </c>
      <c r="B73" s="116"/>
      <c r="C73" s="156">
        <f>'[1]BA-1 Rates Current_Prior'!$I$23</f>
        <v>7.1999999999999995E-2</v>
      </c>
      <c r="D73" s="157"/>
      <c r="E73" s="156">
        <f>'[1]BA-1 Rates Proposed_Approved'!$I$23</f>
        <v>7.1999999999999995E-2</v>
      </c>
      <c r="F73" s="156"/>
      <c r="G73" s="156">
        <f t="shared" si="21"/>
        <v>0</v>
      </c>
      <c r="H73" s="157"/>
      <c r="I73" s="156">
        <f>'[1]BA-1 Rates Current_Prior'!$I$23</f>
        <v>7.1999999999999995E-2</v>
      </c>
      <c r="J73" s="156"/>
      <c r="K73" s="156">
        <f>'[1]BA-1 Rates Current_Prior'!$I$23</f>
        <v>7.1999999999999995E-2</v>
      </c>
      <c r="L73" s="156"/>
      <c r="M73" s="156">
        <f>'[1]BA-1 Rates Proposed_Approved'!$I$23</f>
        <v>7.1999999999999995E-2</v>
      </c>
      <c r="N73" s="156"/>
      <c r="O73" s="156">
        <f>'[1]BA-1 Rates Proposed_Approved'!$I$23</f>
        <v>7.1999999999999995E-2</v>
      </c>
      <c r="P73" s="156"/>
      <c r="Q73" s="156">
        <f t="shared" si="22"/>
        <v>0</v>
      </c>
      <c r="R73" s="156"/>
      <c r="S73" s="156">
        <f t="shared" si="23"/>
        <v>0</v>
      </c>
      <c r="T73" s="44"/>
      <c r="U73" s="44"/>
      <c r="V73" s="44"/>
      <c r="W73" s="44"/>
      <c r="X73" s="44"/>
      <c r="Y73" s="44"/>
      <c r="Z73" s="44"/>
      <c r="AA73" s="44"/>
    </row>
    <row r="74" spans="1:27" s="176" customFormat="1" x14ac:dyDescent="0.2">
      <c r="A74" s="44" t="s">
        <v>110</v>
      </c>
      <c r="B74" s="44"/>
      <c r="C74" s="156">
        <f>'[1]BA-1 Rates Current_Prior'!$J$23</f>
        <v>0.12</v>
      </c>
      <c r="D74" s="157"/>
      <c r="E74" s="157">
        <f>'[1]BA-1 Rates Proposed_Approved'!$J$23</f>
        <v>0.12</v>
      </c>
      <c r="F74" s="156"/>
      <c r="G74" s="156">
        <f t="shared" si="21"/>
        <v>0</v>
      </c>
      <c r="H74" s="157"/>
      <c r="I74" s="156">
        <f>'[1]BA-1 Rates Current_Prior'!$J$23</f>
        <v>0.12</v>
      </c>
      <c r="J74" s="156"/>
      <c r="K74" s="156">
        <f>'[1]BA-1 Rates Current_Prior'!$J$23</f>
        <v>0.12</v>
      </c>
      <c r="L74" s="156"/>
      <c r="M74" s="157">
        <f>'[1]BA-1 Rates Proposed_Approved'!$J$23</f>
        <v>0.12</v>
      </c>
      <c r="N74" s="157"/>
      <c r="O74" s="157">
        <f>'[1]BA-1 Rates Proposed_Approved'!$J$23</f>
        <v>0.12</v>
      </c>
      <c r="P74" s="156"/>
      <c r="Q74" s="156">
        <f t="shared" si="22"/>
        <v>0</v>
      </c>
      <c r="R74" s="156"/>
      <c r="S74" s="156">
        <f t="shared" si="23"/>
        <v>0</v>
      </c>
      <c r="T74" s="120"/>
      <c r="U74" s="148"/>
      <c r="V74" s="119"/>
      <c r="W74" s="119"/>
      <c r="X74" s="119"/>
      <c r="Y74" s="119"/>
      <c r="Z74" s="119"/>
      <c r="AA74" s="119"/>
    </row>
    <row r="75" spans="1:27" x14ac:dyDescent="0.2">
      <c r="A75" s="44" t="s">
        <v>124</v>
      </c>
      <c r="B75" s="44"/>
      <c r="C75" s="115">
        <f>'[1]BA-1 Rates Current_Prior'!$K$23</f>
        <v>0</v>
      </c>
      <c r="D75" s="115"/>
      <c r="E75" s="115">
        <f>'[1]BA-1 Rates Proposed_Approved'!$K$23</f>
        <v>0</v>
      </c>
      <c r="F75" s="115"/>
      <c r="G75" s="117">
        <f t="shared" ref="G75" si="24">E75-C75</f>
        <v>0</v>
      </c>
      <c r="H75" s="115"/>
      <c r="I75" s="115">
        <f>'[1]BA-1 Rates Current_Prior'!$K$23</f>
        <v>0</v>
      </c>
      <c r="J75" s="115"/>
      <c r="K75" s="115">
        <f>'[1]BA-1 Rates Current_Prior'!$K$23</f>
        <v>0</v>
      </c>
      <c r="L75" s="115"/>
      <c r="M75" s="115">
        <f>'[1]BA-1 Rates Proposed_Approved'!$K$23</f>
        <v>0</v>
      </c>
      <c r="N75" s="113"/>
      <c r="O75" s="115">
        <f>'[1]BA-1 Rates Proposed_Approved'!$K$23</f>
        <v>0</v>
      </c>
      <c r="P75" s="115"/>
      <c r="Q75" s="117">
        <f t="shared" ref="Q75" si="25">M75-I75</f>
        <v>0</v>
      </c>
      <c r="R75" s="115"/>
      <c r="S75" s="117">
        <f t="shared" ref="S75" si="26">O75-K75</f>
        <v>0</v>
      </c>
      <c r="T75" s="45" t="s">
        <v>16</v>
      </c>
      <c r="U75" s="45" t="e">
        <f>S78/(-Q78+S78)</f>
        <v>#DIV/0!</v>
      </c>
      <c r="V75" s="45"/>
      <c r="W75" s="45"/>
      <c r="X75" s="45"/>
      <c r="Y75" s="45"/>
      <c r="Z75" s="45"/>
      <c r="AA75" s="45"/>
    </row>
    <row r="76" spans="1:27" x14ac:dyDescent="0.2">
      <c r="A76" s="44" t="s">
        <v>130</v>
      </c>
      <c r="B76" s="44"/>
      <c r="C76" s="115">
        <f>'[1]BA-1 Rates Current_Prior'!$L$23</f>
        <v>2.3E-2</v>
      </c>
      <c r="D76" s="115"/>
      <c r="E76" s="115">
        <f>'[1]BA-1 Rates Proposed_Approved'!$L$23</f>
        <v>0.30499999999999999</v>
      </c>
      <c r="F76" s="115"/>
      <c r="G76" s="117">
        <f t="shared" ref="G76" si="27">E76-C76</f>
        <v>0.28199999999999997</v>
      </c>
      <c r="H76" s="115"/>
      <c r="I76" s="115">
        <f>'[1]BA-1 Rates Current_Prior'!$L$23</f>
        <v>2.3E-2</v>
      </c>
      <c r="J76" s="115"/>
      <c r="K76" s="115">
        <f>'[1]BA-1 Rates Current_Prior'!$L$23</f>
        <v>2.3E-2</v>
      </c>
      <c r="L76" s="115"/>
      <c r="M76" s="115">
        <f>'[1]BA-1 Rates Proposed_Approved'!$L$23</f>
        <v>0.30499999999999999</v>
      </c>
      <c r="N76" s="113"/>
      <c r="O76" s="115">
        <f>'[1]BA-1 Rates Proposed_Approved'!$L$23</f>
        <v>0.30499999999999999</v>
      </c>
      <c r="P76" s="115"/>
      <c r="Q76" s="117">
        <f t="shared" ref="Q76" si="28">M76-I76</f>
        <v>0.28199999999999997</v>
      </c>
      <c r="R76" s="115"/>
      <c r="S76" s="117">
        <f t="shared" ref="S76" si="29">O76-K76</f>
        <v>0.28199999999999997</v>
      </c>
      <c r="T76" s="45" t="s">
        <v>16</v>
      </c>
      <c r="U76" s="45">
        <f>S79/(-Q79+S79)</f>
        <v>2.1078483715963694</v>
      </c>
      <c r="V76" s="45"/>
      <c r="W76" s="45"/>
      <c r="X76" s="45"/>
      <c r="Y76" s="45"/>
      <c r="Z76" s="45"/>
      <c r="AA76" s="45"/>
    </row>
    <row r="77" spans="1:27" s="176" customFormat="1" ht="18" customHeight="1" x14ac:dyDescent="0.2">
      <c r="A77" s="120"/>
      <c r="B77" s="44"/>
      <c r="C77" s="146"/>
      <c r="D77" s="144"/>
      <c r="E77" s="146"/>
      <c r="F77" s="144"/>
      <c r="G77" s="147"/>
      <c r="H77" s="144"/>
      <c r="I77" s="146"/>
      <c r="J77" s="144"/>
      <c r="K77" s="146"/>
      <c r="L77" s="144"/>
      <c r="M77" s="146"/>
      <c r="N77" s="145"/>
      <c r="O77" s="146"/>
      <c r="P77" s="144"/>
      <c r="Q77" s="147"/>
      <c r="R77" s="144"/>
      <c r="S77" s="147"/>
      <c r="T77" s="120"/>
      <c r="U77" s="148"/>
      <c r="V77" s="119"/>
      <c r="W77" s="119"/>
      <c r="X77" s="119"/>
      <c r="Y77" s="119"/>
      <c r="Z77" s="119"/>
      <c r="AA77" s="119"/>
    </row>
    <row r="78" spans="1:27" x14ac:dyDescent="0.2">
      <c r="A78" s="126" t="s">
        <v>11</v>
      </c>
      <c r="B78" s="119"/>
      <c r="C78" s="148">
        <f>SUM(C69:C77)</f>
        <v>5.4039999999999999</v>
      </c>
      <c r="D78" s="148"/>
      <c r="E78" s="148">
        <f>SUM(E69:E77)</f>
        <v>5.6859999999999999</v>
      </c>
      <c r="F78" s="148"/>
      <c r="G78" s="148">
        <f>SUM(G69:G77)</f>
        <v>0.28199999999999997</v>
      </c>
      <c r="H78" s="148"/>
      <c r="I78" s="148">
        <f>SUM(I69:I77)</f>
        <v>7.8959999999999999</v>
      </c>
      <c r="J78" s="148"/>
      <c r="K78" s="148">
        <f>SUM(K69:K77)</f>
        <v>4.1499999999999995</v>
      </c>
      <c r="L78" s="148"/>
      <c r="M78" s="148">
        <f>SUM(M69:M77)</f>
        <v>8.1780000000000008</v>
      </c>
      <c r="N78" s="148"/>
      <c r="O78" s="148">
        <f>SUM(O69:O77)</f>
        <v>4.4319999999999995</v>
      </c>
      <c r="P78" s="148"/>
      <c r="Q78" s="148">
        <f>SUM(Q69:Q77)</f>
        <v>0.28199999999999997</v>
      </c>
      <c r="R78" s="148"/>
      <c r="S78" s="148">
        <f>SUM(S69:S77)</f>
        <v>0.28199999999999997</v>
      </c>
      <c r="T78" s="44"/>
      <c r="U78" s="44"/>
      <c r="V78" s="44"/>
      <c r="W78" s="44"/>
      <c r="X78" s="44"/>
      <c r="Y78" s="44"/>
      <c r="Z78" s="44"/>
      <c r="AA78" s="44"/>
    </row>
    <row r="79" spans="1:27" x14ac:dyDescent="0.2">
      <c r="A79" s="119" t="s">
        <v>58</v>
      </c>
      <c r="B79" s="119"/>
      <c r="C79" s="119"/>
      <c r="D79" s="119"/>
      <c r="E79" s="119"/>
      <c r="F79" s="119"/>
      <c r="G79" s="129">
        <f>+G78/C78</f>
        <v>5.2183567727609174E-2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29">
        <f>+Q78/I78</f>
        <v>3.5714285714285712E-2</v>
      </c>
      <c r="R79" s="119"/>
      <c r="S79" s="129">
        <f>+S78/K78</f>
        <v>6.7951807228915667E-2</v>
      </c>
      <c r="T79" s="44"/>
      <c r="U79" s="44"/>
      <c r="V79" s="44"/>
      <c r="W79" s="44"/>
      <c r="X79" s="44"/>
      <c r="Y79" s="44"/>
      <c r="Z79" s="44"/>
      <c r="AA79" s="44"/>
    </row>
    <row r="80" spans="1:27" ht="10.8" thickBot="1" x14ac:dyDescent="0.25">
      <c r="A80" s="130" t="s">
        <v>111</v>
      </c>
      <c r="B80" s="131"/>
      <c r="C80" s="134">
        <f>+C69+C71+C72+C73+C75+C76</f>
        <v>1.9339999999999999</v>
      </c>
      <c r="D80" s="134"/>
      <c r="E80" s="134">
        <f>+E69+E71+E72+E73+E75+E76</f>
        <v>2.2160000000000002</v>
      </c>
      <c r="F80" s="134"/>
      <c r="G80" s="134">
        <f>+E80-C80</f>
        <v>0.28200000000000025</v>
      </c>
      <c r="H80" s="134"/>
      <c r="I80" s="134">
        <f>+I69+I71+I72+I73+I75+I76</f>
        <v>3.4680000000000004</v>
      </c>
      <c r="J80" s="134"/>
      <c r="K80" s="134">
        <f>+K69+K71+K72+K73+K75+K76</f>
        <v>1.109</v>
      </c>
      <c r="L80" s="134"/>
      <c r="M80" s="134">
        <f>+M69+M71+M72+M73+M75+M76</f>
        <v>3.7500000000000004</v>
      </c>
      <c r="N80" s="134"/>
      <c r="O80" s="134">
        <f>+O69+O71+O72+O73+O75+O76</f>
        <v>1.391</v>
      </c>
      <c r="P80" s="134"/>
      <c r="Q80" s="134">
        <f>+M80-I80</f>
        <v>0.28200000000000003</v>
      </c>
      <c r="R80" s="134"/>
      <c r="S80" s="134">
        <f>+O80-K80</f>
        <v>0.28200000000000003</v>
      </c>
      <c r="T80" s="44"/>
      <c r="U80" s="44"/>
      <c r="V80" s="44"/>
      <c r="W80" s="44"/>
      <c r="X80" s="44"/>
      <c r="Y80" s="44"/>
      <c r="Z80" s="44"/>
      <c r="AA80" s="44"/>
    </row>
    <row r="81" spans="1:27" ht="10.8" thickTop="1" x14ac:dyDescent="0.2">
      <c r="A81" s="120" t="s">
        <v>105</v>
      </c>
      <c r="B81" s="119"/>
      <c r="C81" s="136"/>
      <c r="D81" s="136"/>
      <c r="E81" s="158">
        <f>+'[1]Base Rates'!$L$170</f>
        <v>10.06</v>
      </c>
      <c r="F81" s="158"/>
      <c r="G81" s="158"/>
      <c r="H81" s="150"/>
      <c r="I81" s="158"/>
      <c r="J81" s="158"/>
      <c r="K81" s="158"/>
      <c r="L81" s="158"/>
      <c r="M81" s="158">
        <f>+'[1]Base Rates'!$L$174</f>
        <v>8.5</v>
      </c>
      <c r="N81" s="158"/>
      <c r="O81" s="158">
        <f>+'[1]Base Rates'!$L$173</f>
        <v>1.5000000000000002</v>
      </c>
      <c r="P81" s="135"/>
      <c r="Q81" s="136"/>
      <c r="R81" s="135"/>
      <c r="S81" s="136"/>
      <c r="T81" s="44"/>
      <c r="U81" s="44"/>
      <c r="V81" s="44"/>
      <c r="W81" s="44"/>
      <c r="X81" s="44"/>
      <c r="Y81" s="44"/>
      <c r="Z81" s="44"/>
      <c r="AA81" s="44"/>
    </row>
    <row r="82" spans="1:27" x14ac:dyDescent="0.2">
      <c r="A82" s="120" t="s">
        <v>109</v>
      </c>
      <c r="B82" s="119"/>
      <c r="C82" s="136"/>
      <c r="D82" s="136"/>
      <c r="E82" s="154">
        <f>'[1]BA-1 Rates Proposed_Approved'!$F$23+'[1]BA-1 Rates Proposed_Approved'!$H$23</f>
        <v>1.8399999999999999</v>
      </c>
      <c r="F82" s="158"/>
      <c r="G82" s="158"/>
      <c r="H82" s="150"/>
      <c r="I82" s="158"/>
      <c r="J82" s="158"/>
      <c r="K82" s="158"/>
      <c r="L82" s="158"/>
      <c r="M82" s="155">
        <v>0</v>
      </c>
      <c r="N82" s="154"/>
      <c r="O82" s="154">
        <f>'[1]BA-1 Rates Proposed_Approved'!$F$23+'[1]BA-1 Rates Proposed_Approved'!$H$23</f>
        <v>1.8399999999999999</v>
      </c>
      <c r="P82" s="135"/>
      <c r="Q82" s="136"/>
      <c r="R82" s="135"/>
      <c r="S82" s="136"/>
      <c r="T82" s="44"/>
      <c r="U82" s="44"/>
      <c r="V82" s="44"/>
      <c r="W82" s="44"/>
      <c r="X82" s="44"/>
      <c r="Y82" s="44"/>
      <c r="Z82" s="44"/>
      <c r="AA82" s="44"/>
    </row>
    <row r="83" spans="1:27" x14ac:dyDescent="0.2">
      <c r="A83" s="120" t="s">
        <v>106</v>
      </c>
      <c r="B83" s="119"/>
      <c r="C83" s="136"/>
      <c r="D83" s="136"/>
      <c r="E83" s="150">
        <f>E81+E82</f>
        <v>11.9</v>
      </c>
      <c r="F83" s="158"/>
      <c r="G83" s="158"/>
      <c r="H83" s="150"/>
      <c r="I83" s="158"/>
      <c r="J83" s="158"/>
      <c r="K83" s="158"/>
      <c r="L83" s="158"/>
      <c r="M83" s="150">
        <f>M81+M82</f>
        <v>8.5</v>
      </c>
      <c r="N83" s="158"/>
      <c r="O83" s="150">
        <f>O81+O82</f>
        <v>3.34</v>
      </c>
      <c r="P83" s="135"/>
      <c r="Q83" s="136"/>
      <c r="R83" s="135"/>
      <c r="S83" s="136"/>
      <c r="T83" s="44"/>
      <c r="U83" s="44"/>
      <c r="V83" s="44"/>
      <c r="W83" s="44"/>
      <c r="X83" s="44"/>
      <c r="Y83" s="44"/>
      <c r="Z83" s="44"/>
      <c r="AA83" s="44"/>
    </row>
    <row r="84" spans="1:27" ht="16.5" customHeight="1" x14ac:dyDescent="0.2">
      <c r="A84" s="120"/>
      <c r="B84" s="119"/>
      <c r="C84" s="136"/>
      <c r="D84" s="136"/>
      <c r="E84" s="136"/>
      <c r="F84" s="135"/>
      <c r="G84" s="136"/>
      <c r="H84" s="137"/>
      <c r="I84" s="136"/>
      <c r="J84" s="136"/>
      <c r="K84" s="136"/>
      <c r="L84" s="135"/>
      <c r="M84" s="136"/>
      <c r="N84" s="136"/>
      <c r="O84" s="136"/>
      <c r="P84" s="135"/>
      <c r="Q84" s="136"/>
      <c r="R84" s="135"/>
      <c r="S84" s="136"/>
      <c r="T84" s="44"/>
      <c r="U84" s="44"/>
      <c r="V84" s="44"/>
      <c r="W84" s="44"/>
      <c r="X84" s="44"/>
      <c r="Y84" s="44"/>
      <c r="Z84" s="44"/>
      <c r="AA84" s="44"/>
    </row>
    <row r="85" spans="1:27" ht="10.8" thickBot="1" x14ac:dyDescent="0.25">
      <c r="A85" s="120"/>
      <c r="B85" s="119"/>
      <c r="C85" s="136"/>
      <c r="D85" s="136"/>
      <c r="E85" s="136"/>
      <c r="F85" s="135"/>
      <c r="G85" s="136"/>
      <c r="H85" s="137"/>
      <c r="I85" s="136"/>
      <c r="J85" s="136"/>
      <c r="K85" s="136"/>
      <c r="L85" s="135"/>
      <c r="M85" s="136"/>
      <c r="N85" s="136"/>
      <c r="O85" s="136"/>
      <c r="P85" s="135"/>
      <c r="Q85" s="136"/>
      <c r="R85" s="135"/>
      <c r="S85" s="136"/>
      <c r="T85" s="44"/>
      <c r="U85" s="44"/>
      <c r="V85" s="44"/>
      <c r="W85" s="44"/>
      <c r="X85" s="44"/>
      <c r="Y85" s="44"/>
      <c r="Z85" s="44"/>
      <c r="AA85" s="44"/>
    </row>
    <row r="86" spans="1:27" ht="20.25" customHeight="1" thickTop="1" x14ac:dyDescent="0.2">
      <c r="A86" s="159"/>
      <c r="B86" s="159"/>
      <c r="C86" s="160" t="s">
        <v>19</v>
      </c>
      <c r="D86" s="160"/>
      <c r="E86" s="160"/>
      <c r="F86" s="160"/>
      <c r="G86" s="160"/>
      <c r="H86" s="139"/>
      <c r="I86" s="160" t="s">
        <v>20</v>
      </c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44"/>
      <c r="U86" s="44"/>
      <c r="V86" s="44"/>
      <c r="W86" s="44"/>
      <c r="X86" s="44"/>
      <c r="Y86" s="44"/>
      <c r="Z86" s="44"/>
      <c r="AA86" s="44"/>
    </row>
    <row r="87" spans="1:27" x14ac:dyDescent="0.2">
      <c r="A87" s="44"/>
      <c r="B87" s="44"/>
      <c r="C87" s="144"/>
      <c r="D87" s="144"/>
      <c r="E87" s="144"/>
      <c r="F87" s="144"/>
      <c r="G87" s="144"/>
      <c r="H87" s="156"/>
      <c r="I87" s="105" t="s">
        <v>2</v>
      </c>
      <c r="J87" s="105"/>
      <c r="K87" s="105"/>
      <c r="L87" s="106"/>
      <c r="M87" s="105" t="s">
        <v>3</v>
      </c>
      <c r="N87" s="105"/>
      <c r="O87" s="105"/>
      <c r="P87" s="106"/>
      <c r="Q87" s="169" t="s">
        <v>4</v>
      </c>
      <c r="R87" s="169"/>
      <c r="S87" s="169"/>
      <c r="T87" s="44"/>
      <c r="U87" s="44"/>
      <c r="V87" s="44"/>
      <c r="W87" s="44"/>
      <c r="X87" s="44"/>
      <c r="Y87" s="44"/>
      <c r="Z87" s="44"/>
      <c r="AA87" s="44"/>
    </row>
    <row r="88" spans="1:27" ht="10.8" thickBot="1" x14ac:dyDescent="0.25">
      <c r="A88" s="107"/>
      <c r="B88" s="107"/>
      <c r="C88" s="141" t="s">
        <v>2</v>
      </c>
      <c r="D88" s="142"/>
      <c r="E88" s="141" t="s">
        <v>3</v>
      </c>
      <c r="F88" s="142"/>
      <c r="G88" s="142" t="s">
        <v>4</v>
      </c>
      <c r="H88" s="139"/>
      <c r="I88" s="143" t="s">
        <v>5</v>
      </c>
      <c r="J88" s="142"/>
      <c r="K88" s="143" t="s">
        <v>6</v>
      </c>
      <c r="L88" s="142"/>
      <c r="M88" s="143" t="s">
        <v>5</v>
      </c>
      <c r="N88" s="142"/>
      <c r="O88" s="143" t="s">
        <v>6</v>
      </c>
      <c r="P88" s="142"/>
      <c r="Q88" s="143" t="s">
        <v>5</v>
      </c>
      <c r="R88" s="142"/>
      <c r="S88" s="143" t="s">
        <v>6</v>
      </c>
      <c r="T88" s="44"/>
      <c r="U88" s="44"/>
      <c r="V88" s="44"/>
      <c r="W88" s="44"/>
      <c r="X88" s="44"/>
      <c r="Y88" s="44"/>
      <c r="Z88" s="44"/>
      <c r="AA88" s="44"/>
    </row>
    <row r="89" spans="1:27" ht="10.8" thickTop="1" x14ac:dyDescent="0.2">
      <c r="A89" s="44" t="s">
        <v>7</v>
      </c>
      <c r="B89" s="44"/>
      <c r="C89" s="144">
        <f>'[1]Base Rates'!$I$224</f>
        <v>1.2319999999999995</v>
      </c>
      <c r="D89" s="144"/>
      <c r="E89" s="144">
        <f>'[1]Base Rates'!$L$224</f>
        <v>1.2319999999999995</v>
      </c>
      <c r="F89" s="144"/>
      <c r="G89" s="144">
        <f t="shared" ref="G89:G94" si="30">E89-C89</f>
        <v>0</v>
      </c>
      <c r="H89" s="156"/>
      <c r="I89" s="144">
        <f>'[1]Base Rates'!$I$225</f>
        <v>1.7249999999999999</v>
      </c>
      <c r="J89" s="144"/>
      <c r="K89" s="144">
        <f>'[1]Base Rates'!$I$226</f>
        <v>1.006</v>
      </c>
      <c r="L89" s="144"/>
      <c r="M89" s="144">
        <f>'[1]Base Rates'!$L$225</f>
        <v>1.7249999999999999</v>
      </c>
      <c r="N89" s="144"/>
      <c r="O89" s="144">
        <f>'[1]Base Rates'!$L$226</f>
        <v>1.006</v>
      </c>
      <c r="P89" s="144"/>
      <c r="Q89" s="144">
        <f t="shared" ref="Q89:Q94" si="31">M89-I89</f>
        <v>0</v>
      </c>
      <c r="R89" s="144"/>
      <c r="S89" s="144">
        <f t="shared" ref="S89:S94" si="32">O89-K89</f>
        <v>0</v>
      </c>
      <c r="T89" s="44"/>
      <c r="U89" s="44"/>
      <c r="V89" s="44"/>
      <c r="W89" s="44"/>
      <c r="X89" s="44"/>
      <c r="Y89" s="44"/>
      <c r="Z89" s="44"/>
      <c r="AA89" s="44"/>
    </row>
    <row r="90" spans="1:27" x14ac:dyDescent="0.2">
      <c r="A90" s="44" t="s">
        <v>8</v>
      </c>
      <c r="B90" s="44"/>
      <c r="C90" s="144">
        <f>'[1]BA-1 Rates Current_Prior'!$B$28</f>
        <v>3.35</v>
      </c>
      <c r="D90" s="144"/>
      <c r="E90" s="144">
        <f>'[1]BA-1 Rates Proposed_Approved'!$B$28</f>
        <v>3.35</v>
      </c>
      <c r="F90" s="144"/>
      <c r="G90" s="144">
        <f t="shared" si="30"/>
        <v>0</v>
      </c>
      <c r="H90" s="156"/>
      <c r="I90" s="144">
        <f>'[1]BA-1 Rates Current_Prior'!$C$28</f>
        <v>4.3079999999999998</v>
      </c>
      <c r="J90" s="144"/>
      <c r="K90" s="144">
        <f>'[1]BA-1 Rates Current_Prior'!$D$23</f>
        <v>2.9209999999999998</v>
      </c>
      <c r="L90" s="144"/>
      <c r="M90" s="144">
        <f>'[1]BA-1 Rates Proposed_Approved'!$C$28</f>
        <v>4.3079999999999998</v>
      </c>
      <c r="N90" s="144"/>
      <c r="O90" s="144">
        <f>'[1]BA-1 Rates Proposed_Approved'!$D$23</f>
        <v>2.9209999999999998</v>
      </c>
      <c r="P90" s="144"/>
      <c r="Q90" s="144">
        <f t="shared" si="31"/>
        <v>0</v>
      </c>
      <c r="R90" s="144"/>
      <c r="S90" s="144">
        <f t="shared" si="32"/>
        <v>0</v>
      </c>
      <c r="T90" s="44"/>
      <c r="U90" s="44"/>
      <c r="V90" s="44"/>
      <c r="W90" s="44"/>
      <c r="X90" s="44"/>
      <c r="Y90" s="44"/>
      <c r="Z90" s="44"/>
      <c r="AA90" s="44"/>
    </row>
    <row r="91" spans="1:27" x14ac:dyDescent="0.2">
      <c r="A91" s="44" t="s">
        <v>10</v>
      </c>
      <c r="B91" s="44"/>
      <c r="C91" s="144"/>
      <c r="D91" s="144"/>
      <c r="E91" s="44"/>
      <c r="F91" s="144"/>
      <c r="G91" s="144"/>
      <c r="H91" s="156"/>
      <c r="I91" s="144"/>
      <c r="J91" s="145" t="s">
        <v>75</v>
      </c>
      <c r="K91" s="144"/>
      <c r="L91" s="144"/>
      <c r="M91" s="44"/>
      <c r="N91" s="44"/>
      <c r="O91" s="44"/>
      <c r="P91" s="144"/>
      <c r="Q91" s="144"/>
      <c r="R91" s="144"/>
      <c r="S91" s="144"/>
      <c r="T91" s="44"/>
      <c r="U91" s="44"/>
      <c r="V91" s="44"/>
      <c r="W91" s="44"/>
      <c r="X91" s="44"/>
      <c r="Y91" s="44"/>
      <c r="Z91" s="44"/>
      <c r="AA91" s="44"/>
    </row>
    <row r="92" spans="1:27" x14ac:dyDescent="0.2">
      <c r="A92" s="44" t="s">
        <v>9</v>
      </c>
      <c r="B92" s="44"/>
      <c r="C92" s="144"/>
      <c r="D92" s="144"/>
      <c r="E92" s="144"/>
      <c r="F92" s="144"/>
      <c r="G92" s="144"/>
      <c r="H92" s="156"/>
      <c r="I92" s="144"/>
      <c r="J92" s="145" t="s">
        <v>75</v>
      </c>
      <c r="K92" s="144"/>
      <c r="L92" s="144"/>
      <c r="M92" s="144"/>
      <c r="N92" s="145"/>
      <c r="O92" s="144"/>
      <c r="P92" s="144"/>
      <c r="Q92" s="144"/>
      <c r="R92" s="144"/>
      <c r="S92" s="144"/>
      <c r="T92" s="44"/>
      <c r="U92" s="44"/>
      <c r="V92" s="44"/>
      <c r="W92" s="44"/>
      <c r="X92" s="44"/>
      <c r="Y92" s="44"/>
      <c r="Z92" s="44"/>
      <c r="AA92" s="44"/>
    </row>
    <row r="93" spans="1:27" x14ac:dyDescent="0.2">
      <c r="A93" s="44" t="s">
        <v>23</v>
      </c>
      <c r="B93" s="44"/>
      <c r="C93" s="156">
        <f>'[1]BA-1 Rates Current_Prior'!$I$28</f>
        <v>7.2999999999999995E-2</v>
      </c>
      <c r="D93" s="157"/>
      <c r="E93" s="156">
        <f>'[1]BA-1 Rates Proposed_Approved'!$I$28</f>
        <v>7.2999999999999995E-2</v>
      </c>
      <c r="F93" s="156"/>
      <c r="G93" s="156">
        <f t="shared" si="30"/>
        <v>0</v>
      </c>
      <c r="H93" s="157"/>
      <c r="I93" s="156">
        <f>'[1]BA-1 Rates Current_Prior'!$I$28</f>
        <v>7.2999999999999995E-2</v>
      </c>
      <c r="J93" s="157" t="s">
        <v>75</v>
      </c>
      <c r="K93" s="156">
        <f>'[1]BA-1 Rates Current_Prior'!$I$28</f>
        <v>7.2999999999999995E-2</v>
      </c>
      <c r="L93" s="156"/>
      <c r="M93" s="156">
        <f>'[1]BA-1 Rates Proposed_Approved'!$I$28</f>
        <v>7.2999999999999995E-2</v>
      </c>
      <c r="N93" s="145"/>
      <c r="O93" s="156">
        <f>'[1]BA-1 Rates Proposed_Approved'!$I$28</f>
        <v>7.2999999999999995E-2</v>
      </c>
      <c r="P93" s="156"/>
      <c r="Q93" s="156">
        <f t="shared" si="31"/>
        <v>0</v>
      </c>
      <c r="R93" s="156"/>
      <c r="S93" s="156">
        <f t="shared" si="32"/>
        <v>0</v>
      </c>
      <c r="T93" s="44"/>
      <c r="U93" s="44"/>
      <c r="V93" s="44"/>
      <c r="W93" s="44"/>
      <c r="X93" s="44"/>
      <c r="Y93" s="44"/>
      <c r="Z93" s="44"/>
      <c r="AA93" s="44"/>
    </row>
    <row r="94" spans="1:27" s="176" customFormat="1" x14ac:dyDescent="0.2">
      <c r="A94" s="44" t="s">
        <v>110</v>
      </c>
      <c r="B94" s="44"/>
      <c r="C94" s="156">
        <f>'[1]BA-1 Rates Current_Prior'!$J$28</f>
        <v>0.14399999999999999</v>
      </c>
      <c r="D94" s="157"/>
      <c r="E94" s="157">
        <f>'[1]BA-1 Rates Proposed_Approved'!$J$28</f>
        <v>0.14399999999999999</v>
      </c>
      <c r="F94" s="156"/>
      <c r="G94" s="156">
        <f t="shared" si="30"/>
        <v>0</v>
      </c>
      <c r="H94" s="157"/>
      <c r="I94" s="156">
        <f>'[1]BA-1 Rates Current_Prior'!$J$28</f>
        <v>0.14399999999999999</v>
      </c>
      <c r="J94" s="157" t="s">
        <v>75</v>
      </c>
      <c r="K94" s="156">
        <f>'[1]BA-1 Rates Current_Prior'!$J$28</f>
        <v>0.14399999999999999</v>
      </c>
      <c r="L94" s="156"/>
      <c r="M94" s="157">
        <f>'[1]BA-1 Rates Proposed_Approved'!$J$28</f>
        <v>0.14399999999999999</v>
      </c>
      <c r="N94" s="145"/>
      <c r="O94" s="157">
        <f>'[1]BA-1 Rates Proposed_Approved'!$J$28</f>
        <v>0.14399999999999999</v>
      </c>
      <c r="P94" s="156"/>
      <c r="Q94" s="156">
        <f t="shared" si="31"/>
        <v>0</v>
      </c>
      <c r="R94" s="156"/>
      <c r="S94" s="156">
        <f t="shared" si="32"/>
        <v>0</v>
      </c>
      <c r="T94" s="120"/>
      <c r="U94" s="148"/>
      <c r="V94" s="119"/>
      <c r="W94" s="119"/>
      <c r="X94" s="119"/>
      <c r="Y94" s="119"/>
      <c r="Z94" s="119"/>
      <c r="AA94" s="119"/>
    </row>
    <row r="95" spans="1:27" x14ac:dyDescent="0.2">
      <c r="A95" s="44" t="s">
        <v>124</v>
      </c>
      <c r="B95" s="44"/>
      <c r="C95" s="115">
        <f>'[1]BA-1 Rates Current_Prior'!$K$28</f>
        <v>0</v>
      </c>
      <c r="D95" s="115"/>
      <c r="E95" s="115">
        <f>'[1]BA-1 Rates Proposed_Approved'!$K$28</f>
        <v>0</v>
      </c>
      <c r="F95" s="115"/>
      <c r="G95" s="117">
        <f t="shared" ref="G95" si="33">E95-C95</f>
        <v>0</v>
      </c>
      <c r="H95" s="115"/>
      <c r="I95" s="115">
        <f>'[1]BA-1 Rates Current_Prior'!$K$28</f>
        <v>0</v>
      </c>
      <c r="J95" s="115" t="s">
        <v>75</v>
      </c>
      <c r="K95" s="115">
        <f>'[1]BA-1 Rates Current_Prior'!$K$28</f>
        <v>0</v>
      </c>
      <c r="L95" s="115"/>
      <c r="M95" s="115">
        <f>'[1]BA-1 Rates Proposed_Approved'!$K$28</f>
        <v>0</v>
      </c>
      <c r="N95" s="113"/>
      <c r="O95" s="115">
        <f>'[1]BA-1 Rates Proposed_Approved'!$K$28</f>
        <v>0</v>
      </c>
      <c r="P95" s="115"/>
      <c r="Q95" s="117">
        <f t="shared" ref="Q95" si="34">M95-I95</f>
        <v>0</v>
      </c>
      <c r="R95" s="115"/>
      <c r="S95" s="117">
        <f t="shared" ref="S95" si="35">O95-K95</f>
        <v>0</v>
      </c>
      <c r="T95" s="45" t="s">
        <v>16</v>
      </c>
      <c r="U95" s="45" t="e">
        <f>S98/(-Q98+S98)</f>
        <v>#DIV/0!</v>
      </c>
      <c r="V95" s="45"/>
      <c r="W95" s="45"/>
      <c r="X95" s="45"/>
      <c r="Y95" s="45"/>
      <c r="Z95" s="45"/>
      <c r="AA95" s="45"/>
    </row>
    <row r="96" spans="1:27" x14ac:dyDescent="0.2">
      <c r="A96" s="44" t="s">
        <v>130</v>
      </c>
      <c r="B96" s="44"/>
      <c r="C96" s="115">
        <f>'[1]BA-1 Rates Current_Prior'!$L$28</f>
        <v>1.2E-2</v>
      </c>
      <c r="D96" s="115"/>
      <c r="E96" s="115">
        <f>'[1]BA-1 Rates Proposed_Approved'!$L$28</f>
        <v>0.13300000000000001</v>
      </c>
      <c r="F96" s="115"/>
      <c r="G96" s="117">
        <f t="shared" ref="G96" si="36">E96-C96</f>
        <v>0.12100000000000001</v>
      </c>
      <c r="H96" s="115"/>
      <c r="I96" s="115">
        <f>'[1]BA-1 Rates Current_Prior'!$L$28</f>
        <v>1.2E-2</v>
      </c>
      <c r="J96" s="115" t="s">
        <v>75</v>
      </c>
      <c r="K96" s="115">
        <f>'[1]BA-1 Rates Current_Prior'!$L$28</f>
        <v>1.2E-2</v>
      </c>
      <c r="L96" s="115"/>
      <c r="M96" s="115">
        <f>'[1]BA-1 Rates Proposed_Approved'!$L$28</f>
        <v>0.13300000000000001</v>
      </c>
      <c r="N96" s="113"/>
      <c r="O96" s="115">
        <f>'[1]BA-1 Rates Proposed_Approved'!$L$28</f>
        <v>0.13300000000000001</v>
      </c>
      <c r="P96" s="115"/>
      <c r="Q96" s="117">
        <f t="shared" ref="Q96" si="37">M96-I96</f>
        <v>0.12100000000000001</v>
      </c>
      <c r="R96" s="115"/>
      <c r="S96" s="117">
        <f t="shared" ref="S96" si="38">O96-K96</f>
        <v>0.12100000000000001</v>
      </c>
      <c r="T96" s="45" t="s">
        <v>16</v>
      </c>
      <c r="U96" s="45">
        <f>S99/(-Q99+S99)</f>
        <v>2.973409306742639</v>
      </c>
      <c r="V96" s="45"/>
      <c r="W96" s="45"/>
      <c r="X96" s="45"/>
      <c r="Y96" s="45"/>
      <c r="Z96" s="45"/>
      <c r="AA96" s="45"/>
    </row>
    <row r="97" spans="1:27" s="176" customFormat="1" ht="18" customHeight="1" x14ac:dyDescent="0.2">
      <c r="A97" s="120"/>
      <c r="B97" s="44"/>
      <c r="C97" s="146"/>
      <c r="D97" s="144"/>
      <c r="E97" s="146"/>
      <c r="F97" s="144"/>
      <c r="G97" s="147"/>
      <c r="H97" s="144"/>
      <c r="I97" s="146"/>
      <c r="J97" s="144"/>
      <c r="K97" s="146"/>
      <c r="L97" s="144"/>
      <c r="M97" s="146"/>
      <c r="N97" s="145"/>
      <c r="O97" s="146"/>
      <c r="P97" s="144"/>
      <c r="Q97" s="147"/>
      <c r="R97" s="144"/>
      <c r="S97" s="147"/>
      <c r="T97" s="120"/>
      <c r="U97" s="148"/>
      <c r="V97" s="119"/>
      <c r="W97" s="119"/>
      <c r="X97" s="119"/>
      <c r="Y97" s="119"/>
      <c r="Z97" s="119"/>
      <c r="AA97" s="119"/>
    </row>
    <row r="98" spans="1:27" x14ac:dyDescent="0.2">
      <c r="A98" s="126" t="s">
        <v>11</v>
      </c>
      <c r="B98" s="119"/>
      <c r="C98" s="148">
        <f>SUM(C89:C97)</f>
        <v>4.8109999999999999</v>
      </c>
      <c r="D98" s="148"/>
      <c r="E98" s="148">
        <f>SUM(E89:E97)</f>
        <v>4.9320000000000004</v>
      </c>
      <c r="F98" s="148"/>
      <c r="G98" s="148">
        <f>SUM(G89:G97)</f>
        <v>0.12100000000000001</v>
      </c>
      <c r="H98" s="148"/>
      <c r="I98" s="148">
        <f>SUM(I89:I97)</f>
        <v>6.2619999999999996</v>
      </c>
      <c r="J98" s="148"/>
      <c r="K98" s="148">
        <f>SUM(K89:K97)</f>
        <v>4.1559999999999988</v>
      </c>
      <c r="L98" s="148"/>
      <c r="M98" s="148">
        <f>SUM(M89:M97)</f>
        <v>6.383</v>
      </c>
      <c r="N98" s="148"/>
      <c r="O98" s="148">
        <f>SUM(O89:O97)</f>
        <v>4.2769999999999992</v>
      </c>
      <c r="P98" s="148"/>
      <c r="Q98" s="148">
        <f>SUM(Q89:Q97)</f>
        <v>0.12100000000000001</v>
      </c>
      <c r="R98" s="148"/>
      <c r="S98" s="148">
        <f>SUM(S89:S97)</f>
        <v>0.12100000000000001</v>
      </c>
      <c r="T98" s="44"/>
      <c r="U98" s="44"/>
      <c r="V98" s="44"/>
      <c r="W98" s="44"/>
      <c r="X98" s="44"/>
      <c r="Y98" s="44"/>
      <c r="Z98" s="44"/>
      <c r="AA98" s="44"/>
    </row>
    <row r="99" spans="1:27" x14ac:dyDescent="0.2">
      <c r="A99" s="119" t="s">
        <v>58</v>
      </c>
      <c r="B99" s="119"/>
      <c r="C99" s="119"/>
      <c r="D99" s="119"/>
      <c r="E99" s="119"/>
      <c r="F99" s="119"/>
      <c r="G99" s="129">
        <f>+G98/C98</f>
        <v>2.5150696320931202E-2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29">
        <f>+Q98/I98</f>
        <v>1.9322900031938681E-2</v>
      </c>
      <c r="R99" s="119"/>
      <c r="S99" s="129">
        <f>+S98/K98</f>
        <v>2.9114533205004824E-2</v>
      </c>
      <c r="T99" s="44"/>
      <c r="U99" s="44"/>
      <c r="V99" s="44"/>
      <c r="W99" s="44"/>
      <c r="X99" s="44"/>
      <c r="Y99" s="44"/>
      <c r="Z99" s="44"/>
      <c r="AA99" s="44"/>
    </row>
    <row r="100" spans="1:27" ht="10.8" thickBot="1" x14ac:dyDescent="0.25">
      <c r="A100" s="130" t="s">
        <v>111</v>
      </c>
      <c r="B100" s="131"/>
      <c r="C100" s="134">
        <f>+C89+C91+C92+C93+C95+C96</f>
        <v>1.3169999999999995</v>
      </c>
      <c r="D100" s="134"/>
      <c r="E100" s="134">
        <f>+E89+E91+E92+E93+E95+E96</f>
        <v>1.4379999999999995</v>
      </c>
      <c r="F100" s="134"/>
      <c r="G100" s="134">
        <f>+E100-C100</f>
        <v>0.121</v>
      </c>
      <c r="H100" s="134"/>
      <c r="I100" s="134">
        <f>+I89+I91+I92+I93+I95+I96</f>
        <v>1.8099999999999998</v>
      </c>
      <c r="J100" s="134"/>
      <c r="K100" s="134">
        <f>+K89+K91+K92+K93+K95+K96</f>
        <v>1.091</v>
      </c>
      <c r="L100" s="134"/>
      <c r="M100" s="134">
        <f>+M89+M91+M92+M93+M95+M96</f>
        <v>1.9309999999999998</v>
      </c>
      <c r="N100" s="134"/>
      <c r="O100" s="134">
        <f>+O89+O91+O92+O93+O95+O96</f>
        <v>1.212</v>
      </c>
      <c r="P100" s="134"/>
      <c r="Q100" s="134">
        <f>+M100-I100</f>
        <v>0.121</v>
      </c>
      <c r="R100" s="134"/>
      <c r="S100" s="134">
        <f>+O100-K100</f>
        <v>0.121</v>
      </c>
      <c r="T100" s="44"/>
      <c r="U100" s="44"/>
      <c r="V100" s="44"/>
      <c r="W100" s="44"/>
      <c r="X100" s="44"/>
      <c r="Y100" s="44"/>
      <c r="Z100" s="44"/>
      <c r="AA100" s="44"/>
    </row>
    <row r="101" spans="1:27" ht="10.8" thickTop="1" x14ac:dyDescent="0.2">
      <c r="A101" s="120" t="s">
        <v>105</v>
      </c>
      <c r="B101" s="119"/>
      <c r="C101" s="136"/>
      <c r="D101" s="136"/>
      <c r="E101" s="158">
        <f>+'[1]Base Rates'!$L$207</f>
        <v>8.5300000000000011</v>
      </c>
      <c r="F101" s="158"/>
      <c r="G101" s="158"/>
      <c r="H101" s="150"/>
      <c r="I101" s="150"/>
      <c r="J101" s="150"/>
      <c r="K101" s="150"/>
      <c r="L101" s="150"/>
      <c r="M101" s="150">
        <f>+'[1]Base Rates'!$L$211</f>
        <v>7.4399999999999995</v>
      </c>
      <c r="N101" s="150"/>
      <c r="O101" s="150">
        <f>+'[1]Base Rates'!$L$210</f>
        <v>1.35</v>
      </c>
      <c r="P101" s="137"/>
      <c r="Q101" s="149"/>
      <c r="R101" s="137"/>
      <c r="S101" s="149"/>
      <c r="T101" s="44"/>
      <c r="U101" s="44"/>
      <c r="V101" s="44"/>
      <c r="W101" s="44"/>
      <c r="X101" s="44"/>
      <c r="Y101" s="44"/>
      <c r="Z101" s="44"/>
      <c r="AA101" s="44"/>
    </row>
    <row r="102" spans="1:27" x14ac:dyDescent="0.2">
      <c r="A102" s="120" t="s">
        <v>109</v>
      </c>
      <c r="B102" s="119"/>
      <c r="C102" s="136"/>
      <c r="D102" s="136"/>
      <c r="E102" s="154">
        <f>'[1]BA-1 Rates Proposed_Approved'!$F$28+'[1]BA-1 Rates Proposed_Approved'!$H$28</f>
        <v>3.95</v>
      </c>
      <c r="F102" s="158"/>
      <c r="G102" s="158"/>
      <c r="H102" s="150"/>
      <c r="I102" s="150"/>
      <c r="J102" s="150"/>
      <c r="K102" s="150"/>
      <c r="L102" s="150"/>
      <c r="M102" s="155">
        <v>0</v>
      </c>
      <c r="N102" s="161"/>
      <c r="O102" s="154">
        <f>'[1]BA-1 Rates Proposed_Approved'!$F$28+'[1]BA-1 Rates Proposed_Approved'!$H$28</f>
        <v>3.95</v>
      </c>
      <c r="P102" s="137"/>
      <c r="Q102" s="149"/>
      <c r="R102" s="137"/>
      <c r="S102" s="149"/>
      <c r="T102" s="44"/>
      <c r="U102" s="44"/>
      <c r="V102" s="44"/>
      <c r="W102" s="44"/>
      <c r="X102" s="44"/>
      <c r="Y102" s="44"/>
      <c r="Z102" s="44"/>
      <c r="AA102" s="44"/>
    </row>
    <row r="103" spans="1:27" x14ac:dyDescent="0.2">
      <c r="A103" s="120" t="s">
        <v>106</v>
      </c>
      <c r="B103" s="119"/>
      <c r="C103" s="136"/>
      <c r="D103" s="136"/>
      <c r="E103" s="150">
        <f>E101+E102</f>
        <v>12.48</v>
      </c>
      <c r="F103" s="158"/>
      <c r="G103" s="158"/>
      <c r="H103" s="150"/>
      <c r="I103" s="158"/>
      <c r="J103" s="158"/>
      <c r="K103" s="158"/>
      <c r="L103" s="158"/>
      <c r="M103" s="150">
        <f>M101+M102</f>
        <v>7.4399999999999995</v>
      </c>
      <c r="N103" s="158"/>
      <c r="O103" s="150">
        <f>O101+O102</f>
        <v>5.3000000000000007</v>
      </c>
      <c r="P103" s="137"/>
      <c r="Q103" s="149"/>
      <c r="R103" s="137"/>
      <c r="S103" s="149"/>
      <c r="T103" s="44"/>
      <c r="U103" s="44"/>
      <c r="V103" s="44"/>
      <c r="W103" s="44"/>
      <c r="X103" s="44"/>
      <c r="Y103" s="44"/>
      <c r="Z103" s="44"/>
      <c r="AA103" s="44"/>
    </row>
    <row r="104" spans="1:27" x14ac:dyDescent="0.2">
      <c r="A104" s="120"/>
      <c r="B104" s="119"/>
      <c r="C104" s="149"/>
      <c r="D104" s="149"/>
      <c r="E104" s="149"/>
      <c r="F104" s="137"/>
      <c r="G104" s="149"/>
      <c r="H104" s="137"/>
      <c r="I104" s="149"/>
      <c r="J104" s="149"/>
      <c r="K104" s="149"/>
      <c r="L104" s="149"/>
      <c r="M104" s="149"/>
      <c r="N104" s="149"/>
      <c r="O104" s="149"/>
      <c r="P104" s="137"/>
      <c r="Q104" s="149"/>
      <c r="R104" s="137"/>
      <c r="S104" s="149"/>
      <c r="T104" s="44"/>
      <c r="U104" s="44"/>
      <c r="V104" s="44"/>
      <c r="W104" s="44"/>
      <c r="X104" s="44"/>
      <c r="Y104" s="44"/>
      <c r="Z104" s="44"/>
      <c r="AA104" s="44"/>
    </row>
    <row r="105" spans="1:27" x14ac:dyDescent="0.2">
      <c r="A105" s="120"/>
      <c r="B105" s="119"/>
      <c r="C105" s="149"/>
      <c r="D105" s="149"/>
      <c r="E105" s="149"/>
      <c r="F105" s="137"/>
      <c r="G105" s="149"/>
      <c r="H105" s="137"/>
      <c r="I105" s="149"/>
      <c r="J105" s="149"/>
      <c r="K105" s="149"/>
      <c r="L105" s="149"/>
      <c r="M105" s="149"/>
      <c r="N105" s="149"/>
      <c r="O105" s="149"/>
      <c r="P105" s="137"/>
      <c r="Q105" s="149"/>
      <c r="R105" s="137"/>
      <c r="S105" s="149"/>
      <c r="T105" s="44"/>
      <c r="U105" s="44"/>
      <c r="V105" s="44"/>
      <c r="W105" s="44"/>
      <c r="X105" s="44"/>
      <c r="Y105" s="44"/>
      <c r="Z105" s="44"/>
      <c r="AA105" s="44"/>
    </row>
    <row r="106" spans="1:27" x14ac:dyDescent="0.2">
      <c r="A106" s="116"/>
      <c r="B106" s="116"/>
      <c r="C106" s="140" t="s">
        <v>21</v>
      </c>
      <c r="D106" s="140"/>
      <c r="E106" s="140"/>
      <c r="F106" s="140"/>
      <c r="G106" s="140"/>
      <c r="H106" s="138"/>
      <c r="I106" s="44"/>
      <c r="J106" s="44"/>
      <c r="K106" s="140" t="s">
        <v>22</v>
      </c>
      <c r="L106" s="140"/>
      <c r="M106" s="140"/>
      <c r="N106" s="140"/>
      <c r="O106" s="140"/>
      <c r="P106" s="138"/>
      <c r="Q106" s="162"/>
      <c r="R106" s="162"/>
      <c r="S106" s="162"/>
      <c r="T106" s="44"/>
      <c r="U106" s="44"/>
      <c r="V106" s="44"/>
      <c r="W106" s="44"/>
      <c r="X106" s="44"/>
      <c r="Y106" s="44"/>
      <c r="Z106" s="44"/>
      <c r="AA106" s="44"/>
    </row>
    <row r="107" spans="1:27" x14ac:dyDescent="0.2">
      <c r="A107" s="101"/>
      <c r="B107" s="101"/>
      <c r="C107" s="139"/>
      <c r="D107" s="139"/>
      <c r="E107" s="139"/>
      <c r="F107" s="139"/>
      <c r="G107" s="139"/>
      <c r="H107" s="156"/>
      <c r="I107" s="44"/>
      <c r="J107" s="44"/>
      <c r="K107" s="139"/>
      <c r="L107" s="139"/>
      <c r="M107" s="139"/>
      <c r="N107" s="139"/>
      <c r="O107" s="139"/>
      <c r="P107" s="144"/>
      <c r="Q107" s="144"/>
      <c r="R107" s="144"/>
      <c r="S107" s="144"/>
      <c r="T107" s="44"/>
      <c r="U107" s="44"/>
      <c r="V107" s="44"/>
      <c r="W107" s="44"/>
      <c r="X107" s="44"/>
      <c r="Y107" s="44"/>
      <c r="Z107" s="44"/>
      <c r="AA107" s="44"/>
    </row>
    <row r="108" spans="1:27" ht="10.8" thickBot="1" x14ac:dyDescent="0.25">
      <c r="A108" s="107"/>
      <c r="B108" s="107"/>
      <c r="C108" s="141" t="s">
        <v>2</v>
      </c>
      <c r="D108" s="142"/>
      <c r="E108" s="141" t="s">
        <v>3</v>
      </c>
      <c r="F108" s="142"/>
      <c r="G108" s="142" t="s">
        <v>4</v>
      </c>
      <c r="H108" s="156"/>
      <c r="I108" s="44"/>
      <c r="J108" s="44"/>
      <c r="K108" s="141" t="s">
        <v>2</v>
      </c>
      <c r="L108" s="142"/>
      <c r="M108" s="141" t="s">
        <v>3</v>
      </c>
      <c r="N108" s="142"/>
      <c r="O108" s="142" t="s">
        <v>4</v>
      </c>
      <c r="P108" s="144"/>
      <c r="Q108" s="144"/>
      <c r="R108" s="144"/>
      <c r="S108" s="144"/>
      <c r="T108" s="44"/>
      <c r="U108" s="44"/>
      <c r="V108" s="44"/>
      <c r="W108" s="44"/>
      <c r="X108" s="44"/>
      <c r="Y108" s="44"/>
      <c r="Z108" s="44"/>
      <c r="AA108" s="44"/>
    </row>
    <row r="109" spans="1:27" ht="10.8" thickTop="1" x14ac:dyDescent="0.2">
      <c r="A109" s="44" t="s">
        <v>7</v>
      </c>
      <c r="B109" s="44"/>
      <c r="C109" s="144">
        <f>'[1]Base Rates'!$I$84</f>
        <v>2.5409999999999999</v>
      </c>
      <c r="D109" s="144"/>
      <c r="E109" s="144">
        <f>'[1]Base Rates'!$L$84</f>
        <v>2.5409999999999999</v>
      </c>
      <c r="F109" s="144"/>
      <c r="G109" s="144">
        <f t="shared" ref="G109:G114" si="39">E109-C109</f>
        <v>0</v>
      </c>
      <c r="H109" s="156"/>
      <c r="I109" s="144"/>
      <c r="J109" s="144"/>
      <c r="K109" s="144">
        <f>'[1]Base Rates'!$I$243</f>
        <v>2.6419999999999995</v>
      </c>
      <c r="L109" s="144"/>
      <c r="M109" s="144">
        <f>'[1]Base Rates'!$L$243</f>
        <v>2.6419999999999995</v>
      </c>
      <c r="N109" s="144"/>
      <c r="O109" s="144">
        <f t="shared" ref="O109:O114" si="40">M109-K109</f>
        <v>0</v>
      </c>
      <c r="P109" s="144"/>
      <c r="Q109" s="144"/>
      <c r="R109" s="144"/>
      <c r="S109" s="144"/>
      <c r="T109" s="44"/>
      <c r="U109" s="44"/>
      <c r="V109" s="44"/>
      <c r="W109" s="44"/>
      <c r="X109" s="44"/>
      <c r="Y109" s="44"/>
      <c r="Z109" s="44"/>
      <c r="AA109" s="44"/>
    </row>
    <row r="110" spans="1:27" x14ac:dyDescent="0.2">
      <c r="A110" s="44" t="s">
        <v>8</v>
      </c>
      <c r="B110" s="44"/>
      <c r="C110" s="144">
        <f>'[1]BA-1 Rates Current_Prior'!$B$15</f>
        <v>3.35</v>
      </c>
      <c r="D110" s="144"/>
      <c r="E110" s="144">
        <f>'[1]BA-1 Rates Proposed_Approved'!$B$15</f>
        <v>3.35</v>
      </c>
      <c r="F110" s="144"/>
      <c r="G110" s="144">
        <f t="shared" si="39"/>
        <v>0</v>
      </c>
      <c r="H110" s="156"/>
      <c r="I110" s="144"/>
      <c r="J110" s="144"/>
      <c r="K110" s="144">
        <f>'[1]BA-1 Rates Current_Prior'!$B$32</f>
        <v>3.181</v>
      </c>
      <c r="L110" s="144"/>
      <c r="M110" s="144">
        <f>'[1]BA-1 Rates Proposed_Approved'!$B$32</f>
        <v>3.181</v>
      </c>
      <c r="N110" s="144"/>
      <c r="O110" s="144">
        <f t="shared" si="40"/>
        <v>0</v>
      </c>
      <c r="P110" s="144"/>
      <c r="Q110" s="144"/>
      <c r="R110" s="144"/>
      <c r="S110" s="144"/>
      <c r="T110" s="44"/>
      <c r="U110" s="44"/>
      <c r="V110" s="44"/>
      <c r="W110" s="44"/>
      <c r="X110" s="44"/>
      <c r="Y110" s="44"/>
      <c r="Z110" s="44"/>
      <c r="AA110" s="44"/>
    </row>
    <row r="111" spans="1:27" x14ac:dyDescent="0.2">
      <c r="A111" s="44" t="s">
        <v>10</v>
      </c>
      <c r="B111" s="44"/>
      <c r="C111" s="144">
        <f>'[1]BA-1 Rates Current_Prior'!$E$15</f>
        <v>0.22600000000000001</v>
      </c>
      <c r="D111" s="144"/>
      <c r="E111" s="144">
        <f>'[1]BA-1 Rates Proposed_Approved'!$E$15</f>
        <v>0.22600000000000001</v>
      </c>
      <c r="F111" s="144"/>
      <c r="G111" s="144">
        <f t="shared" si="39"/>
        <v>0</v>
      </c>
      <c r="H111" s="156"/>
      <c r="I111" s="144"/>
      <c r="J111" s="144"/>
      <c r="K111" s="144">
        <f>'[1]BA-1 Rates Current_Prior'!$E$32</f>
        <v>0.10299999999999999</v>
      </c>
      <c r="L111" s="144"/>
      <c r="M111" s="144">
        <f>'[1]BA-1 Rates Proposed_Approved'!$E$32</f>
        <v>0.10299999999999999</v>
      </c>
      <c r="N111" s="144"/>
      <c r="O111" s="144">
        <f t="shared" si="40"/>
        <v>0</v>
      </c>
      <c r="P111" s="144"/>
      <c r="Q111" s="144"/>
      <c r="R111" s="144"/>
      <c r="S111" s="144"/>
      <c r="T111" s="44"/>
      <c r="U111" s="44"/>
      <c r="V111" s="44"/>
      <c r="W111" s="44"/>
      <c r="X111" s="44"/>
      <c r="Y111" s="44"/>
      <c r="Z111" s="44"/>
      <c r="AA111" s="44"/>
    </row>
    <row r="112" spans="1:27" x14ac:dyDescent="0.2">
      <c r="A112" s="44" t="s">
        <v>9</v>
      </c>
      <c r="B112" s="44"/>
      <c r="C112" s="144">
        <f>'[1]BA-1 Rates Current_Prior'!$G$15</f>
        <v>0.69</v>
      </c>
      <c r="D112" s="144"/>
      <c r="E112" s="144">
        <f>'[1]BA-1 Rates Proposed_Approved'!$G$15</f>
        <v>0.69</v>
      </c>
      <c r="F112" s="144"/>
      <c r="G112" s="144">
        <f t="shared" si="39"/>
        <v>0</v>
      </c>
      <c r="H112" s="156"/>
      <c r="I112" s="163"/>
      <c r="J112" s="144"/>
      <c r="K112" s="144">
        <f>'[1]BA-1 Rates Current_Prior'!$G$32</f>
        <v>0.14699999999999999</v>
      </c>
      <c r="L112" s="144"/>
      <c r="M112" s="144">
        <f>'[1]BA-1 Rates Proposed_Approved'!$G$32</f>
        <v>0.14699999999999999</v>
      </c>
      <c r="N112" s="144"/>
      <c r="O112" s="144">
        <f t="shared" si="40"/>
        <v>0</v>
      </c>
      <c r="P112" s="144"/>
      <c r="Q112" s="48"/>
      <c r="R112" s="144"/>
      <c r="S112" s="144"/>
      <c r="T112" s="44"/>
      <c r="U112" s="44"/>
      <c r="V112" s="44"/>
      <c r="W112" s="44"/>
      <c r="X112" s="44"/>
      <c r="Y112" s="44"/>
      <c r="Z112" s="44"/>
      <c r="AA112" s="44"/>
    </row>
    <row r="113" spans="1:27" x14ac:dyDescent="0.2">
      <c r="A113" s="116" t="s">
        <v>23</v>
      </c>
      <c r="B113" s="116"/>
      <c r="C113" s="156">
        <f>'[1]BA-1 Rates Current_Prior'!$I$15</f>
        <v>7.4999999999999997E-2</v>
      </c>
      <c r="D113" s="157"/>
      <c r="E113" s="156">
        <f>'[1]BA-1 Rates Proposed_Approved'!$I$15</f>
        <v>7.4999999999999997E-2</v>
      </c>
      <c r="F113" s="156"/>
      <c r="G113" s="156">
        <f t="shared" si="39"/>
        <v>0</v>
      </c>
      <c r="H113" s="156"/>
      <c r="I113" s="156"/>
      <c r="J113" s="156"/>
      <c r="K113" s="156">
        <f>'[1]BA-1 Rates Current_Prior'!$I$32</f>
        <v>7.0000000000000007E-2</v>
      </c>
      <c r="L113" s="157"/>
      <c r="M113" s="156">
        <f>'[1]BA-1 Rates Proposed_Approved'!$I$32</f>
        <v>7.0000000000000007E-2</v>
      </c>
      <c r="N113" s="156"/>
      <c r="O113" s="156">
        <f t="shared" si="40"/>
        <v>0</v>
      </c>
      <c r="P113" s="144"/>
      <c r="Q113" s="144"/>
      <c r="R113" s="144"/>
      <c r="S113" s="144"/>
      <c r="T113" s="44"/>
      <c r="U113" s="44"/>
      <c r="V113" s="44"/>
      <c r="W113" s="44"/>
      <c r="X113" s="44"/>
      <c r="Y113" s="44"/>
      <c r="Z113" s="44"/>
      <c r="AA113" s="44"/>
    </row>
    <row r="114" spans="1:27" x14ac:dyDescent="0.2">
      <c r="A114" s="44" t="s">
        <v>110</v>
      </c>
      <c r="B114" s="44"/>
      <c r="C114" s="156">
        <f>'[1]BA-1 Rates Current_Prior'!$J$15</f>
        <v>0.13500000000000001</v>
      </c>
      <c r="D114" s="157"/>
      <c r="E114" s="157">
        <f>'[1]BA-1 Rates Proposed_Approved'!$J$15</f>
        <v>0.13500000000000001</v>
      </c>
      <c r="F114" s="156"/>
      <c r="G114" s="156">
        <f t="shared" si="39"/>
        <v>0</v>
      </c>
      <c r="H114" s="156"/>
      <c r="I114" s="144"/>
      <c r="J114" s="144"/>
      <c r="K114" s="156">
        <f>'[1]BA-1 Rates Current_Prior'!$J$32</f>
        <v>2.7E-2</v>
      </c>
      <c r="L114" s="157"/>
      <c r="M114" s="157">
        <f>'[1]BA-1 Rates Proposed_Approved'!$J$32</f>
        <v>2.7E-2</v>
      </c>
      <c r="N114" s="156"/>
      <c r="O114" s="156">
        <f t="shared" si="40"/>
        <v>0</v>
      </c>
      <c r="P114" s="144"/>
      <c r="Q114" s="144"/>
      <c r="R114" s="144"/>
      <c r="S114" s="144"/>
      <c r="T114" s="44"/>
      <c r="U114" s="44"/>
      <c r="V114" s="44"/>
      <c r="W114" s="44"/>
      <c r="X114" s="44"/>
      <c r="Y114" s="44"/>
      <c r="Z114" s="44"/>
      <c r="AA114" s="44"/>
    </row>
    <row r="115" spans="1:27" x14ac:dyDescent="0.2">
      <c r="A115" s="44" t="s">
        <v>124</v>
      </c>
      <c r="B115" s="44"/>
      <c r="C115" s="115">
        <f>'[1]BA-1 Rates Current_Prior'!$K$15</f>
        <v>0</v>
      </c>
      <c r="D115" s="115"/>
      <c r="E115" s="115">
        <f>'[1]BA-1 Rates Proposed_Approved'!$K$15</f>
        <v>0</v>
      </c>
      <c r="F115" s="115"/>
      <c r="G115" s="117">
        <f t="shared" ref="G115" si="41">E115-C115</f>
        <v>0</v>
      </c>
      <c r="H115" s="115"/>
      <c r="I115" s="115"/>
      <c r="J115" s="115"/>
      <c r="K115" s="115">
        <f>'[1]BA-1 Rates Current_Prior'!$K$32</f>
        <v>0</v>
      </c>
      <c r="L115" s="115"/>
      <c r="M115" s="115">
        <f>'[1]BA-1 Rates Proposed_Approved'!$K$32</f>
        <v>0</v>
      </c>
      <c r="N115" s="113"/>
      <c r="O115" s="115">
        <f t="shared" ref="O115" si="42">M115-K115</f>
        <v>0</v>
      </c>
      <c r="P115" s="115"/>
      <c r="Q115" s="117"/>
      <c r="R115" s="115"/>
      <c r="S115" s="117"/>
      <c r="T115" s="45" t="s">
        <v>16</v>
      </c>
      <c r="U115" s="45" t="e">
        <f>S118/(-Q118+S118)</f>
        <v>#DIV/0!</v>
      </c>
      <c r="V115" s="45"/>
      <c r="W115" s="45"/>
      <c r="X115" s="45"/>
      <c r="Y115" s="45"/>
      <c r="Z115" s="45"/>
      <c r="AA115" s="45"/>
    </row>
    <row r="116" spans="1:27" x14ac:dyDescent="0.2">
      <c r="A116" s="44" t="s">
        <v>130</v>
      </c>
      <c r="B116" s="44"/>
      <c r="C116" s="115">
        <f>'[1]BA-1 Rates Current_Prior'!$L$15</f>
        <v>1.0999999999999999E-2</v>
      </c>
      <c r="D116" s="115"/>
      <c r="E116" s="115">
        <f>'[1]BA-1 Rates Proposed_Approved'!$L$15</f>
        <v>0.13100000000000001</v>
      </c>
      <c r="F116" s="115"/>
      <c r="G116" s="117">
        <f t="shared" ref="G116" si="43">E116-C116</f>
        <v>0.12000000000000001</v>
      </c>
      <c r="H116" s="115"/>
      <c r="I116" s="115"/>
      <c r="J116" s="115"/>
      <c r="K116" s="115">
        <f>'[1]BA-1 Rates Current_Prior'!$L$32</f>
        <v>1.6E-2</v>
      </c>
      <c r="L116" s="115"/>
      <c r="M116" s="115">
        <f>'[1]BA-1 Rates Proposed_Approved'!$L$32</f>
        <v>0.216</v>
      </c>
      <c r="N116" s="113"/>
      <c r="O116" s="115">
        <f t="shared" ref="O116" si="44">M116-K116</f>
        <v>0.2</v>
      </c>
      <c r="P116" s="115"/>
      <c r="Q116" s="117"/>
      <c r="R116" s="115"/>
      <c r="S116" s="117"/>
      <c r="T116" s="45" t="s">
        <v>16</v>
      </c>
      <c r="U116" s="45" t="e">
        <f>S119/(-Q119+S119)</f>
        <v>#DIV/0!</v>
      </c>
      <c r="V116" s="45"/>
      <c r="W116" s="45"/>
      <c r="X116" s="45"/>
      <c r="Y116" s="45"/>
      <c r="Z116" s="45"/>
      <c r="AA116" s="45"/>
    </row>
    <row r="117" spans="1:27" x14ac:dyDescent="0.2">
      <c r="A117" s="120"/>
      <c r="B117" s="44"/>
      <c r="C117" s="146"/>
      <c r="D117" s="144"/>
      <c r="E117" s="146"/>
      <c r="F117" s="144"/>
      <c r="G117" s="147"/>
      <c r="H117" s="156"/>
      <c r="I117" s="144"/>
      <c r="J117" s="144"/>
      <c r="K117" s="146"/>
      <c r="L117" s="144"/>
      <c r="M117" s="146"/>
      <c r="N117" s="144"/>
      <c r="O117" s="147"/>
      <c r="P117" s="144"/>
      <c r="Q117" s="144"/>
      <c r="R117" s="144"/>
      <c r="S117" s="144"/>
      <c r="T117" s="44"/>
      <c r="U117" s="44"/>
      <c r="V117" s="44"/>
      <c r="W117" s="44"/>
      <c r="X117" s="44"/>
      <c r="Y117" s="44"/>
      <c r="Z117" s="44"/>
      <c r="AA117" s="44"/>
    </row>
    <row r="118" spans="1:27" x14ac:dyDescent="0.2">
      <c r="A118" s="126" t="s">
        <v>11</v>
      </c>
      <c r="B118" s="119"/>
      <c r="C118" s="164">
        <f>SUM(C109:C117)</f>
        <v>7.0280000000000005</v>
      </c>
      <c r="D118" s="164"/>
      <c r="E118" s="164">
        <f>SUM(E109:E117)</f>
        <v>7.1480000000000006</v>
      </c>
      <c r="F118" s="164"/>
      <c r="G118" s="164">
        <f>SUM(G109:G117)</f>
        <v>0.12000000000000001</v>
      </c>
      <c r="H118" s="156"/>
      <c r="I118" s="144"/>
      <c r="J118" s="144"/>
      <c r="K118" s="164">
        <f>SUM(K109:K117)</f>
        <v>6.1859999999999999</v>
      </c>
      <c r="L118" s="164"/>
      <c r="M118" s="164">
        <f>SUM(M109:M117)</f>
        <v>6.3860000000000001</v>
      </c>
      <c r="N118" s="164"/>
      <c r="O118" s="164">
        <f>SUM(O109:O117)</f>
        <v>0.2</v>
      </c>
      <c r="P118" s="144"/>
      <c r="Q118" s="144"/>
      <c r="R118" s="144"/>
      <c r="S118" s="144"/>
      <c r="T118" s="44"/>
      <c r="U118" s="44"/>
      <c r="V118" s="44"/>
      <c r="W118" s="44"/>
      <c r="X118" s="44"/>
      <c r="Y118" s="44"/>
      <c r="Z118" s="44"/>
      <c r="AA118" s="44"/>
    </row>
    <row r="119" spans="1:27" x14ac:dyDescent="0.2">
      <c r="A119" s="119" t="s">
        <v>58</v>
      </c>
      <c r="B119" s="119"/>
      <c r="C119" s="165"/>
      <c r="D119" s="165"/>
      <c r="E119" s="165"/>
      <c r="F119" s="165"/>
      <c r="G119" s="129">
        <f>+G118/C118</f>
        <v>1.707455890722823E-2</v>
      </c>
      <c r="H119" s="166"/>
      <c r="I119" s="166"/>
      <c r="J119" s="166"/>
      <c r="K119" s="166"/>
      <c r="L119" s="166"/>
      <c r="M119" s="166"/>
      <c r="N119" s="166"/>
      <c r="O119" s="129">
        <f>+O118/K118</f>
        <v>3.2331070158422244E-2</v>
      </c>
      <c r="P119" s="44"/>
      <c r="Q119" s="44"/>
      <c r="R119" s="144"/>
      <c r="S119" s="144"/>
      <c r="T119" s="44"/>
      <c r="U119" s="44"/>
      <c r="V119" s="44"/>
      <c r="W119" s="44"/>
      <c r="X119" s="44"/>
      <c r="Y119" s="44"/>
      <c r="Z119" s="44"/>
      <c r="AA119" s="44"/>
    </row>
    <row r="120" spans="1:27" ht="10.8" thickBot="1" x14ac:dyDescent="0.25">
      <c r="A120" s="130" t="s">
        <v>111</v>
      </c>
      <c r="B120" s="131"/>
      <c r="C120" s="167">
        <f>+C109+C111+C112+C113+C115+C116</f>
        <v>3.5430000000000001</v>
      </c>
      <c r="D120" s="167"/>
      <c r="E120" s="167">
        <f>+E109+E111+E112+E113+E115+E116</f>
        <v>3.6630000000000003</v>
      </c>
      <c r="F120" s="167"/>
      <c r="G120" s="167">
        <f>+E120-C120</f>
        <v>0.12000000000000011</v>
      </c>
      <c r="H120" s="156"/>
      <c r="I120" s="144"/>
      <c r="J120" s="144"/>
      <c r="K120" s="167">
        <f>+K109+K111+K112+K113+K115+K116</f>
        <v>2.9779999999999993</v>
      </c>
      <c r="L120" s="167"/>
      <c r="M120" s="167">
        <f>+M109+M111+M112+M113+M115+M116</f>
        <v>3.1779999999999995</v>
      </c>
      <c r="N120" s="167"/>
      <c r="O120" s="167">
        <f>+M120-K120</f>
        <v>0.20000000000000018</v>
      </c>
      <c r="P120" s="144"/>
      <c r="Q120" s="144"/>
      <c r="R120" s="144"/>
      <c r="S120" s="144"/>
      <c r="T120" s="44"/>
      <c r="U120" s="44"/>
      <c r="V120" s="44"/>
      <c r="W120" s="44"/>
      <c r="X120" s="44"/>
      <c r="Y120" s="44"/>
      <c r="Z120" s="44"/>
      <c r="AA120" s="44"/>
    </row>
    <row r="121" spans="1:27" ht="10.8" thickTop="1" x14ac:dyDescent="0.2">
      <c r="A121" s="44"/>
      <c r="B121" s="44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44"/>
      <c r="Q121" s="144"/>
      <c r="R121" s="144"/>
      <c r="S121" s="144"/>
      <c r="T121" s="44"/>
      <c r="U121" s="44"/>
      <c r="V121" s="44"/>
      <c r="W121" s="44"/>
      <c r="X121" s="44"/>
      <c r="Y121" s="44"/>
      <c r="Z121" s="44"/>
      <c r="AA121" s="44"/>
    </row>
    <row r="122" spans="1:27" x14ac:dyDescent="0.2">
      <c r="A122" s="44"/>
      <c r="B122" s="44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</row>
    <row r="123" spans="1:27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</row>
    <row r="124" spans="1:27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</row>
  </sheetData>
  <sheetProtection algorithmName="SHA-512" hashValue="pdgMoDN4BUCht1ZTPKb0GE+Ke0fIpHycby9PhdceKH2N/wZd4odQIEA7fMYkvNPQRNJdLSFWrwBB4Kl3HyJ/mA==" saltValue="Hvgsd8PdSsSxXW76a03d/A==" spinCount="100000" sheet="1" objects="1" formatCells="0" formatColumns="0" formatRows="0" insertColumns="0" insertRows="0" insertHyperlinks="0" deleteColumns="0" deleteRows="0" selectLockedCells="1" sort="0" autoFilter="0" pivotTables="0"/>
  <mergeCells count="10">
    <mergeCell ref="A3:S3"/>
    <mergeCell ref="Q8:S8"/>
    <mergeCell ref="C28:G28"/>
    <mergeCell ref="I28:S28"/>
    <mergeCell ref="Q87:S87"/>
    <mergeCell ref="Q67:S67"/>
    <mergeCell ref="Q47:S47"/>
    <mergeCell ref="Q29:S29"/>
    <mergeCell ref="C66:G66"/>
    <mergeCell ref="I66:S66"/>
  </mergeCells>
  <phoneticPr fontId="2" type="noConversion"/>
  <printOptions horizontalCentered="1"/>
  <pageMargins left="0.75" right="0.75" top="0.5" bottom="0" header="0.5" footer="0.25"/>
  <pageSetup scale="67" orientation="landscape" r:id="rId1"/>
  <headerFooter alignWithMargins="0">
    <oddFooter xml:space="preserve">&amp;L&amp;D&amp;C&amp;P of &amp;N &amp;R&amp;12&amp;X&amp;Z&amp;F  &amp;A&amp;11
</oddFooter>
  </headerFooter>
  <rowBreaks count="2" manualBreakCount="2">
    <brk id="45" max="26" man="1"/>
    <brk id="8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60"/>
  <sheetViews>
    <sheetView tabSelected="1" view="pageBreakPreview" zoomScale="60" zoomScaleNormal="110" workbookViewId="0">
      <pane xSplit="1" ySplit="8" topLeftCell="B9" activePane="bottomRight" state="frozen"/>
      <selection activeCell="B19" sqref="B19"/>
      <selection pane="topRight" activeCell="B19" sqref="B19"/>
      <selection pane="bottomLeft" activeCell="B19" sqref="B19"/>
      <selection pane="bottomRight" activeCell="P11" sqref="P11"/>
    </sheetView>
  </sheetViews>
  <sheetFormatPr defaultColWidth="9.109375" defaultRowHeight="10.199999999999999" x14ac:dyDescent="0.2"/>
  <cols>
    <col min="1" max="1" width="17.6640625" style="174" customWidth="1"/>
    <col min="2" max="2" width="6.88671875" style="174" bestFit="1" customWidth="1"/>
    <col min="3" max="5" width="6.5546875" style="174" bestFit="1" customWidth="1"/>
    <col min="6" max="6" width="7.6640625" style="174" bestFit="1" customWidth="1"/>
    <col min="7" max="7" width="8.44140625" style="174" bestFit="1" customWidth="1"/>
    <col min="8" max="8" width="8.44140625" style="174" customWidth="1"/>
    <col min="9" max="9" width="10.88671875" style="174" customWidth="1"/>
    <col min="10" max="10" width="8.44140625" style="174" bestFit="1" customWidth="1"/>
    <col min="11" max="11" width="8.44140625" style="174" customWidth="1"/>
    <col min="12" max="12" width="8.33203125" style="174" customWidth="1"/>
    <col min="13" max="13" width="9.6640625" style="174" customWidth="1"/>
    <col min="14" max="14" width="8.6640625" style="174" customWidth="1"/>
    <col min="15" max="15" width="10" style="174" customWidth="1"/>
    <col min="16" max="16" width="8.44140625" style="174" customWidth="1"/>
    <col min="17" max="17" width="9.33203125" style="174" bestFit="1" customWidth="1"/>
    <col min="18" max="21" width="9.109375" style="174"/>
    <col min="22" max="22" width="9.5546875" style="174" bestFit="1" customWidth="1"/>
    <col min="23" max="16384" width="9.109375" style="174"/>
  </cols>
  <sheetData>
    <row r="1" spans="1:18" ht="13.2" x14ac:dyDescent="0.25">
      <c r="A1" s="172" t="str">
        <f>'Non-Responsive'!A1</f>
        <v>Duke Energy Florida</v>
      </c>
      <c r="B1" s="172"/>
      <c r="C1" s="172"/>
      <c r="D1" s="172"/>
      <c r="E1" s="172"/>
      <c r="F1" s="172"/>
      <c r="G1" s="172"/>
      <c r="H1" s="172"/>
      <c r="I1" s="172"/>
      <c r="J1" s="173"/>
      <c r="K1" s="173"/>
      <c r="L1" s="173"/>
      <c r="M1" s="173"/>
      <c r="N1" s="173"/>
      <c r="O1" s="173"/>
      <c r="P1" s="173"/>
      <c r="Q1" s="2"/>
      <c r="R1" s="2"/>
    </row>
    <row r="2" spans="1:18" ht="13.2" x14ac:dyDescent="0.25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3"/>
      <c r="K2" s="173"/>
      <c r="L2" s="173"/>
      <c r="M2" s="173"/>
      <c r="N2" s="173"/>
      <c r="O2" s="173"/>
      <c r="P2" s="173"/>
      <c r="Q2" s="2"/>
      <c r="R2" s="2"/>
    </row>
    <row r="3" spans="1:18" ht="12" customHeight="1" x14ac:dyDescent="0.25">
      <c r="A3" s="15" t="s">
        <v>131</v>
      </c>
      <c r="B3" s="15"/>
      <c r="C3" s="15"/>
      <c r="D3" s="15"/>
      <c r="E3" s="15"/>
      <c r="F3" s="15"/>
      <c r="G3" s="15"/>
      <c r="H3" s="15"/>
      <c r="I3" s="15"/>
      <c r="J3" s="16"/>
      <c r="K3" s="16"/>
      <c r="L3" s="16"/>
      <c r="M3" s="16"/>
      <c r="N3" s="16"/>
      <c r="O3" s="16"/>
      <c r="P3" s="16"/>
      <c r="Q3" s="2"/>
      <c r="R3" s="2"/>
    </row>
    <row r="4" spans="1:18" ht="13.2" x14ac:dyDescent="0.25">
      <c r="A4" s="172" t="s">
        <v>77</v>
      </c>
      <c r="B4" s="172"/>
      <c r="C4" s="172"/>
      <c r="D4" s="172"/>
      <c r="E4" s="172"/>
      <c r="F4" s="172"/>
      <c r="G4" s="172"/>
      <c r="H4" s="172"/>
      <c r="I4" s="172"/>
      <c r="J4" s="173"/>
      <c r="K4" s="173"/>
      <c r="L4" s="173"/>
      <c r="M4" s="173"/>
      <c r="N4" s="173"/>
      <c r="O4" s="173"/>
      <c r="P4" s="173"/>
      <c r="Q4" s="2"/>
      <c r="R4" s="2"/>
    </row>
    <row r="5" spans="1:18" ht="13.2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3"/>
      <c r="K5" s="173"/>
      <c r="L5" s="173"/>
      <c r="M5" s="173"/>
      <c r="N5" s="173"/>
      <c r="O5" s="173"/>
      <c r="P5" s="173"/>
      <c r="Q5" s="2"/>
      <c r="R5" s="2"/>
    </row>
    <row r="6" spans="1:18" ht="25.8" thickBot="1" x14ac:dyDescent="0.5">
      <c r="A6" s="3"/>
      <c r="B6" s="4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2"/>
      <c r="Q6" s="2"/>
      <c r="R6" s="2"/>
    </row>
    <row r="7" spans="1:18" x14ac:dyDescent="0.2">
      <c r="A7" s="2"/>
      <c r="B7" s="2"/>
      <c r="C7" s="2"/>
      <c r="D7" s="2"/>
      <c r="E7" s="2"/>
      <c r="F7" s="2"/>
      <c r="G7" s="2"/>
      <c r="H7" s="7"/>
      <c r="I7" s="7"/>
      <c r="J7" s="2"/>
      <c r="K7" s="2"/>
      <c r="L7" s="7"/>
      <c r="M7" s="7"/>
      <c r="N7" s="2"/>
      <c r="O7" s="2"/>
      <c r="P7" s="2"/>
      <c r="Q7" s="2"/>
      <c r="R7" s="2"/>
    </row>
    <row r="8" spans="1:18" s="185" customFormat="1" x14ac:dyDescent="0.2">
      <c r="A8" s="17"/>
      <c r="B8" s="18" t="s">
        <v>0</v>
      </c>
      <c r="C8" s="18" t="s">
        <v>0</v>
      </c>
      <c r="D8" s="18" t="s">
        <v>36</v>
      </c>
      <c r="E8" s="18" t="s">
        <v>13</v>
      </c>
      <c r="F8" s="18" t="s">
        <v>14</v>
      </c>
      <c r="G8" s="18" t="s">
        <v>15</v>
      </c>
      <c r="H8" s="18" t="s">
        <v>37</v>
      </c>
      <c r="I8" s="18" t="s">
        <v>38</v>
      </c>
      <c r="J8" s="18" t="s">
        <v>39</v>
      </c>
      <c r="K8" s="18" t="s">
        <v>40</v>
      </c>
      <c r="L8" s="18" t="s">
        <v>41</v>
      </c>
      <c r="M8" s="18" t="s">
        <v>42</v>
      </c>
      <c r="N8" s="18" t="s">
        <v>43</v>
      </c>
      <c r="O8" s="18" t="s">
        <v>44</v>
      </c>
      <c r="P8" s="18" t="s">
        <v>57</v>
      </c>
      <c r="Q8" s="17"/>
      <c r="R8" s="17"/>
    </row>
    <row r="9" spans="1:18" x14ac:dyDescent="0.2">
      <c r="A9" s="17" t="s">
        <v>48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">
      <c r="A10" s="2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2"/>
      <c r="R10" s="2"/>
    </row>
    <row r="11" spans="1:18" x14ac:dyDescent="0.2">
      <c r="A11" s="2" t="s">
        <v>28</v>
      </c>
      <c r="B11" s="19"/>
      <c r="C11" s="19"/>
      <c r="D11" s="19"/>
      <c r="E11" s="19"/>
      <c r="F11" s="19">
        <f>+calc!F5</f>
        <v>100</v>
      </c>
      <c r="G11" s="19">
        <f>+calc!G5</f>
        <v>400</v>
      </c>
      <c r="H11" s="19">
        <f>+calc!H5</f>
        <v>700</v>
      </c>
      <c r="I11" s="19">
        <f>+calc!I5</f>
        <v>700</v>
      </c>
      <c r="J11" s="19">
        <f>+calc!J5</f>
        <v>700</v>
      </c>
      <c r="K11" s="19">
        <f>+calc!K5</f>
        <v>700</v>
      </c>
      <c r="L11" s="19">
        <f>+calc!L5</f>
        <v>1000</v>
      </c>
      <c r="M11" s="19">
        <f>+calc!M5</f>
        <v>10000</v>
      </c>
      <c r="N11" s="19">
        <f>+calc!N5</f>
        <v>1000</v>
      </c>
      <c r="O11" s="19">
        <f>+calc!O5</f>
        <v>10000</v>
      </c>
      <c r="P11" s="2"/>
      <c r="Q11" s="2"/>
      <c r="R11" s="2"/>
    </row>
    <row r="12" spans="1:18" x14ac:dyDescent="0.2">
      <c r="A12" s="2" t="s">
        <v>50</v>
      </c>
      <c r="B12" s="19"/>
      <c r="C12" s="19"/>
      <c r="D12" s="19"/>
      <c r="E12" s="19"/>
      <c r="F12" s="19"/>
      <c r="G12" s="19">
        <f>ROUND(G11*0.95,0)</f>
        <v>380</v>
      </c>
      <c r="H12" s="19"/>
      <c r="I12" s="19">
        <f>ROUND(I11*0.95,0)</f>
        <v>665</v>
      </c>
      <c r="J12" s="19"/>
      <c r="K12" s="19">
        <f>ROUND(K11*0.95,0)</f>
        <v>665</v>
      </c>
      <c r="L12" s="19"/>
      <c r="M12" s="19">
        <f>ROUND(M11*0.95,0)</f>
        <v>9500</v>
      </c>
      <c r="N12" s="19"/>
      <c r="O12" s="19">
        <f>ROUND(O11*0.95,0)</f>
        <v>9500</v>
      </c>
      <c r="P12" s="2"/>
      <c r="Q12" s="2"/>
      <c r="R12" s="2"/>
    </row>
    <row r="13" spans="1:18" x14ac:dyDescent="0.2">
      <c r="A13" s="2" t="s">
        <v>54</v>
      </c>
      <c r="B13" s="19"/>
      <c r="C13" s="19"/>
      <c r="D13" s="19"/>
      <c r="E13" s="19"/>
      <c r="F13" s="19"/>
      <c r="G13" s="19"/>
      <c r="H13" s="19">
        <f>0.5*H11</f>
        <v>350</v>
      </c>
      <c r="I13" s="19">
        <f>0.5*I11</f>
        <v>350</v>
      </c>
      <c r="J13" s="19">
        <f>0.5*J11</f>
        <v>350</v>
      </c>
      <c r="K13" s="19">
        <f>0.5*K11</f>
        <v>350</v>
      </c>
      <c r="L13" s="19"/>
      <c r="M13" s="19"/>
      <c r="N13" s="19"/>
      <c r="O13" s="19"/>
      <c r="P13" s="2"/>
      <c r="Q13" s="2"/>
      <c r="R13" s="2"/>
    </row>
    <row r="14" spans="1:18" x14ac:dyDescent="0.2">
      <c r="A14" s="2" t="s">
        <v>52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  <c r="Q14" s="2"/>
      <c r="R14" s="2"/>
    </row>
    <row r="15" spans="1:18" x14ac:dyDescent="0.2">
      <c r="A15" s="2" t="s">
        <v>31</v>
      </c>
      <c r="B15" s="19">
        <f>+calc!B9</f>
        <v>1000</v>
      </c>
      <c r="C15" s="19">
        <f>+calc!C9</f>
        <v>1200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  <c r="Q15" s="2"/>
      <c r="R15" s="2"/>
    </row>
    <row r="16" spans="1:18" x14ac:dyDescent="0.2">
      <c r="A16" s="2" t="s">
        <v>47</v>
      </c>
      <c r="B16" s="19">
        <f>+calc!B10</f>
        <v>1000</v>
      </c>
      <c r="C16" s="19">
        <f>+calc!C10</f>
        <v>1000</v>
      </c>
      <c r="D16" s="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  <c r="Q16" s="2"/>
      <c r="R16" s="2"/>
    </row>
    <row r="17" spans="1:18" x14ac:dyDescent="0.2">
      <c r="A17" s="2" t="s">
        <v>46</v>
      </c>
      <c r="B17" s="19">
        <f>+calc!B11</f>
        <v>0</v>
      </c>
      <c r="C17" s="19">
        <f>+calc!C11</f>
        <v>200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  <c r="Q17" s="2"/>
      <c r="R17" s="2"/>
    </row>
    <row r="18" spans="1:18" x14ac:dyDescent="0.2">
      <c r="A18" s="2" t="s">
        <v>34</v>
      </c>
      <c r="B18" s="19"/>
      <c r="C18" s="19"/>
      <c r="D18" s="19">
        <f>+calc!D12</f>
        <v>1500</v>
      </c>
      <c r="E18" s="19">
        <f>+calc!E12</f>
        <v>1800</v>
      </c>
      <c r="F18" s="19">
        <f>+calc!F12</f>
        <v>30000</v>
      </c>
      <c r="G18" s="19">
        <f>+calc!G12</f>
        <v>220000</v>
      </c>
      <c r="H18" s="19">
        <f>+calc!H12</f>
        <v>210000</v>
      </c>
      <c r="I18" s="19">
        <f>+calc!I12</f>
        <v>375000</v>
      </c>
      <c r="J18" s="19">
        <f>+calc!J12</f>
        <v>210000</v>
      </c>
      <c r="K18" s="19">
        <f>+calc!K12</f>
        <v>375000</v>
      </c>
      <c r="L18" s="19">
        <f>+calc!L12</f>
        <v>280000</v>
      </c>
      <c r="M18" s="19">
        <f>+calc!M12</f>
        <v>5000000</v>
      </c>
      <c r="N18" s="19">
        <f>+calc!N12</f>
        <v>280000</v>
      </c>
      <c r="O18" s="19">
        <f>+calc!O12</f>
        <v>5000000</v>
      </c>
      <c r="P18" s="19">
        <f>+calc!P12</f>
        <v>153142</v>
      </c>
      <c r="Q18" s="2"/>
      <c r="R18" s="2"/>
    </row>
    <row r="19" spans="1:18" x14ac:dyDescent="0.2">
      <c r="A19" s="2" t="s">
        <v>51</v>
      </c>
      <c r="B19" s="19"/>
      <c r="C19" s="19"/>
      <c r="D19" s="19"/>
      <c r="E19" s="19">
        <f>ROUND(E18*0.28,0)</f>
        <v>504</v>
      </c>
      <c r="F19" s="19"/>
      <c r="G19" s="19">
        <f>ROUND(G18*0.28,0)</f>
        <v>61600</v>
      </c>
      <c r="H19" s="19"/>
      <c r="I19" s="19">
        <f>ROUND(I18*0.28,0)</f>
        <v>105000</v>
      </c>
      <c r="J19" s="19"/>
      <c r="K19" s="19">
        <f>ROUND(K18*0.28,0)</f>
        <v>105000</v>
      </c>
      <c r="L19" s="19"/>
      <c r="M19" s="19">
        <f>ROUND(M18*0.28,0)</f>
        <v>1400000</v>
      </c>
      <c r="N19" s="19"/>
      <c r="O19" s="19">
        <f>ROUND(O18*0.28,0)</f>
        <v>1400000</v>
      </c>
      <c r="P19" s="2"/>
      <c r="Q19" s="2"/>
      <c r="R19" s="2"/>
    </row>
    <row r="20" spans="1:18" x14ac:dyDescent="0.2">
      <c r="A20" s="2" t="s">
        <v>32</v>
      </c>
      <c r="B20" s="19"/>
      <c r="C20" s="19"/>
      <c r="D20" s="19"/>
      <c r="E20" s="19">
        <f>E18-E19</f>
        <v>1296</v>
      </c>
      <c r="F20" s="19"/>
      <c r="G20" s="19">
        <f>G18-G19</f>
        <v>158400</v>
      </c>
      <c r="H20" s="19"/>
      <c r="I20" s="19">
        <f>I18-I19</f>
        <v>270000</v>
      </c>
      <c r="J20" s="19"/>
      <c r="K20" s="19">
        <f>K18-K19</f>
        <v>270000</v>
      </c>
      <c r="L20" s="19"/>
      <c r="M20" s="19">
        <f>M18-M19</f>
        <v>3600000</v>
      </c>
      <c r="N20" s="19"/>
      <c r="O20" s="19">
        <f>O18-O19</f>
        <v>3600000</v>
      </c>
      <c r="P20" s="2"/>
      <c r="Q20" s="2"/>
      <c r="R20" s="2"/>
    </row>
    <row r="21" spans="1:18" x14ac:dyDescent="0.2">
      <c r="A21" s="2" t="s">
        <v>49</v>
      </c>
      <c r="B21" s="19"/>
      <c r="C21" s="19"/>
      <c r="D21" s="19"/>
      <c r="E21" s="19"/>
      <c r="F21" s="20">
        <f>+ROUND(((F18/F11)/730),3)</f>
        <v>0.41099999999999998</v>
      </c>
      <c r="G21" s="20">
        <f t="shared" ref="G21:O21" si="0">+ROUND(((G18/G11)/730),3)</f>
        <v>0.753</v>
      </c>
      <c r="H21" s="20">
        <f t="shared" si="0"/>
        <v>0.41099999999999998</v>
      </c>
      <c r="I21" s="20">
        <f t="shared" si="0"/>
        <v>0.73399999999999999</v>
      </c>
      <c r="J21" s="20">
        <f t="shared" si="0"/>
        <v>0.41099999999999998</v>
      </c>
      <c r="K21" s="20">
        <f t="shared" si="0"/>
        <v>0.73399999999999999</v>
      </c>
      <c r="L21" s="20">
        <f t="shared" si="0"/>
        <v>0.38400000000000001</v>
      </c>
      <c r="M21" s="20">
        <f t="shared" si="0"/>
        <v>0.68500000000000005</v>
      </c>
      <c r="N21" s="20">
        <f t="shared" si="0"/>
        <v>0.38400000000000001</v>
      </c>
      <c r="O21" s="20">
        <f t="shared" si="0"/>
        <v>0.68500000000000005</v>
      </c>
      <c r="P21" s="2"/>
      <c r="Q21" s="2"/>
      <c r="R21" s="2"/>
    </row>
    <row r="22" spans="1:18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"/>
      <c r="R23" s="2"/>
    </row>
    <row r="24" spans="1:1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17" t="s">
        <v>45</v>
      </c>
      <c r="B25" s="21">
        <f>calc!B52</f>
        <v>124.89000000000001</v>
      </c>
      <c r="C25" s="21">
        <f>calc!C52</f>
        <v>153.20600000000002</v>
      </c>
      <c r="D25" s="21">
        <f>calc!D52</f>
        <v>196.69499999999996</v>
      </c>
      <c r="E25" s="21">
        <f>calc!E52</f>
        <v>229.96984</v>
      </c>
      <c r="F25" s="21">
        <f>calc!F52</f>
        <v>3112.38</v>
      </c>
      <c r="G25" s="21">
        <f>calc!G52</f>
        <v>17985.61</v>
      </c>
      <c r="H25" s="21">
        <f>calc!H52</f>
        <v>18460.850000000002</v>
      </c>
      <c r="I25" s="21">
        <f>calc!I52</f>
        <v>26649.52</v>
      </c>
      <c r="J25" s="21">
        <f>calc!J52</f>
        <v>18972.575500000003</v>
      </c>
      <c r="K25" s="21">
        <f>calc!K52</f>
        <v>25963.806999999997</v>
      </c>
      <c r="L25" s="21">
        <f>calc!L52</f>
        <v>20040.810000000001</v>
      </c>
      <c r="M25" s="21">
        <f>calc!M52</f>
        <v>305146.64999999997</v>
      </c>
      <c r="N25" s="21">
        <f>calc!N52</f>
        <v>22314.86</v>
      </c>
      <c r="O25" s="21">
        <f>calc!O52</f>
        <v>288326.14</v>
      </c>
      <c r="P25" s="21">
        <f>calc!P52</f>
        <v>45497.918119999995</v>
      </c>
      <c r="Q25" s="2"/>
      <c r="R25" s="2"/>
    </row>
    <row r="26" spans="1:18" x14ac:dyDescent="0.2">
      <c r="A26" s="2" t="s">
        <v>53</v>
      </c>
      <c r="B26" s="22">
        <f>ROUND(B25/B15,5)*100</f>
        <v>12.489000000000001</v>
      </c>
      <c r="C26" s="22">
        <f>ROUND(C25/C15,5)*100</f>
        <v>12.767000000000001</v>
      </c>
      <c r="D26" s="22">
        <f>ROUND(D25/D18,5)*100</f>
        <v>13.113</v>
      </c>
      <c r="E26" s="22">
        <f t="shared" ref="E26:P26" si="1">ROUND(E25/E18,5)*100</f>
        <v>12.776000000000002</v>
      </c>
      <c r="F26" s="22">
        <f t="shared" si="1"/>
        <v>10.375</v>
      </c>
      <c r="G26" s="22">
        <f t="shared" si="1"/>
        <v>8.1750000000000007</v>
      </c>
      <c r="H26" s="22">
        <f t="shared" si="1"/>
        <v>8.7910000000000004</v>
      </c>
      <c r="I26" s="22">
        <f t="shared" si="1"/>
        <v>7.1069999999999993</v>
      </c>
      <c r="J26" s="22">
        <f t="shared" si="1"/>
        <v>9.0350000000000001</v>
      </c>
      <c r="K26" s="22">
        <f t="shared" si="1"/>
        <v>6.9239999999999995</v>
      </c>
      <c r="L26" s="22">
        <f t="shared" si="1"/>
        <v>7.1569999999999991</v>
      </c>
      <c r="M26" s="22">
        <f t="shared" si="1"/>
        <v>6.1029999999999998</v>
      </c>
      <c r="N26" s="22">
        <f t="shared" si="1"/>
        <v>7.9699999999999989</v>
      </c>
      <c r="O26" s="22">
        <f t="shared" si="1"/>
        <v>5.7669999999999995</v>
      </c>
      <c r="P26" s="22">
        <f t="shared" si="1"/>
        <v>29.709999999999997</v>
      </c>
      <c r="Q26" s="2"/>
      <c r="R26" s="2"/>
    </row>
    <row r="27" spans="1:1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3"/>
      <c r="Q27" s="2"/>
      <c r="R27" s="2"/>
    </row>
    <row r="28" spans="1:1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17" t="s">
        <v>3</v>
      </c>
      <c r="B29" s="21">
        <f>calc!B92</f>
        <v>127.98</v>
      </c>
      <c r="C29" s="21">
        <f>calc!C92</f>
        <v>156.916</v>
      </c>
      <c r="D29" s="21">
        <f>calc!D92</f>
        <v>200.57999999999998</v>
      </c>
      <c r="E29" s="21">
        <f>calc!E92</f>
        <v>234.64384000000001</v>
      </c>
      <c r="F29" s="21">
        <f>calc!F92</f>
        <v>3168.9900000000002</v>
      </c>
      <c r="G29" s="21">
        <f>calc!G92</f>
        <v>18400.790000000005</v>
      </c>
      <c r="H29" s="21">
        <f>calc!H92</f>
        <v>19068.239999999998</v>
      </c>
      <c r="I29" s="21">
        <f>calc!I92</f>
        <v>27734.129999999997</v>
      </c>
      <c r="J29" s="21">
        <f>calc!J92</f>
        <v>19579.965499999998</v>
      </c>
      <c r="K29" s="21">
        <f>calc!K92</f>
        <v>27048.426999999996</v>
      </c>
      <c r="L29" s="21">
        <f>calc!L92</f>
        <v>20388.3</v>
      </c>
      <c r="M29" s="21">
        <f>calc!M92</f>
        <v>311351.77999999997</v>
      </c>
      <c r="N29" s="21">
        <f>calc!N92</f>
        <v>22662.350000000002</v>
      </c>
      <c r="O29" s="21">
        <f>calc!O92</f>
        <v>294531.26</v>
      </c>
      <c r="P29" s="21">
        <f>calc!P92</f>
        <v>45812.05212</v>
      </c>
      <c r="Q29" s="2"/>
      <c r="R29" s="2"/>
    </row>
    <row r="30" spans="1:18" x14ac:dyDescent="0.2">
      <c r="A30" s="2" t="s">
        <v>53</v>
      </c>
      <c r="B30" s="2">
        <f>ROUND(B29/B15,5)*100</f>
        <v>12.798000000000002</v>
      </c>
      <c r="C30" s="2">
        <f>ROUND(C29/C15,5)*100</f>
        <v>13.075999999999999</v>
      </c>
      <c r="D30" s="2">
        <f>ROUND(D29/D18,5)*100</f>
        <v>13.372</v>
      </c>
      <c r="E30" s="22">
        <f t="shared" ref="E30:P30" si="2">ROUND(E29/E18,5)*100</f>
        <v>13.036</v>
      </c>
      <c r="F30" s="22">
        <f t="shared" si="2"/>
        <v>10.563000000000001</v>
      </c>
      <c r="G30" s="22">
        <f t="shared" si="2"/>
        <v>8.3640000000000008</v>
      </c>
      <c r="H30" s="22">
        <f t="shared" si="2"/>
        <v>9.08</v>
      </c>
      <c r="I30" s="22">
        <f t="shared" si="2"/>
        <v>7.3959999999999999</v>
      </c>
      <c r="J30" s="22">
        <f t="shared" si="2"/>
        <v>9.3239999999999998</v>
      </c>
      <c r="K30" s="22">
        <f t="shared" si="2"/>
        <v>7.2130000000000001</v>
      </c>
      <c r="L30" s="22">
        <f t="shared" si="2"/>
        <v>7.282</v>
      </c>
      <c r="M30" s="22">
        <f t="shared" si="2"/>
        <v>6.2270000000000003</v>
      </c>
      <c r="N30" s="22">
        <f t="shared" si="2"/>
        <v>8.0939999999999994</v>
      </c>
      <c r="O30" s="22">
        <f t="shared" si="2"/>
        <v>5.891</v>
      </c>
      <c r="P30" s="22">
        <f t="shared" si="2"/>
        <v>29.915000000000003</v>
      </c>
      <c r="Q30" s="2"/>
      <c r="R30" s="2"/>
    </row>
    <row r="31" spans="1:18" x14ac:dyDescent="0.2">
      <c r="A31" s="2"/>
      <c r="B31" s="2"/>
      <c r="C31" s="2"/>
      <c r="D31" s="22"/>
      <c r="E31" s="2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17" t="s">
        <v>4</v>
      </c>
      <c r="B32" s="21">
        <f>B29-B25</f>
        <v>3.0899999999999892</v>
      </c>
      <c r="C32" s="21">
        <f>C29-C25</f>
        <v>3.7099999999999795</v>
      </c>
      <c r="D32" s="21">
        <f>D29-D25</f>
        <v>3.8850000000000193</v>
      </c>
      <c r="E32" s="21">
        <f>E29-E25</f>
        <v>4.6740000000000066</v>
      </c>
      <c r="F32" s="21">
        <f t="shared" ref="F32:O32" si="3">F29-F25</f>
        <v>56.610000000000127</v>
      </c>
      <c r="G32" s="21">
        <f t="shared" si="3"/>
        <v>415.18000000000393</v>
      </c>
      <c r="H32" s="21">
        <f t="shared" si="3"/>
        <v>607.38999999999578</v>
      </c>
      <c r="I32" s="21">
        <f t="shared" si="3"/>
        <v>1084.6099999999969</v>
      </c>
      <c r="J32" s="21">
        <f t="shared" si="3"/>
        <v>607.38999999999578</v>
      </c>
      <c r="K32" s="21">
        <f t="shared" si="3"/>
        <v>1084.619999999999</v>
      </c>
      <c r="L32" s="21">
        <f t="shared" si="3"/>
        <v>347.48999999999796</v>
      </c>
      <c r="M32" s="21">
        <f t="shared" si="3"/>
        <v>6205.1300000000047</v>
      </c>
      <c r="N32" s="21">
        <f t="shared" si="3"/>
        <v>347.4900000000016</v>
      </c>
      <c r="O32" s="21">
        <f t="shared" si="3"/>
        <v>6205.1199999999953</v>
      </c>
      <c r="P32" s="21">
        <f>P29-P25</f>
        <v>314.13400000000547</v>
      </c>
      <c r="Q32" s="2"/>
      <c r="R32" s="2"/>
    </row>
    <row r="33" spans="1:25" x14ac:dyDescent="0.2">
      <c r="A33" s="17"/>
      <c r="B33" s="24">
        <f>ROUND(B32/B25,3)</f>
        <v>2.5000000000000001E-2</v>
      </c>
      <c r="C33" s="24">
        <f>ROUND(C32/C25,3)</f>
        <v>2.4E-2</v>
      </c>
      <c r="D33" s="24">
        <f>ROUND(D32/D25,3)</f>
        <v>0.02</v>
      </c>
      <c r="E33" s="24">
        <f t="shared" ref="E33:P33" si="4">ROUND(E32/E25,3)</f>
        <v>0.02</v>
      </c>
      <c r="F33" s="24">
        <f t="shared" si="4"/>
        <v>1.7999999999999999E-2</v>
      </c>
      <c r="G33" s="24">
        <f t="shared" si="4"/>
        <v>2.3E-2</v>
      </c>
      <c r="H33" s="24">
        <f t="shared" si="4"/>
        <v>3.3000000000000002E-2</v>
      </c>
      <c r="I33" s="24">
        <f t="shared" si="4"/>
        <v>4.1000000000000002E-2</v>
      </c>
      <c r="J33" s="24">
        <f t="shared" si="4"/>
        <v>3.2000000000000001E-2</v>
      </c>
      <c r="K33" s="24">
        <f t="shared" si="4"/>
        <v>4.2000000000000003E-2</v>
      </c>
      <c r="L33" s="24">
        <f t="shared" si="4"/>
        <v>1.7000000000000001E-2</v>
      </c>
      <c r="M33" s="24">
        <f t="shared" si="4"/>
        <v>0.02</v>
      </c>
      <c r="N33" s="24">
        <f t="shared" si="4"/>
        <v>1.6E-2</v>
      </c>
      <c r="O33" s="24">
        <f t="shared" si="4"/>
        <v>2.1999999999999999E-2</v>
      </c>
      <c r="P33" s="24">
        <f t="shared" si="4"/>
        <v>7.0000000000000001E-3</v>
      </c>
      <c r="Q33" s="2"/>
      <c r="R33" s="2"/>
    </row>
    <row r="34" spans="1:25" x14ac:dyDescent="0.2">
      <c r="A34" s="2"/>
      <c r="B34" s="2"/>
      <c r="C34" s="2"/>
      <c r="D34" s="2" t="s">
        <v>80</v>
      </c>
      <c r="E34" s="2"/>
      <c r="F34" s="7" t="s">
        <v>81</v>
      </c>
      <c r="G34" s="7" t="s">
        <v>82</v>
      </c>
      <c r="H34" s="12"/>
      <c r="I34" s="25" t="s">
        <v>128</v>
      </c>
      <c r="J34" s="25"/>
      <c r="K34" s="12"/>
      <c r="L34" s="25" t="s">
        <v>129</v>
      </c>
      <c r="M34" s="25"/>
      <c r="N34" s="12"/>
      <c r="O34" s="12"/>
      <c r="P34" s="2"/>
      <c r="Q34" s="2"/>
      <c r="R34" s="2"/>
    </row>
    <row r="35" spans="1:25" x14ac:dyDescent="0.2">
      <c r="A35" s="2"/>
      <c r="B35" s="2"/>
      <c r="C35" s="2"/>
      <c r="D35" s="2"/>
      <c r="E35" s="2"/>
      <c r="F35" s="7"/>
      <c r="G35" s="7"/>
      <c r="H35" s="12"/>
      <c r="I35" s="12"/>
      <c r="J35" s="26"/>
      <c r="K35" s="12"/>
      <c r="L35" s="12"/>
      <c r="M35" s="12"/>
      <c r="N35" s="12"/>
      <c r="O35" s="12"/>
      <c r="P35" s="2"/>
      <c r="Q35" s="2"/>
      <c r="R35" s="2"/>
    </row>
    <row r="36" spans="1:25" ht="10.8" thickBot="1" x14ac:dyDescent="0.25">
      <c r="A36" s="2"/>
      <c r="B36" s="2"/>
      <c r="C36" s="2"/>
      <c r="D36" s="2"/>
      <c r="E36" s="2"/>
      <c r="F36" s="7"/>
      <c r="G36" s="7"/>
      <c r="H36" s="12"/>
      <c r="I36" s="12"/>
      <c r="J36" s="26"/>
      <c r="K36" s="12"/>
      <c r="L36" s="12"/>
      <c r="M36" s="12"/>
      <c r="N36" s="12"/>
      <c r="O36" s="12"/>
      <c r="P36" s="2"/>
      <c r="Q36" s="27"/>
      <c r="R36" s="2"/>
    </row>
    <row r="37" spans="1:25" ht="25.5" customHeight="1" x14ac:dyDescent="0.2">
      <c r="A37" s="2"/>
      <c r="B37" s="2"/>
      <c r="C37" s="2"/>
      <c r="D37" s="2"/>
      <c r="E37" s="2"/>
      <c r="F37" s="7"/>
      <c r="G37" s="7"/>
      <c r="H37" s="12"/>
      <c r="I37" s="28" t="s">
        <v>116</v>
      </c>
      <c r="J37" s="29" t="s">
        <v>117</v>
      </c>
      <c r="K37" s="30" t="s">
        <v>115</v>
      </c>
      <c r="L37" s="29" t="s">
        <v>121</v>
      </c>
      <c r="M37" s="31" t="s">
        <v>122</v>
      </c>
      <c r="N37" s="12"/>
      <c r="O37" s="12"/>
      <c r="P37" s="2"/>
      <c r="Q37" s="2"/>
      <c r="R37" s="2"/>
    </row>
    <row r="38" spans="1:25" x14ac:dyDescent="0.2">
      <c r="A38" s="32"/>
      <c r="B38" s="33"/>
      <c r="C38" s="12"/>
      <c r="D38" s="12"/>
      <c r="E38" s="12"/>
      <c r="F38" s="12"/>
      <c r="G38" s="12"/>
      <c r="H38" s="12"/>
      <c r="I38" s="34" t="s">
        <v>113</v>
      </c>
      <c r="J38" s="35">
        <f>+MIN(D33,G33)</f>
        <v>0.02</v>
      </c>
      <c r="K38" s="35">
        <f>+MIN(F33:O33)</f>
        <v>1.6E-2</v>
      </c>
      <c r="L38" s="35">
        <f>+MIN(H33:K33)</f>
        <v>3.2000000000000001E-2</v>
      </c>
      <c r="M38" s="36">
        <f>+MIN(L33:O33)</f>
        <v>1.6E-2</v>
      </c>
      <c r="N38" s="12"/>
      <c r="O38" s="12"/>
      <c r="P38" s="37"/>
      <c r="Q38" s="2"/>
      <c r="R38" s="2"/>
    </row>
    <row r="39" spans="1:25" ht="10.8" thickBot="1" x14ac:dyDescent="0.25">
      <c r="A39" s="32"/>
      <c r="B39" s="38"/>
      <c r="C39" s="12"/>
      <c r="D39" s="12"/>
      <c r="E39" s="12"/>
      <c r="F39" s="12"/>
      <c r="G39" s="12"/>
      <c r="H39" s="12"/>
      <c r="I39" s="39" t="s">
        <v>114</v>
      </c>
      <c r="J39" s="40">
        <f>+MAX(D33:G33)</f>
        <v>2.3E-2</v>
      </c>
      <c r="K39" s="40">
        <f>+MAX(F33:O33)</f>
        <v>4.2000000000000003E-2</v>
      </c>
      <c r="L39" s="40">
        <f>+MAX(H33:K33)</f>
        <v>4.2000000000000003E-2</v>
      </c>
      <c r="M39" s="41">
        <f>+MAX(L33:O33)</f>
        <v>2.1999999999999999E-2</v>
      </c>
      <c r="N39" s="12"/>
      <c r="O39" s="12"/>
      <c r="P39" s="12"/>
      <c r="Q39" s="2"/>
      <c r="R39" s="27"/>
    </row>
    <row r="40" spans="1:25" ht="13.8" x14ac:dyDescent="0.3">
      <c r="A40" s="32"/>
      <c r="B40" s="38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"/>
      <c r="R40" s="27"/>
      <c r="W40" s="186"/>
      <c r="X40" s="186"/>
      <c r="Y40" s="186"/>
    </row>
    <row r="41" spans="1:25" ht="13.8" x14ac:dyDescent="0.3">
      <c r="A41" s="32" t="s">
        <v>132</v>
      </c>
      <c r="B41" s="24"/>
      <c r="C41" s="24"/>
      <c r="D41" s="24"/>
      <c r="E41" s="24"/>
      <c r="F41" s="24"/>
      <c r="G41" s="24"/>
      <c r="H41" s="42"/>
      <c r="I41" s="24"/>
      <c r="J41" s="24"/>
      <c r="K41" s="24"/>
      <c r="L41" s="24"/>
      <c r="M41" s="24"/>
      <c r="N41" s="24"/>
      <c r="O41" s="24"/>
      <c r="P41" s="24"/>
      <c r="Q41" s="2"/>
      <c r="R41" s="2"/>
      <c r="W41" s="186"/>
      <c r="X41" s="186"/>
      <c r="Y41" s="186"/>
    </row>
    <row r="42" spans="1:25" ht="13.8" x14ac:dyDescent="0.3">
      <c r="A42" s="44" t="s">
        <v>62</v>
      </c>
      <c r="B42" s="44"/>
      <c r="C42" s="44"/>
      <c r="D42" s="44"/>
      <c r="E42" s="44"/>
      <c r="F42" s="44"/>
      <c r="G42" s="44"/>
      <c r="H42" s="44"/>
      <c r="I42" s="45"/>
      <c r="J42" s="45"/>
      <c r="K42" s="46"/>
      <c r="L42" s="44"/>
      <c r="M42" s="44"/>
      <c r="N42" s="44"/>
      <c r="O42" s="44"/>
      <c r="P42" s="44"/>
      <c r="Q42" s="44"/>
      <c r="R42" s="44"/>
      <c r="W42" s="187"/>
      <c r="X42" s="187"/>
      <c r="Y42" s="187"/>
    </row>
    <row r="43" spans="1:25" x14ac:dyDescent="0.2">
      <c r="A43" s="44" t="s">
        <v>63</v>
      </c>
      <c r="B43" s="44"/>
      <c r="C43" s="44"/>
      <c r="D43" s="47"/>
      <c r="E43" s="48"/>
      <c r="F43" s="55">
        <v>0.9</v>
      </c>
      <c r="G43" s="49">
        <f>+F43</f>
        <v>0.9</v>
      </c>
      <c r="H43" s="47"/>
      <c r="I43" s="45"/>
      <c r="J43" s="45"/>
      <c r="K43" s="46"/>
      <c r="L43" s="55">
        <v>0.1</v>
      </c>
      <c r="M43" s="49">
        <f>+L43</f>
        <v>0.1</v>
      </c>
      <c r="N43" s="47"/>
      <c r="O43" s="49"/>
      <c r="P43" s="44"/>
      <c r="Q43" s="44"/>
      <c r="R43" s="44"/>
    </row>
    <row r="44" spans="1:25" s="188" customFormat="1" x14ac:dyDescent="0.2">
      <c r="A44" s="50" t="s">
        <v>64</v>
      </c>
      <c r="B44" s="50"/>
      <c r="C44" s="50"/>
      <c r="D44" s="50"/>
      <c r="E44" s="50"/>
      <c r="F44" s="50">
        <f>5448+248</f>
        <v>5696</v>
      </c>
      <c r="G44" s="50">
        <f>15950-F44</f>
        <v>10254</v>
      </c>
      <c r="H44" s="50"/>
      <c r="I44" s="50"/>
      <c r="J44" s="50"/>
      <c r="K44" s="50"/>
      <c r="L44" s="50">
        <f>57+263+2+1</f>
        <v>323</v>
      </c>
      <c r="M44" s="50">
        <f>2559-L44</f>
        <v>2236</v>
      </c>
      <c r="N44" s="50"/>
      <c r="O44" s="50"/>
      <c r="P44" s="50"/>
      <c r="Q44" s="50">
        <f t="shared" ref="Q44:Q50" si="5">SUM(D44:O44)</f>
        <v>18509</v>
      </c>
      <c r="R44" s="50"/>
    </row>
    <row r="45" spans="1:25" s="188" customFormat="1" x14ac:dyDescent="0.2">
      <c r="A45" s="50" t="s">
        <v>66</v>
      </c>
      <c r="B45" s="50"/>
      <c r="C45" s="50"/>
      <c r="D45" s="50"/>
      <c r="E45" s="50"/>
      <c r="F45" s="50">
        <f>+F44*F43</f>
        <v>5126.4000000000005</v>
      </c>
      <c r="G45" s="50">
        <f>+G44*G43</f>
        <v>9228.6</v>
      </c>
      <c r="H45" s="50"/>
      <c r="I45" s="50"/>
      <c r="J45" s="50"/>
      <c r="K45" s="50"/>
      <c r="L45" s="50">
        <f>+L44*L43</f>
        <v>32.300000000000004</v>
      </c>
      <c r="M45" s="50">
        <f>+M44*M43</f>
        <v>223.60000000000002</v>
      </c>
      <c r="N45" s="50"/>
      <c r="O45" s="50"/>
      <c r="P45" s="50"/>
      <c r="Q45" s="50">
        <f t="shared" si="5"/>
        <v>14610.9</v>
      </c>
      <c r="R45" s="50"/>
    </row>
    <row r="46" spans="1:25" s="188" customFormat="1" x14ac:dyDescent="0.2">
      <c r="A46" s="50" t="s">
        <v>65</v>
      </c>
      <c r="B46" s="50"/>
      <c r="C46" s="50"/>
      <c r="D46" s="48"/>
      <c r="E46" s="48"/>
      <c r="F46" s="51">
        <f>+F45/$Q$45</f>
        <v>0.35086134324374274</v>
      </c>
      <c r="G46" s="51">
        <f>+G45/$Q$45</f>
        <v>0.63162433525655504</v>
      </c>
      <c r="H46" s="48"/>
      <c r="I46" s="48"/>
      <c r="J46" s="48"/>
      <c r="K46" s="48"/>
      <c r="L46" s="51">
        <f>+L45/$Q$45</f>
        <v>2.2106783291925896E-3</v>
      </c>
      <c r="M46" s="51">
        <f>+M45/$Q$45</f>
        <v>1.530364317050969E-2</v>
      </c>
      <c r="N46" s="48"/>
      <c r="O46" s="48"/>
      <c r="P46" s="50"/>
      <c r="Q46" s="48">
        <f t="shared" si="5"/>
        <v>1</v>
      </c>
      <c r="R46" s="44" t="s">
        <v>68</v>
      </c>
    </row>
    <row r="47" spans="1:25" x14ac:dyDescent="0.2">
      <c r="A47" s="50" t="s">
        <v>67</v>
      </c>
      <c r="B47" s="44"/>
      <c r="C47" s="44"/>
      <c r="D47" s="45"/>
      <c r="E47" s="45"/>
      <c r="F47" s="45">
        <f>+F30*F$46</f>
        <v>3.7061483686836549</v>
      </c>
      <c r="G47" s="45">
        <f>+G30*G$46</f>
        <v>5.2829059400858265</v>
      </c>
      <c r="H47" s="45"/>
      <c r="I47" s="45"/>
      <c r="J47" s="45"/>
      <c r="K47" s="45"/>
      <c r="L47" s="45">
        <f>+L30*L$46</f>
        <v>1.6098159593180436E-2</v>
      </c>
      <c r="M47" s="45">
        <f>+M30*M$46</f>
        <v>9.529578602276384E-2</v>
      </c>
      <c r="N47" s="45"/>
      <c r="O47" s="45"/>
      <c r="P47" s="44"/>
      <c r="Q47" s="45">
        <f t="shared" si="5"/>
        <v>9.1004482543854266</v>
      </c>
      <c r="R47" s="45">
        <f>+Q47/1.025641</f>
        <v>8.8729372698492224</v>
      </c>
      <c r="S47" s="189"/>
    </row>
    <row r="48" spans="1:25" x14ac:dyDescent="0.2">
      <c r="A48" s="50" t="s">
        <v>69</v>
      </c>
      <c r="B48" s="44"/>
      <c r="C48" s="44"/>
      <c r="D48" s="52"/>
      <c r="E48" s="52"/>
      <c r="F48" s="45">
        <f>+calc!$F$72*$F$46/$F$18*100</f>
        <v>1.7311147814303023</v>
      </c>
      <c r="G48" s="45">
        <f>+calc!$G$72*$G$46/$G$18*100</f>
        <v>2.2364606141118806</v>
      </c>
      <c r="H48" s="52"/>
      <c r="I48" s="52" t="s">
        <v>118</v>
      </c>
      <c r="J48" s="52"/>
      <c r="K48" s="52"/>
      <c r="L48" s="45">
        <f>+calc!$L$72*$L$46/$L$18*100</f>
        <v>4.3965575846994865E-3</v>
      </c>
      <c r="M48" s="45">
        <f>+calc!$M$72*$M$46/$M$18*100</f>
        <v>2.4822506161838089E-2</v>
      </c>
      <c r="N48" s="52"/>
      <c r="O48" s="52"/>
      <c r="P48" s="44"/>
      <c r="Q48" s="45">
        <f t="shared" si="5"/>
        <v>3.9967944592887208</v>
      </c>
      <c r="R48" s="44"/>
      <c r="S48" s="175"/>
    </row>
    <row r="49" spans="1:22" x14ac:dyDescent="0.2">
      <c r="A49" s="50" t="s">
        <v>70</v>
      </c>
      <c r="B49" s="44"/>
      <c r="C49" s="44"/>
      <c r="D49" s="44"/>
      <c r="E49" s="44"/>
      <c r="F49" s="46">
        <f>+calc!$F$77*$F$46/$F$18*100</f>
        <v>1.1753854998665385</v>
      </c>
      <c r="G49" s="46">
        <f>(+calc!$G$79+calc!$G$80)*$G$46/$G$18*100</f>
        <v>2.0902723101246328</v>
      </c>
      <c r="H49" s="44"/>
      <c r="I49" s="44"/>
      <c r="J49" s="44"/>
      <c r="K49" s="44"/>
      <c r="L49" s="46">
        <f>+calc!$L$77*$L$46/$L$18*100</f>
        <v>7.4057724027951745E-3</v>
      </c>
      <c r="M49" s="46">
        <f>(+calc!$M$79+calc!$M$80)*$M$46/$M$18*100</f>
        <v>5.0645264562757954E-2</v>
      </c>
      <c r="N49" s="44"/>
      <c r="O49" s="44"/>
      <c r="P49" s="53"/>
      <c r="Q49" s="45">
        <f t="shared" si="5"/>
        <v>3.3237088469567242</v>
      </c>
      <c r="R49" s="44"/>
      <c r="S49" s="190"/>
    </row>
    <row r="50" spans="1:22" x14ac:dyDescent="0.2">
      <c r="A50" s="50" t="s">
        <v>71</v>
      </c>
      <c r="B50" s="44"/>
      <c r="C50" s="44"/>
      <c r="D50" s="44"/>
      <c r="E50" s="44"/>
      <c r="F50" s="46">
        <f>+F47-F48-F49</f>
        <v>0.79964808738681414</v>
      </c>
      <c r="G50" s="46">
        <f>+G47-G48-G49</f>
        <v>0.95617301584931313</v>
      </c>
      <c r="H50" s="44"/>
      <c r="I50" s="44"/>
      <c r="J50" s="44"/>
      <c r="K50" s="44"/>
      <c r="L50" s="46">
        <f>+L47-L48-L49</f>
        <v>4.295829605685776E-3</v>
      </c>
      <c r="M50" s="46">
        <f>+M47-M48-M49</f>
        <v>1.9828015298167793E-2</v>
      </c>
      <c r="N50" s="44"/>
      <c r="O50" s="44"/>
      <c r="P50" s="44"/>
      <c r="Q50" s="45">
        <f t="shared" si="5"/>
        <v>1.7799449481399809</v>
      </c>
      <c r="R50" s="44"/>
    </row>
    <row r="51" spans="1:22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22" x14ac:dyDescent="0.2">
      <c r="A52" s="44" t="s">
        <v>61</v>
      </c>
      <c r="B52" s="44"/>
      <c r="C52" s="44"/>
      <c r="D52" s="44"/>
      <c r="E52" s="44"/>
      <c r="F52" s="55">
        <f>1-F43</f>
        <v>9.9999999999999978E-2</v>
      </c>
      <c r="G52" s="49">
        <f>+F52</f>
        <v>9.9999999999999978E-2</v>
      </c>
      <c r="H52" s="47"/>
      <c r="I52" s="49"/>
      <c r="J52" s="49"/>
      <c r="K52" s="49"/>
      <c r="L52" s="55">
        <f>1-L43</f>
        <v>0.9</v>
      </c>
      <c r="M52" s="49">
        <f>+L52</f>
        <v>0.9</v>
      </c>
      <c r="N52" s="47"/>
      <c r="O52" s="49"/>
      <c r="P52" s="44"/>
      <c r="Q52" s="44"/>
      <c r="R52" s="44"/>
    </row>
    <row r="53" spans="1:22" x14ac:dyDescent="0.2">
      <c r="A53" s="44" t="s">
        <v>63</v>
      </c>
      <c r="B53" s="44"/>
      <c r="C53" s="44"/>
      <c r="D53" s="48"/>
      <c r="E53" s="48"/>
      <c r="F53" s="50">
        <f>5448+248</f>
        <v>5696</v>
      </c>
      <c r="G53" s="50">
        <f>15950-F53</f>
        <v>10254</v>
      </c>
      <c r="H53" s="50"/>
      <c r="I53" s="50"/>
      <c r="J53" s="50"/>
      <c r="K53" s="50"/>
      <c r="L53" s="50">
        <f>57+263+2+1</f>
        <v>323</v>
      </c>
      <c r="M53" s="50">
        <f>2559-L53</f>
        <v>2236</v>
      </c>
      <c r="N53" s="50"/>
      <c r="O53" s="50"/>
      <c r="P53" s="50"/>
      <c r="Q53" s="50">
        <f t="shared" ref="Q53:Q59" si="6">SUM(D53:O53)</f>
        <v>18509</v>
      </c>
      <c r="R53" s="44"/>
    </row>
    <row r="54" spans="1:22" x14ac:dyDescent="0.2">
      <c r="A54" s="50" t="s">
        <v>64</v>
      </c>
      <c r="B54" s="44"/>
      <c r="C54" s="44"/>
      <c r="D54" s="54"/>
      <c r="E54" s="54"/>
      <c r="F54" s="50">
        <f>+F53*F52</f>
        <v>569.59999999999991</v>
      </c>
      <c r="G54" s="50">
        <f>+G53*G52</f>
        <v>1025.3999999999999</v>
      </c>
      <c r="H54" s="50"/>
      <c r="I54" s="50"/>
      <c r="J54" s="50"/>
      <c r="K54" s="50"/>
      <c r="L54" s="50">
        <f>+L53*L52</f>
        <v>290.7</v>
      </c>
      <c r="M54" s="50">
        <f>+M53*M52</f>
        <v>2012.4</v>
      </c>
      <c r="N54" s="50"/>
      <c r="O54" s="50"/>
      <c r="P54" s="50"/>
      <c r="Q54" s="50">
        <f t="shared" si="6"/>
        <v>3898.1</v>
      </c>
      <c r="R54" s="44"/>
    </row>
    <row r="55" spans="1:22" x14ac:dyDescent="0.2">
      <c r="A55" s="50" t="s">
        <v>65</v>
      </c>
      <c r="B55" s="44"/>
      <c r="C55" s="44"/>
      <c r="D55" s="54"/>
      <c r="E55" s="54"/>
      <c r="F55" s="51">
        <f>+F54/$Q$54</f>
        <v>0.14612246992124367</v>
      </c>
      <c r="G55" s="51">
        <f>+G54/$Q$54</f>
        <v>0.26305123008645237</v>
      </c>
      <c r="H55" s="48"/>
      <c r="I55" s="48"/>
      <c r="J55" s="48"/>
      <c r="K55" s="48"/>
      <c r="L55" s="51">
        <f>+L54/$Q$54</f>
        <v>7.4574792847797639E-2</v>
      </c>
      <c r="M55" s="51">
        <f>+M54/$Q$54</f>
        <v>0.51625150714450629</v>
      </c>
      <c r="N55" s="48"/>
      <c r="O55" s="48"/>
      <c r="P55" s="50"/>
      <c r="Q55" s="48">
        <f t="shared" si="6"/>
        <v>1</v>
      </c>
      <c r="R55" s="44" t="s">
        <v>68</v>
      </c>
    </row>
    <row r="56" spans="1:22" x14ac:dyDescent="0.2">
      <c r="A56" s="50" t="s">
        <v>67</v>
      </c>
      <c r="B56" s="44"/>
      <c r="C56" s="44"/>
      <c r="D56" s="49"/>
      <c r="E56" s="49"/>
      <c r="F56" s="45">
        <f>+F30*F55</f>
        <v>1.5434916497780971</v>
      </c>
      <c r="G56" s="45">
        <f>+G30*G55</f>
        <v>2.2001604884430876</v>
      </c>
      <c r="H56" s="45"/>
      <c r="I56" s="45"/>
      <c r="J56" s="45"/>
      <c r="K56" s="45"/>
      <c r="L56" s="45">
        <f>+L30*L55</f>
        <v>0.54305364151766244</v>
      </c>
      <c r="M56" s="45">
        <f>+M30*M55</f>
        <v>3.2146981349888408</v>
      </c>
      <c r="N56" s="45"/>
      <c r="O56" s="45"/>
      <c r="P56" s="44"/>
      <c r="Q56" s="45">
        <f t="shared" si="6"/>
        <v>7.5014039147276881</v>
      </c>
      <c r="R56" s="45">
        <f>+Q56/1.02541</f>
        <v>7.3155166369819762</v>
      </c>
      <c r="S56" s="189"/>
    </row>
    <row r="57" spans="1:22" x14ac:dyDescent="0.2">
      <c r="A57" s="50" t="s">
        <v>69</v>
      </c>
      <c r="B57" s="44"/>
      <c r="C57" s="44"/>
      <c r="D57" s="50"/>
      <c r="E57" s="44"/>
      <c r="F57" s="45">
        <f>+calc!$F$72*$F$55/$F$18*100</f>
        <v>0.72095365434442416</v>
      </c>
      <c r="G57" s="45">
        <f>+calc!$G$72*$G$55/$G$18*100</f>
        <v>0.93141394772744757</v>
      </c>
      <c r="H57" s="52"/>
      <c r="I57" s="52"/>
      <c r="J57" s="52"/>
      <c r="K57" s="52"/>
      <c r="L57" s="45">
        <f>+calc!$L$72*$L$55/$L$18*100</f>
        <v>0.14831301632297053</v>
      </c>
      <c r="M57" s="45">
        <f>+calc!$M$72*$M$55/$M$18*100</f>
        <v>0.83735984133808794</v>
      </c>
      <c r="N57" s="52"/>
      <c r="O57" s="44"/>
      <c r="P57" s="44"/>
      <c r="Q57" s="45">
        <f t="shared" si="6"/>
        <v>2.6380404597329301</v>
      </c>
      <c r="R57" s="44"/>
      <c r="S57" s="175"/>
      <c r="V57" s="188"/>
    </row>
    <row r="58" spans="1:22" x14ac:dyDescent="0.2">
      <c r="A58" s="50" t="s">
        <v>70</v>
      </c>
      <c r="B58" s="44"/>
      <c r="C58" s="44"/>
      <c r="D58" s="44"/>
      <c r="E58" s="44"/>
      <c r="F58" s="46">
        <f>+calc!$F$77*$F$55/$F$18*100</f>
        <v>0.48951027423616633</v>
      </c>
      <c r="G58" s="46">
        <f>(+calc!$G$79+calc!$G$80)*$G$55/$G$18*100</f>
        <v>0.87053121879890205</v>
      </c>
      <c r="H58" s="44"/>
      <c r="I58" s="44"/>
      <c r="J58" s="44"/>
      <c r="K58" s="53"/>
      <c r="L58" s="46">
        <f>+calc!$L$77*$L$55/$L$18*100</f>
        <v>0.24982555604012208</v>
      </c>
      <c r="M58" s="46">
        <f>(+calc!$M$79+calc!$M$80)*$M$55/$M$18*100</f>
        <v>1.7084620876837435</v>
      </c>
      <c r="N58" s="53"/>
      <c r="O58" s="44"/>
      <c r="P58" s="53"/>
      <c r="Q58" s="45">
        <f t="shared" si="6"/>
        <v>3.3183291367589343</v>
      </c>
      <c r="R58" s="44"/>
      <c r="S58" s="190"/>
    </row>
    <row r="59" spans="1:22" x14ac:dyDescent="0.2">
      <c r="A59" s="50" t="s">
        <v>71</v>
      </c>
      <c r="B59" s="44"/>
      <c r="C59" s="44"/>
      <c r="D59" s="44"/>
      <c r="E59" s="44"/>
      <c r="F59" s="46">
        <f>+F56-F57-F58</f>
        <v>0.33302772119750657</v>
      </c>
      <c r="G59" s="46">
        <f>+G56-G57-G58</f>
        <v>0.39821532191673792</v>
      </c>
      <c r="H59" s="44"/>
      <c r="I59" s="44"/>
      <c r="J59" s="44"/>
      <c r="K59" s="44"/>
      <c r="L59" s="46">
        <f>+L56-L57-L58</f>
        <v>0.14491506915456981</v>
      </c>
      <c r="M59" s="46">
        <f>+M56-M57-M58</f>
        <v>0.66887620596700947</v>
      </c>
      <c r="N59" s="44"/>
      <c r="O59" s="44"/>
      <c r="P59" s="44"/>
      <c r="Q59" s="45">
        <f t="shared" si="6"/>
        <v>1.5450343182358237</v>
      </c>
      <c r="R59" s="44"/>
    </row>
    <row r="60" spans="1:2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sheetProtection algorithmName="SHA-512" hashValue="DK//s+v4ZatRVCL/t+PXJJtXIRZmqQAlNrPJx3GIarDajyUeXCErZ9eeDCEXvf4mR2XYUGHZTivKtzyCHz1VuQ==" saltValue="ef8IeHbzSrKfZbbGrJ1Ttg==" spinCount="100000" sheet="1" objects="1" formatCells="0" formatColumns="0" formatRows="0" insertColumns="0" insertRows="0" insertHyperlinks="0" deleteColumns="0" deleteRows="0" selectLockedCells="1" sort="0" autoFilter="0" pivotTables="0"/>
  <mergeCells count="4">
    <mergeCell ref="A5:P5"/>
    <mergeCell ref="A1:P1"/>
    <mergeCell ref="A2:P2"/>
    <mergeCell ref="A4:P4"/>
  </mergeCells>
  <phoneticPr fontId="2" type="noConversion"/>
  <pageMargins left="0" right="0" top="1" bottom="1" header="0.5" footer="0.5"/>
  <pageSetup scale="61" orientation="landscape" r:id="rId1"/>
  <headerFooter alignWithMargins="0">
    <oddFooter xml:space="preserve">&amp;L&amp;"Arial Narrow,Regular"&amp;8&amp;D&amp;R&amp;"Arial Narrow,Regular"&amp;8&amp;Z&amp;F  &amp;A&amp;"Arial,Regular"&amp;10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T114"/>
  <sheetViews>
    <sheetView view="pageBreakPreview" zoomScale="60" zoomScaleNormal="70" workbookViewId="0">
      <pane xSplit="1" ySplit="3" topLeftCell="B64" activePane="bottomRight" state="frozen"/>
      <selection activeCell="B19" sqref="B19"/>
      <selection pane="topRight" activeCell="B19" sqref="B19"/>
      <selection pane="bottomLeft" activeCell="B19" sqref="B19"/>
      <selection pane="bottomRight" activeCell="C96" sqref="C96"/>
    </sheetView>
  </sheetViews>
  <sheetFormatPr defaultColWidth="9.109375" defaultRowHeight="10.199999999999999" x14ac:dyDescent="0.2"/>
  <cols>
    <col min="1" max="1" width="26.33203125" style="177" bestFit="1" customWidth="1"/>
    <col min="2" max="5" width="7.6640625" style="177" bestFit="1" customWidth="1"/>
    <col min="6" max="6" width="9" style="177" bestFit="1" customWidth="1"/>
    <col min="7" max="8" width="9.88671875" style="177" bestFit="1" customWidth="1"/>
    <col min="9" max="9" width="10.33203125" style="177" bestFit="1" customWidth="1"/>
    <col min="10" max="10" width="9.88671875" style="177" bestFit="1" customWidth="1"/>
    <col min="11" max="11" width="10.33203125" style="177" bestFit="1" customWidth="1"/>
    <col min="12" max="12" width="10.6640625" style="177" bestFit="1" customWidth="1"/>
    <col min="13" max="13" width="11" style="177" bestFit="1" customWidth="1"/>
    <col min="14" max="14" width="10.6640625" style="177" bestFit="1" customWidth="1"/>
    <col min="15" max="15" width="11" style="177" bestFit="1" customWidth="1"/>
    <col min="16" max="16" width="10" style="177" bestFit="1" customWidth="1"/>
    <col min="17" max="17" width="13.88671875" style="177" bestFit="1" customWidth="1"/>
    <col min="18" max="18" width="9.109375" style="182"/>
    <col min="19" max="20" width="9.109375" style="174"/>
    <col min="21" max="16384" width="9.109375" style="177"/>
  </cols>
  <sheetData>
    <row r="1" spans="1:20" x14ac:dyDescent="0.2">
      <c r="A1" s="6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96</v>
      </c>
      <c r="R1" s="62"/>
      <c r="S1" s="2"/>
      <c r="T1" s="2"/>
    </row>
    <row r="2" spans="1:20" x14ac:dyDescent="0.2">
      <c r="A2" s="8"/>
      <c r="B2" s="1"/>
      <c r="C2" s="1"/>
      <c r="D2" s="1"/>
      <c r="E2" s="1"/>
      <c r="F2" s="1"/>
      <c r="G2" s="1"/>
      <c r="H2" s="63" t="s">
        <v>104</v>
      </c>
      <c r="I2" s="63"/>
      <c r="J2" s="1"/>
      <c r="K2" s="1"/>
      <c r="L2" s="63" t="s">
        <v>104</v>
      </c>
      <c r="M2" s="63"/>
      <c r="N2" s="1"/>
      <c r="O2" s="1"/>
      <c r="P2" s="1"/>
      <c r="Q2" s="1" t="s">
        <v>97</v>
      </c>
      <c r="R2" s="62"/>
      <c r="S2" s="2"/>
      <c r="T2" s="2"/>
    </row>
    <row r="3" spans="1:20" s="178" customFormat="1" x14ac:dyDescent="0.2">
      <c r="A3" s="8"/>
      <c r="B3" s="64" t="s">
        <v>0</v>
      </c>
      <c r="C3" s="64" t="s">
        <v>0</v>
      </c>
      <c r="D3" s="64" t="s">
        <v>36</v>
      </c>
      <c r="E3" s="64" t="s">
        <v>13</v>
      </c>
      <c r="F3" s="64" t="s">
        <v>14</v>
      </c>
      <c r="G3" s="64" t="s">
        <v>15</v>
      </c>
      <c r="H3" s="64" t="s">
        <v>37</v>
      </c>
      <c r="I3" s="64" t="s">
        <v>38</v>
      </c>
      <c r="J3" s="64" t="s">
        <v>39</v>
      </c>
      <c r="K3" s="64" t="s">
        <v>40</v>
      </c>
      <c r="L3" s="64" t="s">
        <v>41</v>
      </c>
      <c r="M3" s="64" t="s">
        <v>42</v>
      </c>
      <c r="N3" s="64" t="s">
        <v>43</v>
      </c>
      <c r="O3" s="64" t="s">
        <v>44</v>
      </c>
      <c r="P3" s="64" t="s">
        <v>22</v>
      </c>
      <c r="Q3" s="8"/>
      <c r="R3" s="65"/>
      <c r="S3" s="17"/>
      <c r="T3" s="17"/>
    </row>
    <row r="4" spans="1:20" x14ac:dyDescent="0.2">
      <c r="A4" s="1" t="s">
        <v>27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"/>
      <c r="R4" s="62"/>
      <c r="S4" s="2"/>
      <c r="T4" s="2"/>
    </row>
    <row r="5" spans="1:20" x14ac:dyDescent="0.2">
      <c r="A5" s="1" t="s">
        <v>28</v>
      </c>
      <c r="B5" s="9"/>
      <c r="C5" s="9"/>
      <c r="D5" s="9"/>
      <c r="E5" s="9"/>
      <c r="F5" s="9">
        <v>100</v>
      </c>
      <c r="G5" s="9">
        <v>400</v>
      </c>
      <c r="H5" s="9">
        <v>700</v>
      </c>
      <c r="I5" s="9">
        <f>+H5</f>
        <v>700</v>
      </c>
      <c r="J5" s="9">
        <f>+I5</f>
        <v>700</v>
      </c>
      <c r="K5" s="9">
        <f>+J5</f>
        <v>700</v>
      </c>
      <c r="L5" s="9">
        <v>1000</v>
      </c>
      <c r="M5" s="9">
        <v>10000</v>
      </c>
      <c r="N5" s="9">
        <f>+L5</f>
        <v>1000</v>
      </c>
      <c r="O5" s="9">
        <f>+M5</f>
        <v>10000</v>
      </c>
      <c r="P5" s="9"/>
      <c r="Q5" s="1"/>
      <c r="R5" s="62"/>
      <c r="S5" s="2"/>
      <c r="T5" s="2"/>
    </row>
    <row r="6" spans="1:20" x14ac:dyDescent="0.2">
      <c r="A6" s="1" t="s">
        <v>50</v>
      </c>
      <c r="B6" s="9"/>
      <c r="C6" s="9"/>
      <c r="D6" s="9"/>
      <c r="E6" s="9"/>
      <c r="F6" s="9"/>
      <c r="G6" s="9">
        <f>ROUND(G5*0.95,0)</f>
        <v>380</v>
      </c>
      <c r="H6" s="9"/>
      <c r="I6" s="9">
        <f>ROUND(I5*0.95,0)</f>
        <v>665</v>
      </c>
      <c r="J6" s="9"/>
      <c r="K6" s="9">
        <f>ROUND(K5*0.95,0)</f>
        <v>665</v>
      </c>
      <c r="L6" s="9"/>
      <c r="M6" s="9">
        <f>ROUND(M5*0.95,0)</f>
        <v>9500</v>
      </c>
      <c r="N6" s="9"/>
      <c r="O6" s="9">
        <f>ROUND(O5*0.95,0)</f>
        <v>9500</v>
      </c>
      <c r="P6" s="9"/>
      <c r="Q6" s="1"/>
      <c r="R6" s="62"/>
      <c r="S6" s="2"/>
      <c r="T6" s="2"/>
    </row>
    <row r="7" spans="1:20" x14ac:dyDescent="0.2">
      <c r="A7" s="1" t="s">
        <v>54</v>
      </c>
      <c r="B7" s="9"/>
      <c r="C7" s="9"/>
      <c r="D7" s="9"/>
      <c r="E7" s="9"/>
      <c r="F7" s="9"/>
      <c r="G7" s="9"/>
      <c r="H7" s="9">
        <f>0.5*H5</f>
        <v>350</v>
      </c>
      <c r="I7" s="9">
        <f>0.5*I5</f>
        <v>350</v>
      </c>
      <c r="J7" s="9">
        <f>0.5*J5</f>
        <v>350</v>
      </c>
      <c r="K7" s="9">
        <f>0.5*K5</f>
        <v>350</v>
      </c>
      <c r="L7" s="9"/>
      <c r="M7" s="9"/>
      <c r="N7" s="9"/>
      <c r="O7" s="9"/>
      <c r="P7" s="9"/>
      <c r="Q7" s="1"/>
      <c r="R7" s="62"/>
      <c r="S7" s="2"/>
      <c r="T7" s="2"/>
    </row>
    <row r="8" spans="1:20" x14ac:dyDescent="0.2">
      <c r="A8" s="1" t="s">
        <v>52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"/>
      <c r="R8" s="62"/>
      <c r="S8" s="2"/>
      <c r="T8" s="2"/>
    </row>
    <row r="9" spans="1:20" x14ac:dyDescent="0.2">
      <c r="A9" s="1" t="s">
        <v>31</v>
      </c>
      <c r="B9" s="9">
        <v>1000</v>
      </c>
      <c r="C9" s="9">
        <v>1200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"/>
      <c r="R9" s="62"/>
      <c r="S9" s="2"/>
      <c r="T9" s="2"/>
    </row>
    <row r="10" spans="1:20" x14ac:dyDescent="0.2">
      <c r="A10" s="1" t="s">
        <v>47</v>
      </c>
      <c r="B10" s="9">
        <f>+IF(B9&lt;1001,B9,1000)</f>
        <v>1000</v>
      </c>
      <c r="C10" s="9">
        <f>+IF(C9&lt;1001,C9,1000)</f>
        <v>1000</v>
      </c>
      <c r="D10" s="1"/>
      <c r="E10" s="9"/>
      <c r="F10" s="66"/>
      <c r="G10" s="9"/>
      <c r="H10" s="9"/>
      <c r="I10" s="9"/>
      <c r="J10" s="9"/>
      <c r="K10" s="9"/>
      <c r="L10" s="66"/>
      <c r="M10" s="9"/>
      <c r="N10" s="9"/>
      <c r="O10" s="9"/>
      <c r="P10" s="9"/>
      <c r="Q10" s="1"/>
      <c r="R10" s="62"/>
      <c r="S10" s="2"/>
      <c r="T10" s="2"/>
    </row>
    <row r="11" spans="1:20" x14ac:dyDescent="0.2">
      <c r="A11" s="1" t="s">
        <v>46</v>
      </c>
      <c r="B11" s="9">
        <f>+B9-B10</f>
        <v>0</v>
      </c>
      <c r="C11" s="9">
        <f>+C9-C10</f>
        <v>200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"/>
      <c r="R11" s="62"/>
      <c r="S11" s="2"/>
      <c r="T11" s="2"/>
    </row>
    <row r="12" spans="1:20" x14ac:dyDescent="0.2">
      <c r="A12" s="1" t="s">
        <v>34</v>
      </c>
      <c r="B12" s="9"/>
      <c r="C12" s="9"/>
      <c r="D12" s="9">
        <v>1500</v>
      </c>
      <c r="E12" s="9">
        <v>1800</v>
      </c>
      <c r="F12" s="9">
        <v>30000</v>
      </c>
      <c r="G12" s="9">
        <v>220000</v>
      </c>
      <c r="H12" s="9">
        <v>210000</v>
      </c>
      <c r="I12" s="9">
        <v>375000</v>
      </c>
      <c r="J12" s="9">
        <f>+H12</f>
        <v>210000</v>
      </c>
      <c r="K12" s="9">
        <f>+I12</f>
        <v>375000</v>
      </c>
      <c r="L12" s="9">
        <v>280000</v>
      </c>
      <c r="M12" s="9">
        <v>5000000</v>
      </c>
      <c r="N12" s="9">
        <f>+L12</f>
        <v>280000</v>
      </c>
      <c r="O12" s="9">
        <f>+M12</f>
        <v>5000000</v>
      </c>
      <c r="P12" s="67">
        <v>153142</v>
      </c>
      <c r="Q12" s="1"/>
      <c r="R12" s="62"/>
      <c r="S12" s="2"/>
      <c r="T12" s="2"/>
    </row>
    <row r="13" spans="1:20" x14ac:dyDescent="0.2">
      <c r="A13" s="1" t="s">
        <v>51</v>
      </c>
      <c r="B13" s="9"/>
      <c r="C13" s="9"/>
      <c r="D13" s="9"/>
      <c r="E13" s="9">
        <f>ROUND(E12*0.28,0)</f>
        <v>504</v>
      </c>
      <c r="F13" s="9"/>
      <c r="G13" s="9">
        <f>ROUND(G12*0.28,0)</f>
        <v>61600</v>
      </c>
      <c r="H13" s="9"/>
      <c r="I13" s="9">
        <f>ROUND(I12*0.28,0)</f>
        <v>105000</v>
      </c>
      <c r="J13" s="9"/>
      <c r="K13" s="9">
        <f>ROUND(K12*0.28,0)</f>
        <v>105000</v>
      </c>
      <c r="L13" s="9"/>
      <c r="M13" s="9">
        <f>ROUND(M12*0.28,0)</f>
        <v>1400000</v>
      </c>
      <c r="N13" s="9"/>
      <c r="O13" s="9">
        <f>ROUND(O12*0.28,0)</f>
        <v>1400000</v>
      </c>
      <c r="P13" s="19"/>
      <c r="Q13" s="1"/>
      <c r="R13" s="62"/>
      <c r="S13" s="2"/>
      <c r="T13" s="2"/>
    </row>
    <row r="14" spans="1:20" x14ac:dyDescent="0.2">
      <c r="A14" s="1" t="s">
        <v>32</v>
      </c>
      <c r="B14" s="9"/>
      <c r="C14" s="9"/>
      <c r="D14" s="9"/>
      <c r="E14" s="9">
        <f>E12-E13</f>
        <v>1296</v>
      </c>
      <c r="F14" s="9"/>
      <c r="G14" s="9">
        <f>G12-G13</f>
        <v>158400</v>
      </c>
      <c r="H14" s="9"/>
      <c r="I14" s="9">
        <f>I12-I13</f>
        <v>270000</v>
      </c>
      <c r="J14" s="9"/>
      <c r="K14" s="9">
        <f>K12-K13</f>
        <v>270000</v>
      </c>
      <c r="L14" s="9"/>
      <c r="M14" s="9">
        <f>M12-M13</f>
        <v>3600000</v>
      </c>
      <c r="N14" s="9"/>
      <c r="O14" s="9">
        <f>O12-O13</f>
        <v>3600000</v>
      </c>
      <c r="P14" s="19"/>
      <c r="Q14" s="1"/>
      <c r="R14" s="62"/>
      <c r="S14" s="2"/>
      <c r="T14" s="2"/>
    </row>
    <row r="15" spans="1:20" x14ac:dyDescent="0.2">
      <c r="A15" s="1" t="s">
        <v>49</v>
      </c>
      <c r="B15" s="9"/>
      <c r="C15" s="9"/>
      <c r="D15" s="9"/>
      <c r="E15" s="9"/>
      <c r="F15" s="10">
        <f>+ROUND(((F12/F5)/730),3)</f>
        <v>0.41099999999999998</v>
      </c>
      <c r="G15" s="10">
        <f t="shared" ref="G15:O15" si="0">+ROUND(((G12/G5)/730),3)</f>
        <v>0.753</v>
      </c>
      <c r="H15" s="10">
        <f t="shared" si="0"/>
        <v>0.41099999999999998</v>
      </c>
      <c r="I15" s="10">
        <f t="shared" si="0"/>
        <v>0.73399999999999999</v>
      </c>
      <c r="J15" s="10">
        <f t="shared" si="0"/>
        <v>0.41099999999999998</v>
      </c>
      <c r="K15" s="10">
        <f t="shared" si="0"/>
        <v>0.73399999999999999</v>
      </c>
      <c r="L15" s="10">
        <f t="shared" si="0"/>
        <v>0.38400000000000001</v>
      </c>
      <c r="M15" s="10">
        <f t="shared" si="0"/>
        <v>0.68500000000000005</v>
      </c>
      <c r="N15" s="10">
        <f t="shared" si="0"/>
        <v>0.38400000000000001</v>
      </c>
      <c r="O15" s="10">
        <f t="shared" si="0"/>
        <v>0.68500000000000005</v>
      </c>
      <c r="P15" s="20"/>
      <c r="Q15" s="1"/>
      <c r="R15" s="1"/>
      <c r="S15" s="2"/>
      <c r="T15" s="2"/>
    </row>
    <row r="16" spans="1:20" x14ac:dyDescent="0.2">
      <c r="A16" s="1"/>
      <c r="B16" s="1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7">
        <f>(25497+6473)*1.0912</f>
        <v>34885.663999999997</v>
      </c>
      <c r="Q16" s="1" t="s">
        <v>98</v>
      </c>
      <c r="R16" s="62"/>
      <c r="S16" s="2"/>
      <c r="T16" s="2"/>
    </row>
    <row r="17" spans="1:20" x14ac:dyDescent="0.2">
      <c r="A17" s="1"/>
      <c r="B17" s="17" t="s">
        <v>123</v>
      </c>
      <c r="C17" s="17"/>
      <c r="D17" s="17"/>
      <c r="E17" s="17"/>
      <c r="F17" s="17"/>
      <c r="G17" s="17"/>
      <c r="H17" s="17"/>
      <c r="I17" s="17"/>
      <c r="J17" s="2"/>
      <c r="K17" s="2"/>
      <c r="L17" s="2"/>
      <c r="M17" s="2"/>
      <c r="N17" s="2"/>
      <c r="O17" s="1"/>
      <c r="P17" s="1"/>
      <c r="Q17" s="1"/>
      <c r="R17" s="62"/>
      <c r="S17" s="2"/>
      <c r="T17" s="2"/>
    </row>
    <row r="18" spans="1:20" ht="13.8" x14ac:dyDescent="0.25">
      <c r="A18" s="68" t="s">
        <v>86</v>
      </c>
      <c r="B18" s="64" t="s">
        <v>0</v>
      </c>
      <c r="C18" s="64" t="s">
        <v>0</v>
      </c>
      <c r="D18" s="64" t="s">
        <v>36</v>
      </c>
      <c r="E18" s="64" t="s">
        <v>13</v>
      </c>
      <c r="F18" s="64" t="s">
        <v>14</v>
      </c>
      <c r="G18" s="64" t="s">
        <v>15</v>
      </c>
      <c r="H18" s="64" t="s">
        <v>37</v>
      </c>
      <c r="I18" s="64" t="s">
        <v>38</v>
      </c>
      <c r="J18" s="64" t="s">
        <v>39</v>
      </c>
      <c r="K18" s="64" t="s">
        <v>40</v>
      </c>
      <c r="L18" s="64" t="s">
        <v>41</v>
      </c>
      <c r="M18" s="64" t="s">
        <v>42</v>
      </c>
      <c r="N18" s="64" t="s">
        <v>43</v>
      </c>
      <c r="O18" s="64" t="s">
        <v>44</v>
      </c>
      <c r="P18" s="64" t="s">
        <v>22</v>
      </c>
      <c r="Q18" s="1"/>
      <c r="R18" s="94" t="s">
        <v>132</v>
      </c>
      <c r="S18" s="2"/>
      <c r="T18" s="2"/>
    </row>
    <row r="19" spans="1:20" x14ac:dyDescent="0.2">
      <c r="A19" s="69" t="s">
        <v>83</v>
      </c>
      <c r="B19" s="70">
        <f>'[1]Base Rates'!$N$33</f>
        <v>10.63</v>
      </c>
      <c r="C19" s="70">
        <f>'[1]Base Rates'!$N$33</f>
        <v>10.63</v>
      </c>
      <c r="D19" s="70">
        <f>'[1]Base Rates'!$N$53</f>
        <v>14.070000000000002</v>
      </c>
      <c r="E19" s="70">
        <f>'[1]Base Rates'!$N$57</f>
        <v>23.089999999999996</v>
      </c>
      <c r="F19" s="70">
        <f>'[1]Base Rates'!$N$90</f>
        <v>14.070000000000002</v>
      </c>
      <c r="G19" s="70">
        <f>'[1]Base Rates'!$N$94</f>
        <v>23.089999999999996</v>
      </c>
      <c r="H19" s="70">
        <f>'[1]Base Rates'!$N$165</f>
        <v>81.429999999999978</v>
      </c>
      <c r="I19" s="70">
        <f>'[1]Base Rates'!$N$165</f>
        <v>81.429999999999978</v>
      </c>
      <c r="J19" s="70">
        <f>'[1]Base Rates'!$N$165</f>
        <v>81.429999999999978</v>
      </c>
      <c r="K19" s="70">
        <f>'[1]Base Rates'!$N$165</f>
        <v>81.429999999999978</v>
      </c>
      <c r="L19" s="70">
        <f>'[1]Base Rates'!$N$202</f>
        <v>298.99</v>
      </c>
      <c r="M19" s="70">
        <f>'[1]Base Rates'!$N$202</f>
        <v>298.99</v>
      </c>
      <c r="N19" s="70">
        <f>'[1]Base Rates'!$N$202</f>
        <v>298.99</v>
      </c>
      <c r="O19" s="70">
        <f>'[1]Base Rates'!$N$202</f>
        <v>298.99</v>
      </c>
      <c r="P19" s="70">
        <f>'[1]Base Rates'!$N$239</f>
        <v>1.4400000000000002</v>
      </c>
      <c r="Q19" s="1"/>
      <c r="R19" s="56"/>
      <c r="S19" s="44"/>
      <c r="T19" s="44"/>
    </row>
    <row r="20" spans="1:20" x14ac:dyDescent="0.2">
      <c r="A20" s="1" t="s">
        <v>27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1"/>
      <c r="R20" s="56"/>
      <c r="S20" s="44"/>
      <c r="T20" s="44"/>
    </row>
    <row r="21" spans="1:20" x14ac:dyDescent="0.2">
      <c r="A21" s="1" t="s">
        <v>28</v>
      </c>
      <c r="B21" s="71"/>
      <c r="C21" s="71"/>
      <c r="D21" s="71"/>
      <c r="E21" s="71"/>
      <c r="F21" s="71">
        <f>+$F$5*'[1]Base Rates'!$N$102</f>
        <v>627.00000000000011</v>
      </c>
      <c r="G21" s="71">
        <f>+$G$5*'[1]Base Rates'!$N$105</f>
        <v>624</v>
      </c>
      <c r="H21" s="71">
        <f>+$H$5*'[1]Base Rates'!$N$170</f>
        <v>7042</v>
      </c>
      <c r="I21" s="71">
        <f>+$I$5*'[1]Base Rates'!$N$173</f>
        <v>1050.0000000000002</v>
      </c>
      <c r="J21" s="71">
        <f>+$J$5*'[1]Base Rates'!$N$170</f>
        <v>7042</v>
      </c>
      <c r="K21" s="71">
        <f>+$K$5*'[1]Base Rates'!$N$173</f>
        <v>1050.0000000000002</v>
      </c>
      <c r="L21" s="71">
        <f>+$L$5*'[1]Base Rates'!$N$207</f>
        <v>8530.0000000000018</v>
      </c>
      <c r="M21" s="71">
        <f>+$M$5*'[1]Base Rates'!$N$210</f>
        <v>13500</v>
      </c>
      <c r="N21" s="71">
        <f>+$N$5*'[1]Base Rates'!$N$207</f>
        <v>8530.0000000000018</v>
      </c>
      <c r="O21" s="71">
        <f>+$M$5*'[1]Base Rates'!$N$210</f>
        <v>13500</v>
      </c>
      <c r="P21" s="71"/>
      <c r="Q21" s="1"/>
      <c r="R21" s="56">
        <f>+H21/H$5</f>
        <v>10.06</v>
      </c>
      <c r="S21" s="44"/>
      <c r="T21" s="44"/>
    </row>
    <row r="22" spans="1:20" x14ac:dyDescent="0.2">
      <c r="A22" s="1" t="s">
        <v>29</v>
      </c>
      <c r="B22" s="71"/>
      <c r="C22" s="71"/>
      <c r="D22" s="71"/>
      <c r="E22" s="71"/>
      <c r="F22" s="71"/>
      <c r="G22" s="71">
        <f>+$G$6*'[1]Base Rates'!$N$106</f>
        <v>1774.6</v>
      </c>
      <c r="H22" s="71"/>
      <c r="I22" s="71">
        <f>+$I$6*'[1]Base Rates'!$N$174</f>
        <v>5652.5</v>
      </c>
      <c r="J22" s="71"/>
      <c r="K22" s="71">
        <f>+$K$6*'[1]Base Rates'!$N$174</f>
        <v>5652.5</v>
      </c>
      <c r="L22" s="71"/>
      <c r="M22" s="71">
        <f>+$M$6*'[1]Base Rates'!$N$211</f>
        <v>70680</v>
      </c>
      <c r="N22" s="71"/>
      <c r="O22" s="71">
        <f>+$M$6*'[1]Base Rates'!$N$211</f>
        <v>70680</v>
      </c>
      <c r="P22" s="71"/>
      <c r="Q22" s="1"/>
      <c r="R22" s="56"/>
      <c r="S22" s="44"/>
      <c r="T22" s="44"/>
    </row>
    <row r="23" spans="1:20" x14ac:dyDescent="0.2">
      <c r="A23" s="1" t="s">
        <v>30</v>
      </c>
      <c r="B23" s="71"/>
      <c r="C23" s="71"/>
      <c r="D23" s="71"/>
      <c r="E23" s="71"/>
      <c r="F23" s="71"/>
      <c r="G23" s="72"/>
      <c r="H23" s="71">
        <f>$H$7*-'[1]Base Rates'!$N$177</f>
        <v>-1760.5</v>
      </c>
      <c r="I23" s="71">
        <f>(-$I$7+$I$6)*-'[1]Base Rates'!$N$177</f>
        <v>-1584.45</v>
      </c>
      <c r="J23" s="71">
        <f>($J$7*-'[1]Base Rates'!$N$178)*$J$15</f>
        <v>-1261.5645</v>
      </c>
      <c r="K23" s="71">
        <f>((-$K$7+$K$5)*-'[1]Base Rates'!$N$178)*$K$15</f>
        <v>-2253.0129999999999</v>
      </c>
      <c r="L23" s="71">
        <f>$L$5*-'[1]Base Rates'!$N$214</f>
        <v>-6710</v>
      </c>
      <c r="M23" s="71">
        <f>$M$6*-'[1]Base Rates'!$N$214</f>
        <v>-63745</v>
      </c>
      <c r="N23" s="71">
        <f>($N$5*-'[1]Base Rates'!$N$215)*$N$15</f>
        <v>-4492.8</v>
      </c>
      <c r="O23" s="71">
        <f>($M$5*-'[1]Base Rates'!$N$215)*$M$15</f>
        <v>-80145</v>
      </c>
      <c r="P23" s="71"/>
      <c r="Q23" s="1"/>
      <c r="R23" s="56">
        <f>+H23/H$7</f>
        <v>-5.03</v>
      </c>
      <c r="S23" s="44"/>
      <c r="T23" s="44"/>
    </row>
    <row r="24" spans="1:20" x14ac:dyDescent="0.2">
      <c r="A24" s="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"/>
      <c r="R24" s="56"/>
      <c r="S24" s="44"/>
      <c r="T24" s="44"/>
    </row>
    <row r="25" spans="1:20" x14ac:dyDescent="0.2">
      <c r="A25" s="1" t="s">
        <v>31</v>
      </c>
      <c r="B25" s="71" t="s">
        <v>75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1"/>
      <c r="R25" s="56"/>
      <c r="S25" s="44"/>
      <c r="T25" s="44"/>
    </row>
    <row r="26" spans="1:20" x14ac:dyDescent="0.2">
      <c r="A26" s="1" t="s">
        <v>47</v>
      </c>
      <c r="B26" s="73">
        <f>$B$10*'[1]Base Rates'!$N$44</f>
        <v>61.670000000000009</v>
      </c>
      <c r="C26" s="73">
        <f>$C$10*'[1]Base Rates'!$N$44</f>
        <v>61.670000000000009</v>
      </c>
      <c r="D26" s="71">
        <f>$D$12*'[1]Base Rates'!$N$66</f>
        <v>100.48499999999999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 t="s">
        <v>75</v>
      </c>
      <c r="Q26" s="1"/>
      <c r="R26" s="56"/>
      <c r="S26" s="44"/>
      <c r="T26" s="44"/>
    </row>
    <row r="27" spans="1:20" x14ac:dyDescent="0.2">
      <c r="A27" s="1" t="s">
        <v>46</v>
      </c>
      <c r="B27" s="73">
        <f>$B$11*'[1]Base Rates'!$N$45</f>
        <v>0</v>
      </c>
      <c r="C27" s="73">
        <f>$C$11*'[1]Base Rates'!$N$45</f>
        <v>15.711999999999998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1"/>
      <c r="R27" s="56"/>
      <c r="S27" s="44"/>
      <c r="T27" s="44"/>
    </row>
    <row r="28" spans="1:20" x14ac:dyDescent="0.2">
      <c r="A28" s="1" t="s">
        <v>34</v>
      </c>
      <c r="B28" s="71"/>
      <c r="C28" s="71"/>
      <c r="D28" s="71"/>
      <c r="E28" s="71"/>
      <c r="F28" s="73">
        <f>$F$12*'[1]Base Rates'!$N$115</f>
        <v>839.09999999999991</v>
      </c>
      <c r="G28" s="71"/>
      <c r="H28" s="71">
        <f>$H$12*'[1]Base Rates'!$N$188</f>
        <v>3861.9</v>
      </c>
      <c r="I28" s="71"/>
      <c r="J28" s="71">
        <f>$J$12*'[1]Base Rates'!$N$188</f>
        <v>3861.9</v>
      </c>
      <c r="K28" s="71"/>
      <c r="L28" s="71">
        <f>$L$12*'[1]Base Rates'!$N$224</f>
        <v>3449.599999999999</v>
      </c>
      <c r="M28" s="71"/>
      <c r="N28" s="71">
        <f>$N$12*'[1]Base Rates'!$N$224</f>
        <v>3449.599999999999</v>
      </c>
      <c r="O28" s="71"/>
      <c r="P28" s="71">
        <f>$P$12*'[1]Base Rates'!$N$243</f>
        <v>4046.0116399999993</v>
      </c>
      <c r="Q28" s="1"/>
      <c r="R28" s="56">
        <f>+H28/H$12</f>
        <v>1.839E-2</v>
      </c>
      <c r="S28" s="44"/>
      <c r="T28" s="44"/>
    </row>
    <row r="29" spans="1:20" x14ac:dyDescent="0.2">
      <c r="A29" s="1" t="s">
        <v>33</v>
      </c>
      <c r="B29" s="71"/>
      <c r="C29" s="71"/>
      <c r="D29" s="71"/>
      <c r="E29" s="71">
        <f>$E$13*'[1]Base Rates'!$N$67</f>
        <v>95.835600000000014</v>
      </c>
      <c r="F29" s="71"/>
      <c r="G29" s="71">
        <f>$G$13*'[1]Base Rates'!$N$116</f>
        <v>3750.8239999999996</v>
      </c>
      <c r="H29" s="71"/>
      <c r="I29" s="71">
        <f>$I$13*'[1]Base Rates'!$N$189</f>
        <v>3541.6500000000005</v>
      </c>
      <c r="J29" s="71"/>
      <c r="K29" s="71">
        <f>$K$13*'[1]Base Rates'!$N$189</f>
        <v>3541.6500000000005</v>
      </c>
      <c r="L29" s="71"/>
      <c r="M29" s="71">
        <f>$M$13*'[1]Base Rates'!$N$225</f>
        <v>24149.999999999996</v>
      </c>
      <c r="N29" s="71"/>
      <c r="O29" s="71">
        <f>$M$13*'[1]Base Rates'!$N$225</f>
        <v>24149.999999999996</v>
      </c>
      <c r="P29" s="71"/>
      <c r="Q29" s="1"/>
      <c r="R29" s="56"/>
      <c r="S29" s="44"/>
      <c r="T29" s="44"/>
    </row>
    <row r="30" spans="1:20" x14ac:dyDescent="0.2">
      <c r="A30" s="1" t="s">
        <v>32</v>
      </c>
      <c r="B30" s="74"/>
      <c r="C30" s="74"/>
      <c r="D30" s="74"/>
      <c r="E30" s="74">
        <f>$E$14*'[1]Base Rates'!$N$68</f>
        <v>13.361760000000002</v>
      </c>
      <c r="F30" s="74"/>
      <c r="G30" s="74">
        <f>$G$14*'[1]Base Rates'!$N$117</f>
        <v>1617.2640000000004</v>
      </c>
      <c r="H30" s="74"/>
      <c r="I30" s="74">
        <f>$I$14*'[1]Base Rates'!$N$190</f>
        <v>2737.7999999999997</v>
      </c>
      <c r="J30" s="74"/>
      <c r="K30" s="74">
        <f>$K$14*'[1]Base Rates'!$N$190</f>
        <v>2737.7999999999997</v>
      </c>
      <c r="L30" s="74"/>
      <c r="M30" s="74">
        <f>$M$14*'[1]Base Rates'!$N$226</f>
        <v>36216</v>
      </c>
      <c r="N30" s="74"/>
      <c r="O30" s="74">
        <f>$M$14*'[1]Base Rates'!$N$226</f>
        <v>36216</v>
      </c>
      <c r="P30" s="75">
        <f>+P16</f>
        <v>34885.663999999997</v>
      </c>
      <c r="Q30" s="1" t="s">
        <v>98</v>
      </c>
      <c r="R30" s="56"/>
      <c r="S30" s="44"/>
      <c r="T30" s="44"/>
    </row>
    <row r="31" spans="1:20" s="178" customFormat="1" x14ac:dyDescent="0.2">
      <c r="A31" s="8" t="s">
        <v>87</v>
      </c>
      <c r="B31" s="76">
        <f>SUM(B19:B30)</f>
        <v>72.300000000000011</v>
      </c>
      <c r="C31" s="76">
        <f>SUM(C19:C30)</f>
        <v>88.012000000000015</v>
      </c>
      <c r="D31" s="76">
        <f t="shared" ref="D31:P31" si="1">SUM(D19:D30)</f>
        <v>114.55499999999999</v>
      </c>
      <c r="E31" s="76">
        <f t="shared" si="1"/>
        <v>132.28736000000001</v>
      </c>
      <c r="F31" s="76">
        <f t="shared" si="1"/>
        <v>1480.17</v>
      </c>
      <c r="G31" s="76">
        <f t="shared" si="1"/>
        <v>7789.7779999999993</v>
      </c>
      <c r="H31" s="76">
        <f t="shared" si="1"/>
        <v>9224.83</v>
      </c>
      <c r="I31" s="76">
        <f t="shared" si="1"/>
        <v>11478.93</v>
      </c>
      <c r="J31" s="76">
        <f t="shared" si="1"/>
        <v>9723.7654999999995</v>
      </c>
      <c r="K31" s="76">
        <f t="shared" si="1"/>
        <v>10810.367</v>
      </c>
      <c r="L31" s="76">
        <f t="shared" si="1"/>
        <v>5568.59</v>
      </c>
      <c r="M31" s="76">
        <f t="shared" si="1"/>
        <v>81099.990000000005</v>
      </c>
      <c r="N31" s="76">
        <f t="shared" si="1"/>
        <v>7785.7900000000009</v>
      </c>
      <c r="O31" s="76">
        <f t="shared" si="1"/>
        <v>64699.990000000005</v>
      </c>
      <c r="P31" s="76">
        <f t="shared" si="1"/>
        <v>38933.115639999996</v>
      </c>
      <c r="Q31" s="8"/>
      <c r="R31" s="57"/>
      <c r="S31" s="58"/>
      <c r="T31" s="58"/>
    </row>
    <row r="32" spans="1:20" x14ac:dyDescent="0.2">
      <c r="A32" s="1" t="s">
        <v>55</v>
      </c>
      <c r="B32" s="77">
        <f t="shared" ref="B32:P32" si="2">B31/B52</f>
        <v>0.5789094403074706</v>
      </c>
      <c r="C32" s="77">
        <f t="shared" si="2"/>
        <v>0.57446836285785152</v>
      </c>
      <c r="D32" s="77">
        <f t="shared" si="2"/>
        <v>0.58239914588576225</v>
      </c>
      <c r="E32" s="77">
        <f t="shared" si="2"/>
        <v>0.57523786597407733</v>
      </c>
      <c r="F32" s="77">
        <f t="shared" si="2"/>
        <v>0.47557496192624293</v>
      </c>
      <c r="G32" s="77">
        <f t="shared" si="2"/>
        <v>0.43311169318138215</v>
      </c>
      <c r="H32" s="77">
        <f t="shared" si="2"/>
        <v>0.49969692619787276</v>
      </c>
      <c r="I32" s="77">
        <f t="shared" si="2"/>
        <v>0.43073683878734026</v>
      </c>
      <c r="J32" s="77">
        <f t="shared" si="2"/>
        <v>0.51251689576884263</v>
      </c>
      <c r="K32" s="77">
        <f t="shared" si="2"/>
        <v>0.41636293937942159</v>
      </c>
      <c r="L32" s="77">
        <f t="shared" si="2"/>
        <v>0.2778625215248286</v>
      </c>
      <c r="M32" s="77">
        <f t="shared" si="2"/>
        <v>0.26577381727769261</v>
      </c>
      <c r="N32" s="77">
        <f t="shared" si="2"/>
        <v>0.34890606528564377</v>
      </c>
      <c r="O32" s="77">
        <f t="shared" si="2"/>
        <v>0.22439862719349693</v>
      </c>
      <c r="P32" s="77">
        <f t="shared" si="2"/>
        <v>0.8557120248296759</v>
      </c>
      <c r="Q32" s="1"/>
      <c r="R32" s="56"/>
      <c r="S32" s="44"/>
      <c r="T32" s="44"/>
    </row>
    <row r="33" spans="1:20" x14ac:dyDescent="0.2">
      <c r="A33" s="1" t="s">
        <v>56</v>
      </c>
      <c r="B33" s="77">
        <f t="shared" ref="B33:P33" si="3">B31/B92</f>
        <v>0.56493202062822323</v>
      </c>
      <c r="C33" s="77">
        <f t="shared" si="3"/>
        <v>0.56088607917611977</v>
      </c>
      <c r="D33" s="77">
        <f t="shared" si="3"/>
        <v>0.57111875560873471</v>
      </c>
      <c r="E33" s="77">
        <f t="shared" si="3"/>
        <v>0.56377938581298359</v>
      </c>
      <c r="F33" s="77">
        <f t="shared" si="3"/>
        <v>0.46707941647023182</v>
      </c>
      <c r="G33" s="77">
        <f t="shared" si="3"/>
        <v>0.42333932401815344</v>
      </c>
      <c r="H33" s="77">
        <f t="shared" si="3"/>
        <v>0.48377983495068244</v>
      </c>
      <c r="I33" s="77">
        <f t="shared" si="3"/>
        <v>0.41389183652056155</v>
      </c>
      <c r="J33" s="77">
        <f t="shared" si="3"/>
        <v>0.49661811201863459</v>
      </c>
      <c r="K33" s="77">
        <f t="shared" si="3"/>
        <v>0.39966712297169821</v>
      </c>
      <c r="L33" s="77">
        <f t="shared" si="3"/>
        <v>0.27312674426018846</v>
      </c>
      <c r="M33" s="77">
        <f t="shared" si="3"/>
        <v>0.26047703982935322</v>
      </c>
      <c r="N33" s="77">
        <f t="shared" si="3"/>
        <v>0.34355616253389432</v>
      </c>
      <c r="O33" s="77">
        <f t="shared" si="3"/>
        <v>0.21967104612257457</v>
      </c>
      <c r="P33" s="77">
        <f t="shared" si="3"/>
        <v>0.84984439330547057</v>
      </c>
      <c r="Q33" s="1"/>
      <c r="R33" s="56"/>
      <c r="S33" s="44"/>
      <c r="T33" s="44"/>
    </row>
    <row r="34" spans="1:20" x14ac:dyDescent="0.2">
      <c r="A34" s="8" t="s">
        <v>75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 t="s">
        <v>75</v>
      </c>
      <c r="N34" s="78"/>
      <c r="O34" s="78"/>
      <c r="P34" s="78"/>
      <c r="Q34" s="1"/>
      <c r="R34" s="56"/>
      <c r="S34" s="44"/>
      <c r="T34" s="44"/>
    </row>
    <row r="35" spans="1:20" x14ac:dyDescent="0.2">
      <c r="A35" s="79" t="s">
        <v>84</v>
      </c>
      <c r="B35" s="78"/>
      <c r="C35" s="78" t="s">
        <v>75</v>
      </c>
      <c r="D35" s="78"/>
      <c r="E35" s="78"/>
      <c r="F35" s="78"/>
      <c r="G35" s="78"/>
      <c r="H35" s="78"/>
      <c r="I35" s="78"/>
      <c r="J35" s="78"/>
      <c r="K35" s="78"/>
      <c r="L35" s="78"/>
      <c r="M35" s="78" t="s">
        <v>75</v>
      </c>
      <c r="N35" s="78"/>
      <c r="O35" s="78"/>
      <c r="P35" s="78"/>
      <c r="Q35" s="1"/>
      <c r="R35" s="56"/>
      <c r="S35" s="44"/>
      <c r="T35" s="44"/>
    </row>
    <row r="36" spans="1:20" x14ac:dyDescent="0.2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1"/>
      <c r="R36" s="56" t="s">
        <v>75</v>
      </c>
      <c r="S36" s="44"/>
      <c r="T36" s="44"/>
    </row>
    <row r="37" spans="1:20" x14ac:dyDescent="0.2">
      <c r="A37" s="1" t="s">
        <v>60</v>
      </c>
      <c r="B37" s="71">
        <f>B10*'[1]BA-1 Rates Current_Prior'!$O$7</f>
        <v>30.669999999999998</v>
      </c>
      <c r="C37" s="71">
        <f>C10*'[1]BA-1 Rates Current_Prior'!$O$7</f>
        <v>30.669999999999998</v>
      </c>
      <c r="D37" s="71">
        <f>D12*'[1]BA-1 Rates Current_Prior'!$O$11</f>
        <v>50.25</v>
      </c>
      <c r="E37" s="71"/>
      <c r="F37" s="71">
        <f>+F$12*'[1]BA-1 Rates Current_Prior'!$O$18</f>
        <v>1005.0000000000001</v>
      </c>
      <c r="G37" s="71"/>
      <c r="H37" s="71">
        <f>+H$12*'[1]BA-1 Rates Current_Prior'!$O$23</f>
        <v>7035</v>
      </c>
      <c r="I37" s="71"/>
      <c r="J37" s="71">
        <f>+J$12*'[1]BA-1 Rates Current_Prior'!$O$23</f>
        <v>7035</v>
      </c>
      <c r="K37" s="71"/>
      <c r="L37" s="71">
        <f>+L$12*'[1]BA-1 Rates Current_Prior'!$O$28</f>
        <v>9380</v>
      </c>
      <c r="M37" s="71"/>
      <c r="N37" s="71">
        <f>+N$12*'[1]BA-1 Rates Current_Prior'!$O$28</f>
        <v>9380</v>
      </c>
      <c r="O37" s="71"/>
      <c r="P37" s="71">
        <f>P$12*'[1]BA-1 Rates Current_Prior'!$O$32</f>
        <v>4871.4470199999996</v>
      </c>
      <c r="Q37" s="1"/>
      <c r="R37" s="56">
        <f>+H37/H$12</f>
        <v>3.3500000000000002E-2</v>
      </c>
      <c r="S37" s="44"/>
      <c r="T37" s="44"/>
    </row>
    <row r="38" spans="1:20" x14ac:dyDescent="0.2">
      <c r="A38" s="1" t="s">
        <v>46</v>
      </c>
      <c r="B38" s="71">
        <f>B11*'[1]BA-1 Rates Current_Prior'!$O$8</f>
        <v>0</v>
      </c>
      <c r="C38" s="71">
        <f>C11*'[1]BA-1 Rates Current_Prior'!$O$8</f>
        <v>8.1340000000000003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1"/>
      <c r="R38" s="56"/>
      <c r="S38" s="44"/>
      <c r="T38" s="44"/>
    </row>
    <row r="39" spans="1:20" x14ac:dyDescent="0.2">
      <c r="A39" s="1" t="s">
        <v>33</v>
      </c>
      <c r="B39" s="71"/>
      <c r="C39" s="71"/>
      <c r="D39" s="71"/>
      <c r="E39" s="71">
        <f>+E$13*'[1]BA-1 Rates Current_Prior'!$P$11</f>
        <v>21.712320000000002</v>
      </c>
      <c r="F39" s="71"/>
      <c r="G39" s="71">
        <f>+G$13*'[1]BA-1 Rates Current_Prior'!$P$18</f>
        <v>2653.7280000000001</v>
      </c>
      <c r="H39" s="71"/>
      <c r="I39" s="71">
        <f>+I$13*'[1]BA-1 Rates Current_Prior'!$P$23</f>
        <v>4523.3999999999996</v>
      </c>
      <c r="J39" s="71"/>
      <c r="K39" s="71">
        <f>+K$13*'[1]BA-1 Rates Current_Prior'!$P$23</f>
        <v>4523.3999999999996</v>
      </c>
      <c r="L39" s="71"/>
      <c r="M39" s="71">
        <f>+M$13*'[1]BA-1 Rates Current_Prior'!$P$28</f>
        <v>60312</v>
      </c>
      <c r="N39" s="71"/>
      <c r="O39" s="71">
        <f>+O$13*'[1]BA-1 Rates Current_Prior'!$P$28</f>
        <v>60312</v>
      </c>
      <c r="P39" s="71"/>
      <c r="Q39" s="1"/>
      <c r="R39" s="56"/>
      <c r="S39" s="44"/>
      <c r="T39" s="44"/>
    </row>
    <row r="40" spans="1:20" x14ac:dyDescent="0.2">
      <c r="A40" s="1" t="s">
        <v>32</v>
      </c>
      <c r="B40" s="71"/>
      <c r="C40" s="71"/>
      <c r="D40" s="71"/>
      <c r="E40" s="71">
        <f>E$14*'[1]BA-1 Rates Current_Prior'!$Q$11</f>
        <v>37.856160000000003</v>
      </c>
      <c r="F40" s="71"/>
      <c r="G40" s="71">
        <f>+G$14*'[1]BA-1 Rates Current_Prior'!$Q$18</f>
        <v>4626.8639999999996</v>
      </c>
      <c r="H40" s="71"/>
      <c r="I40" s="71">
        <f>+I$14*'[1]BA-1 Rates Current_Prior'!$Q$23</f>
        <v>7886.7</v>
      </c>
      <c r="J40" s="71"/>
      <c r="K40" s="71">
        <f>+K$14*'[1]BA-1 Rates Current_Prior'!$Q$23</f>
        <v>7886.7</v>
      </c>
      <c r="L40" s="71"/>
      <c r="M40" s="71">
        <f>+M$14*'[1]BA-1 Rates Current_Prior'!$Q$28</f>
        <v>105156</v>
      </c>
      <c r="N40" s="71"/>
      <c r="O40" s="71">
        <f>+O$14*'[1]BA-1 Rates Current_Prior'!$Q$28</f>
        <v>105156</v>
      </c>
      <c r="P40" s="71"/>
      <c r="Q40" s="1"/>
      <c r="R40" s="56"/>
      <c r="S40" s="44"/>
      <c r="T40" s="44"/>
    </row>
    <row r="41" spans="1:20" x14ac:dyDescent="0.2">
      <c r="A41" s="1" t="s">
        <v>10</v>
      </c>
      <c r="B41" s="71">
        <f>B$9*'[1]BA-1 Rates Current_Prior'!$R$6</f>
        <v>3.3899999999999997</v>
      </c>
      <c r="C41" s="73">
        <f>C$9*'[1]BA-1 Rates Current_Prior'!$R$6</f>
        <v>4.0679999999999996</v>
      </c>
      <c r="D41" s="71">
        <f>D$12*'[1]BA-1 Rates Current_Prior'!$R$11</f>
        <v>4.9050000000000002</v>
      </c>
      <c r="E41" s="71">
        <f>E$12*'[1]BA-1 Rates Current_Prior'!$R$11</f>
        <v>5.8860000000000001</v>
      </c>
      <c r="F41" s="71">
        <f>F$5*'[1]BA-1 Rates Current_Prior'!$S$18</f>
        <v>109.00000000000001</v>
      </c>
      <c r="G41" s="71">
        <f>+G$5*'[1]BA-1 Rates Current_Prior'!$S$18</f>
        <v>436.00000000000006</v>
      </c>
      <c r="H41" s="71">
        <f>+H$5*'[1]BA-1 Rates Current_Prior'!$S$23</f>
        <v>322</v>
      </c>
      <c r="I41" s="71">
        <f>+I$5*'[1]BA-1 Rates Current_Prior'!$S$23</f>
        <v>322</v>
      </c>
      <c r="J41" s="71">
        <f>+J$5*'[1]BA-1 Rates Current_Prior'!$S$23</f>
        <v>322</v>
      </c>
      <c r="K41" s="71">
        <f>+K$5*'[1]BA-1 Rates Current_Prior'!$S$23</f>
        <v>322</v>
      </c>
      <c r="L41" s="71">
        <f>+L$5*'[1]BA-1 Rates Current_Prior'!$S$28</f>
        <v>950</v>
      </c>
      <c r="M41" s="71">
        <f>+M$5*'[1]BA-1 Rates Current_Prior'!$S$28</f>
        <v>9500</v>
      </c>
      <c r="N41" s="71">
        <f>+N$5*'[1]BA-1 Rates Current_Prior'!$S$28</f>
        <v>950</v>
      </c>
      <c r="O41" s="71">
        <f>+O$5*'[1]BA-1 Rates Current_Prior'!$S$28</f>
        <v>9500</v>
      </c>
      <c r="P41" s="71">
        <f>P$12*'[1]BA-1 Rates Current_Prior'!$R$32</f>
        <v>157.73626000000002</v>
      </c>
      <c r="Q41" s="1"/>
      <c r="R41" s="56">
        <f>+H41/H$5</f>
        <v>0.46</v>
      </c>
      <c r="S41" s="44"/>
      <c r="T41" s="44"/>
    </row>
    <row r="42" spans="1:20" x14ac:dyDescent="0.2">
      <c r="A42" s="1" t="s">
        <v>9</v>
      </c>
      <c r="B42" s="71">
        <f>B$9*'[1]BA-1 Rates Current_Prior'!$T$6</f>
        <v>12</v>
      </c>
      <c r="C42" s="73">
        <f>C$9*'[1]BA-1 Rates Current_Prior'!$T$6</f>
        <v>14.4</v>
      </c>
      <c r="D42" s="71">
        <f>D$12*'[1]BA-1 Rates Current_Prior'!$T$11</f>
        <v>17.204999999999998</v>
      </c>
      <c r="E42" s="71">
        <f>E$12*'[1]BA-1 Rates Current_Prior'!$T$11</f>
        <v>20.645999999999997</v>
      </c>
      <c r="F42" s="71">
        <f>F$5*'[1]BA-1 Rates Current_Prior'!$U$18</f>
        <v>360</v>
      </c>
      <c r="G42" s="71">
        <f>+G$5*'[1]BA-1 Rates Current_Prior'!$U$18</f>
        <v>1440</v>
      </c>
      <c r="H42" s="71">
        <f>+H$5*'[1]BA-1 Rates Current_Prior'!$U$23</f>
        <v>965.99999999999989</v>
      </c>
      <c r="I42" s="71">
        <f>+I$5*'[1]BA-1 Rates Current_Prior'!$U$23</f>
        <v>965.99999999999989</v>
      </c>
      <c r="J42" s="71">
        <f>+J$5*'[1]BA-1 Rates Current_Prior'!$U$23</f>
        <v>965.99999999999989</v>
      </c>
      <c r="K42" s="71">
        <f>+K$5*'[1]BA-1 Rates Current_Prior'!$U$23</f>
        <v>965.99999999999989</v>
      </c>
      <c r="L42" s="71">
        <f>+L$5*'[1]BA-1 Rates Current_Prior'!$U$28</f>
        <v>3000</v>
      </c>
      <c r="M42" s="71">
        <f>+M$5*'[1]BA-1 Rates Current_Prior'!$U$28</f>
        <v>30000</v>
      </c>
      <c r="N42" s="71">
        <f>+N$5*'[1]BA-1 Rates Current_Prior'!$U$28</f>
        <v>3000</v>
      </c>
      <c r="O42" s="71">
        <f>+O$5*'[1]BA-1 Rates Current_Prior'!$U$28</f>
        <v>30000</v>
      </c>
      <c r="P42" s="71">
        <f>P$12*'[1]BA-1 Rates Current_Prior'!$T$32</f>
        <v>225.11874</v>
      </c>
      <c r="Q42" s="1"/>
      <c r="R42" s="56">
        <f>+H42/H$5</f>
        <v>1.38</v>
      </c>
      <c r="S42" s="44"/>
      <c r="T42" s="44"/>
    </row>
    <row r="43" spans="1:20" x14ac:dyDescent="0.2">
      <c r="A43" s="1" t="s">
        <v>23</v>
      </c>
      <c r="B43" s="71">
        <f>B$9*'[1]BA-1 Rates Current_Prior'!$V$6</f>
        <v>0.79</v>
      </c>
      <c r="C43" s="73">
        <f>C$9*'[1]BA-1 Rates Current_Prior'!$V$6</f>
        <v>0.94800000000000006</v>
      </c>
      <c r="D43" s="80">
        <f>D$12*'[1]BA-1 Rates Current_Prior'!$V$11</f>
        <v>1.1850000000000001</v>
      </c>
      <c r="E43" s="80">
        <f>E$12*'[1]BA-1 Rates Current_Prior'!$V$11</f>
        <v>1.4219999999999999</v>
      </c>
      <c r="F43" s="80">
        <f>F$12*'[1]BA-1 Rates Current_Prior'!$V$18</f>
        <v>22.8</v>
      </c>
      <c r="G43" s="80">
        <f>+G$12*'[1]BA-1 Rates Current_Prior'!$V$18</f>
        <v>167.20000000000002</v>
      </c>
      <c r="H43" s="80">
        <f>+H$12*'[1]BA-1 Rates Current_Prior'!$V$23</f>
        <v>151.20000000000002</v>
      </c>
      <c r="I43" s="80">
        <f>+I$12*'[1]BA-1 Rates Current_Prior'!$V$23</f>
        <v>270</v>
      </c>
      <c r="J43" s="80">
        <f>+J$12*'[1]BA-1 Rates Current_Prior'!$V$23</f>
        <v>151.20000000000002</v>
      </c>
      <c r="K43" s="80">
        <f>+K$12*'[1]BA-1 Rates Current_Prior'!$V$23</f>
        <v>270</v>
      </c>
      <c r="L43" s="80">
        <f>+L$12*'[1]BA-1 Rates Current_Prior'!$V$28</f>
        <v>204.39999999999998</v>
      </c>
      <c r="M43" s="80">
        <f>+M$12*'[1]BA-1 Rates Current_Prior'!$V$28</f>
        <v>3650</v>
      </c>
      <c r="N43" s="80">
        <f>+N$12*'[1]BA-1 Rates Current_Prior'!$V$28</f>
        <v>204.39999999999998</v>
      </c>
      <c r="O43" s="80">
        <f>+O$12*'[1]BA-1 Rates Current_Prior'!$V$28</f>
        <v>3650</v>
      </c>
      <c r="P43" s="80">
        <f>P$12*'[1]BA-1 Rates Current_Prior'!$V$32</f>
        <v>107.1994</v>
      </c>
      <c r="Q43" s="1"/>
      <c r="R43" s="56">
        <f>+H43/H$12</f>
        <v>7.2000000000000005E-4</v>
      </c>
      <c r="S43" s="44"/>
      <c r="T43" s="44"/>
    </row>
    <row r="44" spans="1:20" x14ac:dyDescent="0.2">
      <c r="A44" s="1" t="s">
        <v>110</v>
      </c>
      <c r="B44" s="71">
        <f>B$9*'[1]BA-1 Rates Current_Prior'!$W$6</f>
        <v>2.35</v>
      </c>
      <c r="C44" s="73">
        <f>C$9*'[1]BA-1 Rates Current_Prior'!$W$6</f>
        <v>2.8200000000000003</v>
      </c>
      <c r="D44" s="80">
        <f>D$12*'[1]BA-1 Rates Current_Prior'!$W$11</f>
        <v>3.33</v>
      </c>
      <c r="E44" s="80">
        <f>E$12*'[1]BA-1 Rates Current_Prior'!$W$11</f>
        <v>3.9960000000000004</v>
      </c>
      <c r="F44" s="80">
        <f>F$12*'[1]BA-1 Rates Current_Prior'!$W$18</f>
        <v>52.5</v>
      </c>
      <c r="G44" s="80">
        <f>+G$12*'[1]BA-1 Rates Current_Prior'!$W$18</f>
        <v>385</v>
      </c>
      <c r="H44" s="80">
        <f>+H$12*'[1]BA-1 Rates Current_Prior'!$W$23</f>
        <v>251.99999999999997</v>
      </c>
      <c r="I44" s="80">
        <f>+I$12*'[1]BA-1 Rates Current_Prior'!$W$23</f>
        <v>449.99999999999994</v>
      </c>
      <c r="J44" s="80">
        <f>+J$12*'[1]BA-1 Rates Current_Prior'!$W$23</f>
        <v>251.99999999999997</v>
      </c>
      <c r="K44" s="80">
        <f>+K$12*'[1]BA-1 Rates Current_Prior'!$W$23</f>
        <v>449.99999999999994</v>
      </c>
      <c r="L44" s="80">
        <f>+L$12*'[1]BA-1 Rates Current_Prior'!$W$28</f>
        <v>403.20000000000005</v>
      </c>
      <c r="M44" s="80">
        <f>+M$12*'[1]BA-1 Rates Current_Prior'!$W$28</f>
        <v>7200</v>
      </c>
      <c r="N44" s="80">
        <f>+N$12*'[1]BA-1 Rates Current_Prior'!$W$28</f>
        <v>403.20000000000005</v>
      </c>
      <c r="O44" s="80">
        <f>+O$12*'[1]BA-1 Rates Current_Prior'!$W$28</f>
        <v>7200</v>
      </c>
      <c r="P44" s="80">
        <f>P$12*'[1]BA-1 Rates Current_Prior'!$W$32</f>
        <v>41.34834</v>
      </c>
      <c r="Q44" s="1"/>
      <c r="R44" s="56">
        <f>+H44/H$12</f>
        <v>1.1999999999999999E-3</v>
      </c>
      <c r="S44" s="44"/>
      <c r="T44" s="44"/>
    </row>
    <row r="45" spans="1:20" x14ac:dyDescent="0.2">
      <c r="A45" s="1" t="s">
        <v>124</v>
      </c>
      <c r="B45" s="71">
        <f>B$9*'[1]BA-1 Rates Current_Prior'!$X$6</f>
        <v>0</v>
      </c>
      <c r="C45" s="73">
        <f>C$9*'[1]BA-1 Rates Current_Prior'!$X$6</f>
        <v>0</v>
      </c>
      <c r="D45" s="80">
        <f>D$12*'[1]BA-1 Rates Current_Prior'!$X$11</f>
        <v>0</v>
      </c>
      <c r="E45" s="80">
        <f>E$12*'[1]BA-1 Rates Current_Prior'!$X$11</f>
        <v>0</v>
      </c>
      <c r="F45" s="80">
        <f>F$12*'[1]BA-1 Rates Current_Prior'!$X$18</f>
        <v>0</v>
      </c>
      <c r="G45" s="80">
        <f>+G$12*'[1]BA-1 Rates Current_Prior'!$X$18</f>
        <v>0</v>
      </c>
      <c r="H45" s="80">
        <f>+H$12*'[1]BA-1 Rates Current_Prior'!$X$23</f>
        <v>0</v>
      </c>
      <c r="I45" s="80">
        <f>+I$12*'[1]BA-1 Rates Current_Prior'!$X$23</f>
        <v>0</v>
      </c>
      <c r="J45" s="80">
        <f>+J$12*'[1]BA-1 Rates Current_Prior'!$X$23</f>
        <v>0</v>
      </c>
      <c r="K45" s="80">
        <f>+K$12*'[1]BA-1 Rates Current_Prior'!$X$23</f>
        <v>0</v>
      </c>
      <c r="L45" s="80">
        <f>+L$12*'[1]BA-1 Rates Current_Prior'!$X$28</f>
        <v>0</v>
      </c>
      <c r="M45" s="80">
        <f>+M$12*'[1]BA-1 Rates Current_Prior'!$X$28</f>
        <v>0</v>
      </c>
      <c r="N45" s="80">
        <f>+N$12*'[1]BA-1 Rates Current_Prior'!$X$28</f>
        <v>0</v>
      </c>
      <c r="O45" s="80">
        <f>+O$12*'[1]BA-1 Rates Current_Prior'!$X$28</f>
        <v>0</v>
      </c>
      <c r="P45" s="80">
        <f>P$12*'[1]BA-1 Rates Current_Prior'!$X$32</f>
        <v>0</v>
      </c>
      <c r="Q45" s="1"/>
      <c r="R45" s="56">
        <f>+H45/H$12</f>
        <v>0</v>
      </c>
      <c r="S45" s="44"/>
      <c r="T45" s="44"/>
    </row>
    <row r="46" spans="1:20" x14ac:dyDescent="0.2">
      <c r="A46" s="1" t="s">
        <v>130</v>
      </c>
      <c r="B46" s="74">
        <f>B$9*'[1]BA-1 Rates Current_Prior'!$Y$6</f>
        <v>0.27</v>
      </c>
      <c r="C46" s="81">
        <f>C$9*'[1]BA-1 Rates Current_Prior'!$Y$6</f>
        <v>0.32400000000000001</v>
      </c>
      <c r="D46" s="74">
        <f>D$12*'[1]BA-1 Rates Current_Prior'!$Y$11</f>
        <v>0.34500000000000003</v>
      </c>
      <c r="E46" s="74">
        <f>E$12*'[1]BA-1 Rates Current_Prior'!$Y$11</f>
        <v>0.41400000000000003</v>
      </c>
      <c r="F46" s="74">
        <f>F$12*'[1]BA-1 Rates Current_Prior'!$Y$18</f>
        <v>5.1000000000000005</v>
      </c>
      <c r="G46" s="74">
        <f>+G$12*'[1]BA-1 Rates Current_Prior'!$Y$18</f>
        <v>37.400000000000006</v>
      </c>
      <c r="H46" s="74">
        <f>+H$12*'[1]BA-1 Rates Current_Prior'!$Y$23</f>
        <v>48.300000000000004</v>
      </c>
      <c r="I46" s="74">
        <f>+I$12*'[1]BA-1 Rates Current_Prior'!$Y$23</f>
        <v>86.25</v>
      </c>
      <c r="J46" s="74">
        <f>+J$12*'[1]BA-1 Rates Current_Prior'!$Y$23</f>
        <v>48.300000000000004</v>
      </c>
      <c r="K46" s="74">
        <f>+K$12*'[1]BA-1 Rates Current_Prior'!$Y$23</f>
        <v>86.25</v>
      </c>
      <c r="L46" s="74">
        <f>+L$12*'[1]BA-1 Rates Current_Prior'!$Y$28</f>
        <v>33.6</v>
      </c>
      <c r="M46" s="74">
        <f>+M$12*'[1]BA-1 Rates Current_Prior'!$Y$28</f>
        <v>600</v>
      </c>
      <c r="N46" s="74">
        <f>+N$12*'[1]BA-1 Rates Current_Prior'!$Y$28</f>
        <v>33.6</v>
      </c>
      <c r="O46" s="74">
        <f>+O$12*'[1]BA-1 Rates Current_Prior'!$Y$28</f>
        <v>600</v>
      </c>
      <c r="P46" s="74">
        <f>P$12*'[1]BA-1 Rates Current_Prior'!$Y$32</f>
        <v>24.502720000000004</v>
      </c>
      <c r="Q46" s="1"/>
      <c r="R46" s="56"/>
      <c r="S46" s="44"/>
      <c r="T46" s="44"/>
    </row>
    <row r="47" spans="1:20" s="178" customFormat="1" x14ac:dyDescent="0.2">
      <c r="A47" s="8" t="s">
        <v>88</v>
      </c>
      <c r="B47" s="82">
        <f>SUM(B37:B46)</f>
        <v>49.47</v>
      </c>
      <c r="C47" s="82">
        <f t="shared" ref="C47:P47" si="4">SUM(C37:C46)</f>
        <v>61.363999999999997</v>
      </c>
      <c r="D47" s="82">
        <f t="shared" si="4"/>
        <v>77.22</v>
      </c>
      <c r="E47" s="82">
        <f t="shared" si="4"/>
        <v>91.932479999999998</v>
      </c>
      <c r="F47" s="82">
        <f t="shared" si="4"/>
        <v>1554.4</v>
      </c>
      <c r="G47" s="82">
        <f t="shared" si="4"/>
        <v>9746.1920000000009</v>
      </c>
      <c r="H47" s="82">
        <f t="shared" si="4"/>
        <v>8774.5</v>
      </c>
      <c r="I47" s="82">
        <f t="shared" si="4"/>
        <v>14504.349999999999</v>
      </c>
      <c r="J47" s="82">
        <f t="shared" si="4"/>
        <v>8774.5</v>
      </c>
      <c r="K47" s="82">
        <f t="shared" si="4"/>
        <v>14504.349999999999</v>
      </c>
      <c r="L47" s="82">
        <f t="shared" si="4"/>
        <v>13971.2</v>
      </c>
      <c r="M47" s="82">
        <f t="shared" si="4"/>
        <v>216418</v>
      </c>
      <c r="N47" s="82">
        <f t="shared" si="4"/>
        <v>13971.2</v>
      </c>
      <c r="O47" s="82">
        <f t="shared" si="4"/>
        <v>216418</v>
      </c>
      <c r="P47" s="82">
        <f t="shared" si="4"/>
        <v>5427.3524799999996</v>
      </c>
      <c r="Q47" s="8"/>
      <c r="R47" s="57"/>
      <c r="S47" s="58"/>
      <c r="T47" s="58"/>
    </row>
    <row r="48" spans="1:20" s="178" customFormat="1" x14ac:dyDescent="0.2">
      <c r="A48" s="8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"/>
      <c r="R48" s="57"/>
      <c r="S48" s="58"/>
      <c r="T48" s="58"/>
    </row>
    <row r="49" spans="1:20" x14ac:dyDescent="0.2">
      <c r="A49" s="17" t="s">
        <v>103</v>
      </c>
      <c r="B49" s="83">
        <f>ROUND('[1]Base Rates'!$N$342*(B31-B23),2)</f>
        <v>0</v>
      </c>
      <c r="C49" s="80">
        <f>ROUND('[1]Base Rates'!$N$342*(C31-C23),2)</f>
        <v>0</v>
      </c>
      <c r="D49" s="80">
        <f>ROUND('[1]Base Rates'!$N$342*(D31-D23),2)</f>
        <v>0</v>
      </c>
      <c r="E49" s="80">
        <f>ROUND('[1]Base Rates'!$N$342*(E31-E23),2)</f>
        <v>0</v>
      </c>
      <c r="F49" s="80">
        <f>ROUND('[1]Base Rates'!$N$342*(F31-F23),2)</f>
        <v>0</v>
      </c>
      <c r="G49" s="80">
        <f>ROUND('[1]Base Rates'!$N$342*(G31-G23),2)</f>
        <v>0</v>
      </c>
      <c r="H49" s="80">
        <f>ROUND('[1]Base Rates'!$N$342*(H31-H23),2)</f>
        <v>0</v>
      </c>
      <c r="I49" s="80">
        <f>ROUND('[1]Base Rates'!$N$342*(I31-I23),2)</f>
        <v>0</v>
      </c>
      <c r="J49" s="80">
        <f>ROUND('[1]Base Rates'!$N$342*(J31-J23),2)</f>
        <v>0</v>
      </c>
      <c r="K49" s="80">
        <f>ROUND('[1]Base Rates'!$N$342*(K31-K23),2)</f>
        <v>0</v>
      </c>
      <c r="L49" s="80">
        <f>ROUND('[1]Base Rates'!$N$342*(L31-L23),2)</f>
        <v>0</v>
      </c>
      <c r="M49" s="80">
        <f>ROUND('[1]Base Rates'!$N$342*(M31-M23),2)</f>
        <v>0</v>
      </c>
      <c r="N49" s="80">
        <f>ROUND('[1]Base Rates'!$N$342*(N31-N23),2)</f>
        <v>0</v>
      </c>
      <c r="O49" s="80">
        <f>ROUND('[1]Base Rates'!$N$342*(O31-O23),2)</f>
        <v>0</v>
      </c>
      <c r="P49" s="80">
        <f>ROUND('[1]Base Rates'!$N$342*(P31-P23),2)</f>
        <v>0</v>
      </c>
      <c r="Q49" s="1"/>
      <c r="R49" s="56"/>
      <c r="S49" s="44"/>
      <c r="T49" s="44"/>
    </row>
    <row r="50" spans="1:20" x14ac:dyDescent="0.2">
      <c r="A50" s="1"/>
      <c r="B50" s="80"/>
      <c r="C50" s="83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1"/>
      <c r="R50" s="56"/>
      <c r="S50" s="44"/>
      <c r="T50" s="44"/>
    </row>
    <row r="51" spans="1:20" x14ac:dyDescent="0.2">
      <c r="A51" s="1" t="s">
        <v>35</v>
      </c>
      <c r="B51" s="84">
        <f>+ROUND((B47+B49+B31)*'[1]Base Rates'!$N$339,2)</f>
        <v>3.12</v>
      </c>
      <c r="C51" s="84">
        <f>+ROUND((C47+C49+C31)*'[1]Base Rates'!$N$339,2)</f>
        <v>3.83</v>
      </c>
      <c r="D51" s="84">
        <f>+ROUND((D47+D49+D31)*'[1]Base Rates'!$N$339,2)</f>
        <v>4.92</v>
      </c>
      <c r="E51" s="84">
        <f>+ROUND((E47+E49+E31)*'[1]Base Rates'!$N$339,2)</f>
        <v>5.75</v>
      </c>
      <c r="F51" s="84">
        <f>+ROUND((F47+F49+F31)*'[1]Base Rates'!$N$339,2)</f>
        <v>77.81</v>
      </c>
      <c r="G51" s="84">
        <f>+ROUND((G47+G49+G31)*'[1]Base Rates'!$N$339,2)</f>
        <v>449.64</v>
      </c>
      <c r="H51" s="84">
        <f>+ROUND((H47+H49+H31)*'[1]Base Rates'!$N$339,2)</f>
        <v>461.52</v>
      </c>
      <c r="I51" s="84">
        <f>+ROUND((I47+I49+I31)*'[1]Base Rates'!$N$339,2)</f>
        <v>666.24</v>
      </c>
      <c r="J51" s="84">
        <f>+ROUND((J47+J49+J31)*'[1]Base Rates'!$N$339,2)</f>
        <v>474.31</v>
      </c>
      <c r="K51" s="84">
        <f>+ROUND((K47+K49+K31)*'[1]Base Rates'!$N$339,2)</f>
        <v>649.09</v>
      </c>
      <c r="L51" s="84">
        <f>+ROUND((L47+L49+L31)*'[1]Base Rates'!$N$339,2)</f>
        <v>501.02</v>
      </c>
      <c r="M51" s="84">
        <f>+ROUND((M47+M49+M31)*'[1]Base Rates'!$N$339,2)</f>
        <v>7628.66</v>
      </c>
      <c r="N51" s="84">
        <f>+ROUND((N47+N49+N31)*'[1]Base Rates'!$N$339,2)</f>
        <v>557.87</v>
      </c>
      <c r="O51" s="84">
        <f>+ROUND((O47+O49+O31)*'[1]Base Rates'!$N$339,2)</f>
        <v>7208.15</v>
      </c>
      <c r="P51" s="84">
        <f>+ROUND((P47+P49+P31)*'[1]Base Rates'!$N$339,2)</f>
        <v>1137.45</v>
      </c>
      <c r="Q51" s="1"/>
      <c r="R51" s="56"/>
      <c r="S51" s="44"/>
      <c r="T51" s="44"/>
    </row>
    <row r="52" spans="1:20" s="178" customFormat="1" x14ac:dyDescent="0.2">
      <c r="A52" s="68" t="s">
        <v>89</v>
      </c>
      <c r="B52" s="85">
        <f t="shared" ref="B52:P52" si="5">+B31+B49+B47+B51</f>
        <v>124.89000000000001</v>
      </c>
      <c r="C52" s="85">
        <f t="shared" si="5"/>
        <v>153.20600000000002</v>
      </c>
      <c r="D52" s="85">
        <f t="shared" si="5"/>
        <v>196.69499999999996</v>
      </c>
      <c r="E52" s="85">
        <f t="shared" si="5"/>
        <v>229.96984</v>
      </c>
      <c r="F52" s="85">
        <f t="shared" si="5"/>
        <v>3112.38</v>
      </c>
      <c r="G52" s="85">
        <f t="shared" si="5"/>
        <v>17985.61</v>
      </c>
      <c r="H52" s="85">
        <f t="shared" si="5"/>
        <v>18460.850000000002</v>
      </c>
      <c r="I52" s="85">
        <f t="shared" si="5"/>
        <v>26649.52</v>
      </c>
      <c r="J52" s="85">
        <f t="shared" si="5"/>
        <v>18972.575500000003</v>
      </c>
      <c r="K52" s="85">
        <f t="shared" si="5"/>
        <v>25963.806999999997</v>
      </c>
      <c r="L52" s="85">
        <f t="shared" si="5"/>
        <v>20040.810000000001</v>
      </c>
      <c r="M52" s="85">
        <f t="shared" si="5"/>
        <v>305146.64999999997</v>
      </c>
      <c r="N52" s="85">
        <f t="shared" si="5"/>
        <v>22314.86</v>
      </c>
      <c r="O52" s="85">
        <f t="shared" si="5"/>
        <v>288326.14</v>
      </c>
      <c r="P52" s="85">
        <f t="shared" si="5"/>
        <v>45497.918119999995</v>
      </c>
      <c r="Q52" s="8"/>
      <c r="R52" s="57"/>
      <c r="S52" s="58"/>
      <c r="T52" s="58"/>
    </row>
    <row r="53" spans="1:20" s="178" customFormat="1" x14ac:dyDescent="0.2">
      <c r="A53" s="8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6"/>
      <c r="Q53" s="8"/>
      <c r="R53" s="57"/>
      <c r="S53" s="58"/>
      <c r="T53" s="58"/>
    </row>
    <row r="54" spans="1:20" s="178" customFormat="1" x14ac:dyDescent="0.2">
      <c r="A54" s="8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"/>
      <c r="R54" s="57"/>
      <c r="S54" s="58"/>
      <c r="T54" s="58"/>
    </row>
    <row r="55" spans="1:20" s="178" customFormat="1" x14ac:dyDescent="0.2">
      <c r="A55" s="8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"/>
      <c r="R55" s="57"/>
      <c r="S55" s="58"/>
      <c r="T55" s="58"/>
    </row>
    <row r="56" spans="1:20" s="178" customFormat="1" x14ac:dyDescent="0.2">
      <c r="A56" s="8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"/>
      <c r="R56" s="57"/>
      <c r="S56" s="58"/>
      <c r="T56" s="58"/>
    </row>
    <row r="57" spans="1:20" s="178" customFormat="1" x14ac:dyDescent="0.2">
      <c r="A57" s="8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"/>
      <c r="R57" s="57"/>
      <c r="S57" s="58"/>
      <c r="T57" s="58"/>
    </row>
    <row r="58" spans="1:2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6"/>
      <c r="S58" s="44"/>
      <c r="T58" s="44"/>
    </row>
    <row r="59" spans="1:20" x14ac:dyDescent="0.2">
      <c r="A59" s="68" t="s">
        <v>90</v>
      </c>
      <c r="B59" s="64" t="s">
        <v>0</v>
      </c>
      <c r="C59" s="64" t="s">
        <v>0</v>
      </c>
      <c r="D59" s="64" t="s">
        <v>36</v>
      </c>
      <c r="E59" s="64" t="s">
        <v>13</v>
      </c>
      <c r="F59" s="64" t="s">
        <v>14</v>
      </c>
      <c r="G59" s="64" t="s">
        <v>15</v>
      </c>
      <c r="H59" s="64" t="s">
        <v>37</v>
      </c>
      <c r="I59" s="64" t="s">
        <v>38</v>
      </c>
      <c r="J59" s="64" t="s">
        <v>39</v>
      </c>
      <c r="K59" s="64" t="s">
        <v>40</v>
      </c>
      <c r="L59" s="64" t="s">
        <v>41</v>
      </c>
      <c r="M59" s="64" t="s">
        <v>42</v>
      </c>
      <c r="N59" s="64" t="s">
        <v>43</v>
      </c>
      <c r="O59" s="64" t="s">
        <v>44</v>
      </c>
      <c r="P59" s="64" t="s">
        <v>22</v>
      </c>
      <c r="Q59" s="1"/>
      <c r="R59" s="56" t="s">
        <v>120</v>
      </c>
      <c r="S59" s="44"/>
      <c r="T59" s="44"/>
    </row>
    <row r="60" spans="1:20" x14ac:dyDescent="0.2">
      <c r="A60" s="79" t="s">
        <v>83</v>
      </c>
      <c r="B60" s="70">
        <f>'[1]Base Rates'!$P$33</f>
        <v>10.63</v>
      </c>
      <c r="C60" s="70">
        <f>'[1]Base Rates'!$P$33</f>
        <v>10.63</v>
      </c>
      <c r="D60" s="70">
        <f>'[1]Base Rates'!$P$53</f>
        <v>14.07</v>
      </c>
      <c r="E60" s="70">
        <f>'[1]Base Rates'!$P$57</f>
        <v>23.09</v>
      </c>
      <c r="F60" s="70">
        <f>'[1]Base Rates'!$P$90</f>
        <v>14.07</v>
      </c>
      <c r="G60" s="70">
        <f>'[1]Base Rates'!$P$94</f>
        <v>23.09</v>
      </c>
      <c r="H60" s="70">
        <f>'[1]Base Rates'!$P$165</f>
        <v>81.430000000000007</v>
      </c>
      <c r="I60" s="70">
        <f>'[1]Base Rates'!$P$165</f>
        <v>81.430000000000007</v>
      </c>
      <c r="J60" s="70">
        <f>'[1]Base Rates'!$P$165</f>
        <v>81.430000000000007</v>
      </c>
      <c r="K60" s="70">
        <f>'[1]Base Rates'!$P$165</f>
        <v>81.430000000000007</v>
      </c>
      <c r="L60" s="70">
        <f>'[1]Base Rates'!$P$202</f>
        <v>298.99</v>
      </c>
      <c r="M60" s="70">
        <f>'[1]Base Rates'!$P$202</f>
        <v>298.99</v>
      </c>
      <c r="N60" s="70">
        <f>'[1]Base Rates'!$P$202</f>
        <v>298.99</v>
      </c>
      <c r="O60" s="70">
        <f>'[1]Base Rates'!$P$202</f>
        <v>298.99</v>
      </c>
      <c r="P60" s="70">
        <f>'[1]Base Rates'!$P$239</f>
        <v>1.44</v>
      </c>
      <c r="Q60" s="1"/>
      <c r="R60" s="56"/>
      <c r="S60" s="44"/>
      <c r="T60" s="44"/>
    </row>
    <row r="61" spans="1:20" x14ac:dyDescent="0.2">
      <c r="A61" s="1" t="s">
        <v>27</v>
      </c>
      <c r="B61" s="71"/>
      <c r="C61" s="71" t="s">
        <v>75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1"/>
      <c r="R61" s="56"/>
      <c r="S61" s="44"/>
      <c r="T61" s="44"/>
    </row>
    <row r="62" spans="1:20" x14ac:dyDescent="0.2">
      <c r="A62" s="1" t="s">
        <v>28</v>
      </c>
      <c r="B62" s="71"/>
      <c r="C62" s="71" t="s">
        <v>75</v>
      </c>
      <c r="D62" s="71"/>
      <c r="E62" s="71"/>
      <c r="F62" s="71">
        <f>+$F$5*'[1]Base Rates'!$P$102</f>
        <v>627</v>
      </c>
      <c r="G62" s="71">
        <f>+$G$5*'[1]Base Rates'!$P$105</f>
        <v>624</v>
      </c>
      <c r="H62" s="71">
        <f>+$H$5*'[1]Base Rates'!$P$170</f>
        <v>7042</v>
      </c>
      <c r="I62" s="71">
        <f>+$I$5*'[1]Base Rates'!$P$173</f>
        <v>1050</v>
      </c>
      <c r="J62" s="71">
        <f>+$J$5*'[1]Base Rates'!$P$170</f>
        <v>7042</v>
      </c>
      <c r="K62" s="71">
        <f>+$K$5*'[1]Base Rates'!$P$173</f>
        <v>1050</v>
      </c>
      <c r="L62" s="71">
        <f>+$L$5*'[1]Base Rates'!$P$207</f>
        <v>8530</v>
      </c>
      <c r="M62" s="71">
        <f>+$M$5*'[1]Base Rates'!$P$210</f>
        <v>13500</v>
      </c>
      <c r="N62" s="71">
        <f>+$N$5*'[1]Base Rates'!$P$207</f>
        <v>8530</v>
      </c>
      <c r="O62" s="71">
        <f>+$O$5*'[1]Base Rates'!$P$210</f>
        <v>13500</v>
      </c>
      <c r="P62" s="71"/>
      <c r="Q62" s="1"/>
      <c r="R62" s="56">
        <f>+H62/H$5</f>
        <v>10.06</v>
      </c>
      <c r="S62" s="44"/>
      <c r="T62" s="59">
        <f>+R62-R21</f>
        <v>0</v>
      </c>
    </row>
    <row r="63" spans="1:20" x14ac:dyDescent="0.2">
      <c r="A63" s="1" t="s">
        <v>29</v>
      </c>
      <c r="B63" s="71"/>
      <c r="C63" s="71"/>
      <c r="D63" s="71"/>
      <c r="E63" s="71"/>
      <c r="F63" s="71"/>
      <c r="G63" s="71">
        <f>+$G$6*'[1]Base Rates'!$P$106</f>
        <v>1774.6</v>
      </c>
      <c r="H63" s="71"/>
      <c r="I63" s="71">
        <f>+$I$6*'[1]Base Rates'!$P$174</f>
        <v>5652.5</v>
      </c>
      <c r="J63" s="71"/>
      <c r="K63" s="71">
        <f>+$K$6*'[1]Base Rates'!$P$174</f>
        <v>5652.5</v>
      </c>
      <c r="L63" s="71"/>
      <c r="M63" s="71">
        <f>+$M$6*'[1]Base Rates'!$P$211</f>
        <v>70680</v>
      </c>
      <c r="N63" s="71"/>
      <c r="O63" s="71">
        <f>+$O$6*'[1]Base Rates'!$P$211</f>
        <v>70680</v>
      </c>
      <c r="P63" s="71"/>
      <c r="Q63" s="1"/>
      <c r="R63" s="56"/>
      <c r="S63" s="44"/>
      <c r="T63" s="44"/>
    </row>
    <row r="64" spans="1:20" x14ac:dyDescent="0.2">
      <c r="A64" s="1" t="s">
        <v>30</v>
      </c>
      <c r="B64" s="71"/>
      <c r="C64" s="71"/>
      <c r="D64" s="71"/>
      <c r="E64" s="71"/>
      <c r="F64" s="71"/>
      <c r="G64" s="72"/>
      <c r="H64" s="71">
        <f>$H$7*-'[1]Base Rates'!$P$177</f>
        <v>-1760.5</v>
      </c>
      <c r="I64" s="71">
        <f>(-$I$7+$I$6)*-'[1]Base Rates'!$P$177</f>
        <v>-1584.45</v>
      </c>
      <c r="J64" s="73">
        <f>($J$7*-'[1]Base Rates'!$P$178)*$J$15</f>
        <v>-1261.5645</v>
      </c>
      <c r="K64" s="73">
        <f>((-$K$7+$K$5)*-'[1]Base Rates'!$P$178)*$K$15</f>
        <v>-2253.0129999999999</v>
      </c>
      <c r="L64" s="71">
        <f>$L$5*-'[1]Base Rates'!$P$214</f>
        <v>-6710</v>
      </c>
      <c r="M64" s="71">
        <f>+$M$6*-'[1]Base Rates'!$P$214</f>
        <v>-63745</v>
      </c>
      <c r="N64" s="71">
        <f>($N$5*-'[1]Base Rates'!$P$215)*$N$15</f>
        <v>-4492.8</v>
      </c>
      <c r="O64" s="71">
        <f>($O$5*-'[1]Base Rates'!$P$215)*$O$15</f>
        <v>-80145</v>
      </c>
      <c r="P64" s="71"/>
      <c r="Q64" s="1"/>
      <c r="R64" s="56">
        <f>+H64/H$7</f>
        <v>-5.03</v>
      </c>
      <c r="S64" s="44"/>
      <c r="T64" s="59">
        <f>+R64-R23</f>
        <v>0</v>
      </c>
    </row>
    <row r="65" spans="1:20" x14ac:dyDescent="0.2">
      <c r="A65" s="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1"/>
      <c r="R65" s="56"/>
      <c r="S65" s="44"/>
      <c r="T65" s="44"/>
    </row>
    <row r="66" spans="1:20" x14ac:dyDescent="0.2">
      <c r="A66" s="1" t="s">
        <v>31</v>
      </c>
      <c r="B66" s="71" t="s">
        <v>75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1"/>
      <c r="R66" s="56"/>
      <c r="S66" s="44"/>
      <c r="T66" s="44"/>
    </row>
    <row r="67" spans="1:20" x14ac:dyDescent="0.2">
      <c r="A67" s="1" t="s">
        <v>47</v>
      </c>
      <c r="B67" s="73">
        <f>$B$10*'[1]Base Rates'!$P$44</f>
        <v>61.67</v>
      </c>
      <c r="C67" s="73">
        <f>$C$10*'[1]Base Rates'!$P$44</f>
        <v>61.67</v>
      </c>
      <c r="D67" s="71">
        <f>$D$12*'[1]Base Rates'!$P$66</f>
        <v>100.48499999999999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 t="s">
        <v>75</v>
      </c>
      <c r="Q67" s="1"/>
      <c r="R67" s="56"/>
      <c r="S67" s="44"/>
      <c r="T67" s="44"/>
    </row>
    <row r="68" spans="1:20" x14ac:dyDescent="0.2">
      <c r="A68" s="1" t="s">
        <v>46</v>
      </c>
      <c r="B68" s="73">
        <f>$B$11*'[1]Base Rates'!$P$45</f>
        <v>0</v>
      </c>
      <c r="C68" s="73">
        <f>$C$11*'[1]Base Rates'!$P$45</f>
        <v>15.712000000000002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1"/>
      <c r="R68" s="56"/>
      <c r="S68" s="44"/>
      <c r="T68" s="44"/>
    </row>
    <row r="69" spans="1:20" x14ac:dyDescent="0.2">
      <c r="A69" s="1" t="s">
        <v>34</v>
      </c>
      <c r="B69" s="71"/>
      <c r="C69" s="71" t="s">
        <v>75</v>
      </c>
      <c r="D69" s="71"/>
      <c r="E69" s="71"/>
      <c r="F69" s="73">
        <f>$F$12*'[1]Base Rates'!$P$115</f>
        <v>839.09999999999991</v>
      </c>
      <c r="G69" s="71"/>
      <c r="H69" s="71">
        <f>$H$12*'[1]Base Rates'!$P$188</f>
        <v>3861.9</v>
      </c>
      <c r="I69" s="71"/>
      <c r="J69" s="71">
        <f>$J$12*'[1]Base Rates'!$P$188</f>
        <v>3861.9</v>
      </c>
      <c r="K69" s="71"/>
      <c r="L69" s="71">
        <f>$L$12*'[1]Base Rates'!$P$224</f>
        <v>3449.6</v>
      </c>
      <c r="M69" s="71"/>
      <c r="N69" s="71">
        <f>$N$12*'[1]Base Rates'!$P$224</f>
        <v>3449.6</v>
      </c>
      <c r="O69" s="71"/>
      <c r="P69" s="71">
        <f>$P$12*'[1]Base Rates'!$P$243</f>
        <v>4046.0116399999997</v>
      </c>
      <c r="Q69" s="1"/>
      <c r="R69" s="56">
        <f>+H69/H$12</f>
        <v>1.839E-2</v>
      </c>
      <c r="S69" s="44"/>
      <c r="T69" s="59">
        <f>+R69-R28</f>
        <v>0</v>
      </c>
    </row>
    <row r="70" spans="1:20" x14ac:dyDescent="0.2">
      <c r="A70" s="1" t="s">
        <v>33</v>
      </c>
      <c r="B70" s="71"/>
      <c r="C70" s="71" t="s">
        <v>75</v>
      </c>
      <c r="D70" s="71"/>
      <c r="E70" s="71">
        <f>$E$13*'[1]Base Rates'!$P$67</f>
        <v>95.835600000000014</v>
      </c>
      <c r="F70" s="71"/>
      <c r="G70" s="71">
        <f>$G$13*'[1]Base Rates'!$P$116</f>
        <v>3750.8240000000001</v>
      </c>
      <c r="H70" s="71"/>
      <c r="I70" s="71">
        <f>$I$13*'[1]Base Rates'!$P$189</f>
        <v>3541.6500000000005</v>
      </c>
      <c r="J70" s="71"/>
      <c r="K70" s="71">
        <f>$K$13*'[1]Base Rates'!$P$189</f>
        <v>3541.6500000000005</v>
      </c>
      <c r="L70" s="71"/>
      <c r="M70" s="71">
        <f>$M$13*'[1]Base Rates'!$P$225</f>
        <v>24150.000000000004</v>
      </c>
      <c r="N70" s="71"/>
      <c r="O70" s="71">
        <f>$O$13*'[1]Base Rates'!$P$225</f>
        <v>24150.000000000004</v>
      </c>
      <c r="P70" s="71"/>
      <c r="Q70" s="1"/>
      <c r="R70" s="56"/>
      <c r="S70" s="44"/>
      <c r="T70" s="44"/>
    </row>
    <row r="71" spans="1:20" x14ac:dyDescent="0.2">
      <c r="A71" s="1" t="s">
        <v>32</v>
      </c>
      <c r="B71" s="74"/>
      <c r="C71" s="74"/>
      <c r="D71" s="74"/>
      <c r="E71" s="74">
        <f>$E$14*'[1]Base Rates'!$P$68</f>
        <v>13.36176</v>
      </c>
      <c r="F71" s="74"/>
      <c r="G71" s="74">
        <f>$G$14*'[1]Base Rates'!$P$117</f>
        <v>1617.2640000000001</v>
      </c>
      <c r="H71" s="74"/>
      <c r="I71" s="74">
        <f>$I$14*'[1]Base Rates'!$P$190</f>
        <v>2737.7999999999997</v>
      </c>
      <c r="J71" s="74"/>
      <c r="K71" s="74">
        <f>$K$14*'[1]Base Rates'!$P$190</f>
        <v>2737.7999999999997</v>
      </c>
      <c r="L71" s="74"/>
      <c r="M71" s="74">
        <f>$M$14*'[1]Base Rates'!$P$226</f>
        <v>36216</v>
      </c>
      <c r="N71" s="74"/>
      <c r="O71" s="74">
        <f>$O$14*'[1]Base Rates'!$P$226</f>
        <v>36216</v>
      </c>
      <c r="P71" s="75">
        <f>+P16</f>
        <v>34885.663999999997</v>
      </c>
      <c r="Q71" s="1" t="s">
        <v>98</v>
      </c>
      <c r="R71" s="56"/>
      <c r="S71" s="44"/>
      <c r="T71" s="44"/>
    </row>
    <row r="72" spans="1:20" s="178" customFormat="1" x14ac:dyDescent="0.2">
      <c r="A72" s="8" t="s">
        <v>87</v>
      </c>
      <c r="B72" s="76">
        <f t="shared" ref="B72:P72" si="6">SUM(B60:B71)</f>
        <v>72.3</v>
      </c>
      <c r="C72" s="76">
        <f t="shared" si="6"/>
        <v>88.012</v>
      </c>
      <c r="D72" s="76">
        <f t="shared" si="6"/>
        <v>114.55499999999998</v>
      </c>
      <c r="E72" s="76">
        <f t="shared" si="6"/>
        <v>132.28736000000001</v>
      </c>
      <c r="F72" s="76">
        <f t="shared" si="6"/>
        <v>1480.17</v>
      </c>
      <c r="G72" s="76">
        <f t="shared" si="6"/>
        <v>7789.7780000000002</v>
      </c>
      <c r="H72" s="76">
        <f t="shared" si="6"/>
        <v>9224.83</v>
      </c>
      <c r="I72" s="76">
        <f t="shared" si="6"/>
        <v>11478.93</v>
      </c>
      <c r="J72" s="76">
        <f t="shared" si="6"/>
        <v>9723.7654999999995</v>
      </c>
      <c r="K72" s="76">
        <f t="shared" si="6"/>
        <v>10810.367</v>
      </c>
      <c r="L72" s="76">
        <f t="shared" si="6"/>
        <v>5568.59</v>
      </c>
      <c r="M72" s="76">
        <f t="shared" si="6"/>
        <v>81099.990000000005</v>
      </c>
      <c r="N72" s="76">
        <f t="shared" si="6"/>
        <v>7785.7899999999991</v>
      </c>
      <c r="O72" s="76">
        <f t="shared" si="6"/>
        <v>64699.990000000005</v>
      </c>
      <c r="P72" s="76">
        <f t="shared" si="6"/>
        <v>38933.115639999996</v>
      </c>
      <c r="Q72" s="8"/>
      <c r="R72" s="57"/>
      <c r="S72" s="58"/>
      <c r="T72" s="58"/>
    </row>
    <row r="73" spans="1:20" x14ac:dyDescent="0.2">
      <c r="A73" s="1" t="s">
        <v>85</v>
      </c>
      <c r="B73" s="77">
        <f t="shared" ref="B73:P73" si="7">B72/B92</f>
        <v>0.56493202062822312</v>
      </c>
      <c r="C73" s="77">
        <f t="shared" si="7"/>
        <v>0.56088607917611977</v>
      </c>
      <c r="D73" s="77">
        <f t="shared" si="7"/>
        <v>0.5711187556087346</v>
      </c>
      <c r="E73" s="77">
        <f t="shared" si="7"/>
        <v>0.56377938581298359</v>
      </c>
      <c r="F73" s="77">
        <f t="shared" si="7"/>
        <v>0.46707941647023182</v>
      </c>
      <c r="G73" s="77">
        <f t="shared" si="7"/>
        <v>0.4233393240181535</v>
      </c>
      <c r="H73" s="77">
        <f t="shared" si="7"/>
        <v>0.48377983495068244</v>
      </c>
      <c r="I73" s="77">
        <f t="shared" si="7"/>
        <v>0.41389183652056155</v>
      </c>
      <c r="J73" s="77">
        <f t="shared" si="7"/>
        <v>0.49661811201863459</v>
      </c>
      <c r="K73" s="77">
        <f t="shared" si="7"/>
        <v>0.39966712297169821</v>
      </c>
      <c r="L73" s="77">
        <f t="shared" si="7"/>
        <v>0.27312674426018846</v>
      </c>
      <c r="M73" s="77">
        <f t="shared" si="7"/>
        <v>0.26047703982935322</v>
      </c>
      <c r="N73" s="77">
        <f t="shared" si="7"/>
        <v>0.34355616253389426</v>
      </c>
      <c r="O73" s="77">
        <f t="shared" si="7"/>
        <v>0.21967104612257457</v>
      </c>
      <c r="P73" s="77">
        <f t="shared" si="7"/>
        <v>0.84984439330547057</v>
      </c>
      <c r="Q73" s="1"/>
      <c r="R73" s="56"/>
      <c r="S73" s="44"/>
      <c r="T73" s="44"/>
    </row>
    <row r="74" spans="1:20" x14ac:dyDescent="0.2">
      <c r="A74" s="1" t="s">
        <v>95</v>
      </c>
      <c r="B74" s="77">
        <f t="shared" ref="B74:G74" si="8">+(B72-B31)/B31</f>
        <v>-1.9655400712589213E-16</v>
      </c>
      <c r="C74" s="77">
        <f t="shared" si="8"/>
        <v>-1.6146496744991594E-16</v>
      </c>
      <c r="D74" s="77">
        <f t="shared" si="8"/>
        <v>-1.2405267963163551E-16</v>
      </c>
      <c r="E74" s="77">
        <f t="shared" si="8"/>
        <v>0</v>
      </c>
      <c r="F74" s="77">
        <f t="shared" si="8"/>
        <v>0</v>
      </c>
      <c r="G74" s="77">
        <f t="shared" si="8"/>
        <v>1.1675489362763974E-16</v>
      </c>
      <c r="H74" s="77">
        <f t="shared" ref="H74:P74" si="9">+((H72-H64)-(H31-H23))/(H31-H23)</f>
        <v>0</v>
      </c>
      <c r="I74" s="77">
        <f t="shared" si="9"/>
        <v>0</v>
      </c>
      <c r="J74" s="77">
        <f t="shared" si="9"/>
        <v>0</v>
      </c>
      <c r="K74" s="77">
        <f t="shared" si="9"/>
        <v>0</v>
      </c>
      <c r="L74" s="77">
        <f t="shared" si="9"/>
        <v>0</v>
      </c>
      <c r="M74" s="77">
        <f t="shared" si="9"/>
        <v>0</v>
      </c>
      <c r="N74" s="77">
        <f t="shared" si="9"/>
        <v>0</v>
      </c>
      <c r="O74" s="77">
        <f t="shared" si="9"/>
        <v>0</v>
      </c>
      <c r="P74" s="77">
        <f t="shared" si="9"/>
        <v>0</v>
      </c>
      <c r="Q74" s="1"/>
      <c r="R74" s="56"/>
      <c r="S74" s="44"/>
      <c r="T74" s="44"/>
    </row>
    <row r="75" spans="1:20" x14ac:dyDescent="0.2">
      <c r="A75" s="79" t="s">
        <v>84</v>
      </c>
      <c r="B75" s="1" t="s">
        <v>75</v>
      </c>
      <c r="C75" s="11" t="s">
        <v>75</v>
      </c>
      <c r="D75" s="1"/>
      <c r="E75" s="1"/>
      <c r="F75" s="11"/>
      <c r="G75" s="1"/>
      <c r="H75" s="11"/>
      <c r="I75" s="1"/>
      <c r="J75" s="1"/>
      <c r="K75" s="1"/>
      <c r="L75" s="1"/>
      <c r="M75" s="1"/>
      <c r="N75" s="1"/>
      <c r="O75" s="1"/>
      <c r="P75" s="1"/>
      <c r="Q75" s="1"/>
      <c r="R75" s="56"/>
      <c r="S75" s="44"/>
      <c r="T75" s="44"/>
    </row>
    <row r="76" spans="1:20" x14ac:dyDescent="0.2">
      <c r="A76" s="1" t="s">
        <v>8</v>
      </c>
      <c r="B76" s="1"/>
      <c r="C76" s="11" t="s">
        <v>75</v>
      </c>
      <c r="D76" s="1"/>
      <c r="E76" s="78"/>
      <c r="F76" s="1"/>
      <c r="G76" s="78"/>
      <c r="H76" s="1"/>
      <c r="I76" s="78"/>
      <c r="J76" s="1"/>
      <c r="K76" s="78"/>
      <c r="L76" s="1"/>
      <c r="M76" s="78"/>
      <c r="N76" s="1"/>
      <c r="O76" s="78"/>
      <c r="P76" s="78"/>
      <c r="Q76" s="1"/>
      <c r="R76" s="56"/>
      <c r="S76" s="44"/>
      <c r="T76" s="44"/>
    </row>
    <row r="77" spans="1:20" x14ac:dyDescent="0.2">
      <c r="A77" s="1" t="s">
        <v>60</v>
      </c>
      <c r="B77" s="71">
        <f>+B10*'[1]BA-1 Rates Proposed_Approved'!$O$7</f>
        <v>30.669999999999998</v>
      </c>
      <c r="C77" s="71">
        <f>+C10*'[1]BA-1 Rates Proposed_Approved'!$O$7</f>
        <v>30.669999999999998</v>
      </c>
      <c r="D77" s="71">
        <f>D12*'[1]BA-1 Rates Proposed_Approved'!$O$11</f>
        <v>50.25</v>
      </c>
      <c r="E77" s="72"/>
      <c r="F77" s="73">
        <f>F$12*'[1]BA-1 Rates Proposed_Approved'!$O$18</f>
        <v>1005.0000000000001</v>
      </c>
      <c r="G77" s="72"/>
      <c r="H77" s="71">
        <f>+H$12*'[1]BA-1 Rates Proposed_Approved'!$O$23</f>
        <v>7035</v>
      </c>
      <c r="I77" s="72"/>
      <c r="J77" s="71">
        <f>J$12*'[1]BA-1 Rates Proposed_Approved'!$O$23</f>
        <v>7035</v>
      </c>
      <c r="K77" s="72"/>
      <c r="L77" s="71">
        <f>L$12*'[1]BA-1 Rates Proposed_Approved'!$O$28</f>
        <v>9380</v>
      </c>
      <c r="M77" s="72"/>
      <c r="N77" s="71">
        <f>N$12*'[1]BA-1 Rates Proposed_Approved'!$O$28</f>
        <v>9380</v>
      </c>
      <c r="O77" s="72"/>
      <c r="P77" s="71">
        <f>P$12*'[1]BA-1 Rates Proposed_Approved'!$O$32</f>
        <v>4871.4470199999996</v>
      </c>
      <c r="Q77" s="87"/>
      <c r="R77" s="56">
        <f>+H77/H$12</f>
        <v>3.3500000000000002E-2</v>
      </c>
      <c r="S77" s="44"/>
      <c r="T77" s="59">
        <f>+R77-R37</f>
        <v>0</v>
      </c>
    </row>
    <row r="78" spans="1:20" x14ac:dyDescent="0.2">
      <c r="A78" s="1" t="s">
        <v>46</v>
      </c>
      <c r="B78" s="71">
        <f>+B11*'[1]BA-1 Rates Proposed_Approved'!$O$8</f>
        <v>0</v>
      </c>
      <c r="C78" s="71">
        <f>+C11*'[1]BA-1 Rates Proposed_Approved'!$O$8</f>
        <v>8.1340000000000003</v>
      </c>
      <c r="D78" s="71"/>
      <c r="E78" s="72"/>
      <c r="F78" s="71"/>
      <c r="G78" s="72"/>
      <c r="H78" s="71"/>
      <c r="I78" s="72"/>
      <c r="J78" s="71"/>
      <c r="K78" s="72"/>
      <c r="L78" s="71"/>
      <c r="M78" s="72"/>
      <c r="N78" s="71"/>
      <c r="O78" s="72"/>
      <c r="P78" s="71"/>
      <c r="Q78" s="1"/>
      <c r="R78" s="56"/>
      <c r="S78" s="44"/>
      <c r="T78" s="44"/>
    </row>
    <row r="79" spans="1:20" x14ac:dyDescent="0.2">
      <c r="A79" s="1" t="s">
        <v>33</v>
      </c>
      <c r="B79" s="72"/>
      <c r="C79" s="71" t="s">
        <v>75</v>
      </c>
      <c r="D79" s="72"/>
      <c r="E79" s="71">
        <f>+E$13*'[1]BA-1 Rates Proposed_Approved'!$P$11</f>
        <v>21.712320000000002</v>
      </c>
      <c r="F79" s="72"/>
      <c r="G79" s="71">
        <f>+G$13*'[1]BA-1 Rates Proposed_Approved'!$P$18</f>
        <v>2653.7280000000001</v>
      </c>
      <c r="H79" s="72"/>
      <c r="I79" s="71">
        <f>+I$13*'[1]BA-1 Rates Proposed_Approved'!$P$23</f>
        <v>4523.3999999999996</v>
      </c>
      <c r="J79" s="72"/>
      <c r="K79" s="71">
        <f>+K$13*'[1]BA-1 Rates Proposed_Approved'!$P$23</f>
        <v>4523.3999999999996</v>
      </c>
      <c r="L79" s="72"/>
      <c r="M79" s="71">
        <f>+M$13*'[1]BA-1 Rates Proposed_Approved'!$P$28</f>
        <v>60312</v>
      </c>
      <c r="N79" s="72"/>
      <c r="O79" s="71">
        <f>+O$13*'[1]BA-1 Rates Proposed_Approved'!$P$28</f>
        <v>60312</v>
      </c>
      <c r="P79" s="71"/>
      <c r="Q79" s="1"/>
      <c r="R79" s="56"/>
      <c r="S79" s="44"/>
      <c r="T79" s="44"/>
    </row>
    <row r="80" spans="1:20" x14ac:dyDescent="0.2">
      <c r="A80" s="1" t="s">
        <v>32</v>
      </c>
      <c r="B80" s="72"/>
      <c r="C80" s="72"/>
      <c r="D80" s="72"/>
      <c r="E80" s="71">
        <f>E$14*'[1]BA-1 Rates Proposed_Approved'!$Q$11</f>
        <v>37.856160000000003</v>
      </c>
      <c r="F80" s="72"/>
      <c r="G80" s="71">
        <f>+G$14*'[1]BA-1 Rates Proposed_Approved'!$Q$18</f>
        <v>4626.8639999999996</v>
      </c>
      <c r="H80" s="72"/>
      <c r="I80" s="71">
        <f>+I$14*'[1]BA-1 Rates Proposed_Approved'!$Q$23</f>
        <v>7886.7</v>
      </c>
      <c r="J80" s="72"/>
      <c r="K80" s="71">
        <f>+K$14*'[1]BA-1 Rates Proposed_Approved'!$Q$23</f>
        <v>7886.7</v>
      </c>
      <c r="L80" s="72"/>
      <c r="M80" s="71">
        <f>+M$14*'[1]BA-1 Rates Proposed_Approved'!$Q$28</f>
        <v>105156</v>
      </c>
      <c r="N80" s="72"/>
      <c r="O80" s="71">
        <f>+O$14*'[1]BA-1 Rates Proposed_Approved'!$Q$28</f>
        <v>105156</v>
      </c>
      <c r="P80" s="71"/>
      <c r="Q80" s="1"/>
      <c r="R80" s="56"/>
      <c r="S80" s="44"/>
      <c r="T80" s="44"/>
    </row>
    <row r="81" spans="1:20" x14ac:dyDescent="0.2">
      <c r="A81" s="1" t="s">
        <v>10</v>
      </c>
      <c r="B81" s="71">
        <f>ROUND(+B$9*'[1]BA-1 Rates Proposed_Approved'!$R$6,2)</f>
        <v>3.39</v>
      </c>
      <c r="C81" s="73">
        <f>ROUND(+C$9*'[1]BA-1 Rates Proposed_Approved'!$R$6,2)</f>
        <v>4.07</v>
      </c>
      <c r="D81" s="71">
        <f>D$12*'[1]BA-1 Rates Proposed_Approved'!$R$11</f>
        <v>4.9050000000000002</v>
      </c>
      <c r="E81" s="71">
        <f>+E$12*'[1]BA-1 Rates Proposed_Approved'!$R$11</f>
        <v>5.8860000000000001</v>
      </c>
      <c r="F81" s="71">
        <f>+F$5*'[1]BA-1 Rates Proposed_Approved'!$S$18</f>
        <v>109.00000000000001</v>
      </c>
      <c r="G81" s="71">
        <f>+G$5*'[1]BA-1 Rates Proposed_Approved'!$S$18</f>
        <v>436.00000000000006</v>
      </c>
      <c r="H81" s="71">
        <f>+H$5*'[1]BA-1 Rates Proposed_Approved'!$S$23</f>
        <v>322</v>
      </c>
      <c r="I81" s="71">
        <f>+I$5*'[1]BA-1 Rates Proposed_Approved'!$S$23</f>
        <v>322</v>
      </c>
      <c r="J81" s="71">
        <f>+J$5*'[1]BA-1 Rates Proposed_Approved'!$S$23</f>
        <v>322</v>
      </c>
      <c r="K81" s="71">
        <f>+K$5*'[1]BA-1 Rates Proposed_Approved'!$S$23</f>
        <v>322</v>
      </c>
      <c r="L81" s="71">
        <f>+L$5*'[1]BA-1 Rates Proposed_Approved'!$S$28</f>
        <v>950</v>
      </c>
      <c r="M81" s="71">
        <f>+M$5*'[1]BA-1 Rates Proposed_Approved'!$S$28</f>
        <v>9500</v>
      </c>
      <c r="N81" s="71">
        <f>+N$5*'[1]BA-1 Rates Proposed_Approved'!$S$28</f>
        <v>950</v>
      </c>
      <c r="O81" s="71">
        <f>+O$5*'[1]BA-1 Rates Proposed_Approved'!$S$28</f>
        <v>9500</v>
      </c>
      <c r="P81" s="71">
        <f>P$12*'[1]BA-1 Rates Proposed_Approved'!$R$32</f>
        <v>157.73626000000002</v>
      </c>
      <c r="Q81" s="87"/>
      <c r="R81" s="56">
        <f>+H81/H$5</f>
        <v>0.46</v>
      </c>
      <c r="S81" s="44"/>
      <c r="T81" s="59">
        <f>+R81-R41</f>
        <v>0</v>
      </c>
    </row>
    <row r="82" spans="1:20" x14ac:dyDescent="0.2">
      <c r="A82" s="1" t="s">
        <v>9</v>
      </c>
      <c r="B82" s="71">
        <f>ROUND(+B$9*'[1]BA-1 Rates Proposed_Approved'!$T$6,2)</f>
        <v>12</v>
      </c>
      <c r="C82" s="73">
        <f>ROUND(+C$9*'[1]BA-1 Rates Proposed_Approved'!$T$6,2)</f>
        <v>14.4</v>
      </c>
      <c r="D82" s="71">
        <f>D$12*'[1]BA-1 Rates Proposed_Approved'!$T$11</f>
        <v>17.204999999999998</v>
      </c>
      <c r="E82" s="71">
        <f>+E$12*'[1]BA-1 Rates Proposed_Approved'!$T$11</f>
        <v>20.645999999999997</v>
      </c>
      <c r="F82" s="71">
        <f>+F$5*'[1]BA-1 Rates Proposed_Approved'!$U$18</f>
        <v>360</v>
      </c>
      <c r="G82" s="71">
        <f>+G$5*'[1]BA-1 Rates Proposed_Approved'!$U$18</f>
        <v>1440</v>
      </c>
      <c r="H82" s="71">
        <f>+H$5*'[1]BA-1 Rates Proposed_Approved'!$U$23</f>
        <v>965.99999999999989</v>
      </c>
      <c r="I82" s="71">
        <f>+I$5*'[1]BA-1 Rates Proposed_Approved'!$U$23</f>
        <v>965.99999999999989</v>
      </c>
      <c r="J82" s="71">
        <f>+J$5*'[1]BA-1 Rates Proposed_Approved'!$U$23</f>
        <v>965.99999999999989</v>
      </c>
      <c r="K82" s="71">
        <f>+K$5*'[1]BA-1 Rates Proposed_Approved'!$U$23</f>
        <v>965.99999999999989</v>
      </c>
      <c r="L82" s="71">
        <f>+L$5*'[1]BA-1 Rates Proposed_Approved'!$U$28</f>
        <v>3000</v>
      </c>
      <c r="M82" s="71">
        <f>+M$5*'[1]BA-1 Rates Proposed_Approved'!$U$28</f>
        <v>30000</v>
      </c>
      <c r="N82" s="71">
        <f>+N$5*'[1]BA-1 Rates Proposed_Approved'!$U$28</f>
        <v>3000</v>
      </c>
      <c r="O82" s="71">
        <f>+O$5*'[1]BA-1 Rates Proposed_Approved'!$U$28</f>
        <v>30000</v>
      </c>
      <c r="P82" s="71">
        <f>P$12*'[1]BA-1 Rates Proposed_Approved'!$T$32</f>
        <v>225.11874</v>
      </c>
      <c r="Q82" s="87"/>
      <c r="R82" s="56">
        <f>+H82/H$5</f>
        <v>1.38</v>
      </c>
      <c r="S82" s="44"/>
      <c r="T82" s="59">
        <f>+R82-R42</f>
        <v>0</v>
      </c>
    </row>
    <row r="83" spans="1:20" x14ac:dyDescent="0.2">
      <c r="A83" s="1" t="s">
        <v>23</v>
      </c>
      <c r="B83" s="71">
        <f>ROUND(+B$9*'[1]BA-1 Rates Proposed_Approved'!$V$6,2)</f>
        <v>0.79</v>
      </c>
      <c r="C83" s="73">
        <f>ROUND(+C$9*'[1]BA-1 Rates Proposed_Approved'!$V$6,2)</f>
        <v>0.95</v>
      </c>
      <c r="D83" s="80">
        <f>D$12*'[1]BA-1 Rates Proposed_Approved'!$V$11</f>
        <v>1.1850000000000001</v>
      </c>
      <c r="E83" s="80">
        <f>+E$12*'[1]BA-1 Rates Proposed_Approved'!$V$11</f>
        <v>1.4219999999999999</v>
      </c>
      <c r="F83" s="80">
        <f>+F$12*'[1]BA-1 Rates Proposed_Approved'!$V$18</f>
        <v>22.8</v>
      </c>
      <c r="G83" s="80">
        <f>+G$12*'[1]BA-1 Rates Proposed_Approved'!$V$18</f>
        <v>167.20000000000002</v>
      </c>
      <c r="H83" s="80">
        <f>+H$12*'[1]BA-1 Rates Proposed_Approved'!$V$23</f>
        <v>151.20000000000002</v>
      </c>
      <c r="I83" s="80">
        <f>+I$12*'[1]BA-1 Rates Proposed_Approved'!$V$23</f>
        <v>270</v>
      </c>
      <c r="J83" s="80">
        <f>+J$12*'[1]BA-1 Rates Proposed_Approved'!$V$23</f>
        <v>151.20000000000002</v>
      </c>
      <c r="K83" s="80">
        <f>+K$12*'[1]BA-1 Rates Proposed_Approved'!$V$23</f>
        <v>270</v>
      </c>
      <c r="L83" s="80">
        <f>+L$12*'[1]BA-1 Rates Proposed_Approved'!$V$28</f>
        <v>204.39999999999998</v>
      </c>
      <c r="M83" s="80">
        <f>+M$12*'[1]BA-1 Rates Proposed_Approved'!$V$28</f>
        <v>3650</v>
      </c>
      <c r="N83" s="80">
        <f>+N$12*'[1]BA-1 Rates Proposed_Approved'!$V$28</f>
        <v>204.39999999999998</v>
      </c>
      <c r="O83" s="80">
        <f>+O$12*'[1]BA-1 Rates Proposed_Approved'!$V$28</f>
        <v>3650</v>
      </c>
      <c r="P83" s="80">
        <f>P$12*'[1]BA-1 Rates Proposed_Approved'!$V$32</f>
        <v>107.1994</v>
      </c>
      <c r="Q83" s="87"/>
      <c r="R83" s="56">
        <f>+H83/H$12</f>
        <v>7.2000000000000005E-4</v>
      </c>
      <c r="S83" s="44"/>
      <c r="T83" s="59">
        <f>+R83-R43</f>
        <v>0</v>
      </c>
    </row>
    <row r="84" spans="1:20" x14ac:dyDescent="0.2">
      <c r="A84" s="1" t="s">
        <v>110</v>
      </c>
      <c r="B84" s="71">
        <f>ROUND(+B$9*'[1]BA-1 Rates Proposed_Approved'!$W$6,2)</f>
        <v>2.35</v>
      </c>
      <c r="C84" s="73">
        <f>ROUND(+C$9*'[1]BA-1 Rates Proposed_Approved'!$W$6,2)</f>
        <v>2.82</v>
      </c>
      <c r="D84" s="80">
        <f>D$12*'[1]BA-1 Rates Proposed_Approved'!$W$11</f>
        <v>3.33</v>
      </c>
      <c r="E84" s="80">
        <f>+E$12*'[1]BA-1 Rates Proposed_Approved'!$W$11</f>
        <v>3.9960000000000004</v>
      </c>
      <c r="F84" s="80">
        <f>+F$12*'[1]BA-1 Rates Proposed_Approved'!$W$18</f>
        <v>52.5</v>
      </c>
      <c r="G84" s="80">
        <f>+G$12*'[1]BA-1 Rates Proposed_Approved'!$W$18</f>
        <v>385</v>
      </c>
      <c r="H84" s="80">
        <f>+H$12*'[1]BA-1 Rates Proposed_Approved'!$W$23</f>
        <v>251.99999999999997</v>
      </c>
      <c r="I84" s="80">
        <f>+I$12*'[1]BA-1 Rates Proposed_Approved'!$W$23</f>
        <v>449.99999999999994</v>
      </c>
      <c r="J84" s="80">
        <f>+J$12*'[1]BA-1 Rates Proposed_Approved'!$W$23</f>
        <v>251.99999999999997</v>
      </c>
      <c r="K84" s="80">
        <f>+K$12*'[1]BA-1 Rates Proposed_Approved'!$W$23</f>
        <v>449.99999999999994</v>
      </c>
      <c r="L84" s="80">
        <f>+L$12*'[1]BA-1 Rates Proposed_Approved'!$W$28</f>
        <v>403.20000000000005</v>
      </c>
      <c r="M84" s="80">
        <f>+M$12*'[1]BA-1 Rates Proposed_Approved'!$W$28</f>
        <v>7200</v>
      </c>
      <c r="N84" s="80">
        <f>+N$12*'[1]BA-1 Rates Proposed_Approved'!$W$28</f>
        <v>403.20000000000005</v>
      </c>
      <c r="O84" s="80">
        <f>+O$12*'[1]BA-1 Rates Proposed_Approved'!$W$28</f>
        <v>7200</v>
      </c>
      <c r="P84" s="80">
        <f>P$12*'[1]BA-1 Rates Proposed_Approved'!$W$32</f>
        <v>41.34834</v>
      </c>
      <c r="Q84" s="1"/>
      <c r="R84" s="56">
        <f>+H84/H$12</f>
        <v>1.1999999999999999E-3</v>
      </c>
      <c r="S84" s="44"/>
      <c r="T84" s="44">
        <f>+R84-R44</f>
        <v>0</v>
      </c>
    </row>
    <row r="85" spans="1:20" x14ac:dyDescent="0.2">
      <c r="A85" s="1" t="s">
        <v>124</v>
      </c>
      <c r="B85" s="71">
        <f>ROUND(+B$9*'[1]BA-1 Rates Proposed_Approved'!$X$6,2)</f>
        <v>0</v>
      </c>
      <c r="C85" s="73">
        <f>ROUND(+C$9*'[1]BA-1 Rates Proposed_Approved'!$X$6,2)</f>
        <v>0</v>
      </c>
      <c r="D85" s="80">
        <f>D$12*'[1]BA-1 Rates Proposed_Approved'!$X$11</f>
        <v>0</v>
      </c>
      <c r="E85" s="80">
        <f>+E$12*'[1]BA-1 Rates Proposed_Approved'!$X$11</f>
        <v>0</v>
      </c>
      <c r="F85" s="80">
        <f>+F$12*'[1]BA-1 Rates Proposed_Approved'!$X$18</f>
        <v>0</v>
      </c>
      <c r="G85" s="80">
        <f>+G$12*'[1]BA-1 Rates Proposed_Approved'!$X$18</f>
        <v>0</v>
      </c>
      <c r="H85" s="80">
        <f>+H$12*'[1]BA-1 Rates Proposed_Approved'!$X$23</f>
        <v>0</v>
      </c>
      <c r="I85" s="80">
        <f>+I$12*'[1]BA-1 Rates Proposed_Approved'!$X$23</f>
        <v>0</v>
      </c>
      <c r="J85" s="80">
        <f>+J$12*'[1]BA-1 Rates Proposed_Approved'!$X$23</f>
        <v>0</v>
      </c>
      <c r="K85" s="80">
        <f>+K$12*'[1]BA-1 Rates Proposed_Approved'!$X$23</f>
        <v>0</v>
      </c>
      <c r="L85" s="80">
        <f>+L$12*'[1]BA-1 Rates Proposed_Approved'!$X$28</f>
        <v>0</v>
      </c>
      <c r="M85" s="80">
        <f>+M$12*'[1]BA-1 Rates Proposed_Approved'!$X$28</f>
        <v>0</v>
      </c>
      <c r="N85" s="80">
        <f>+N$12*'[1]BA-1 Rates Proposed_Approved'!$X$28</f>
        <v>0</v>
      </c>
      <c r="O85" s="80">
        <f>+O$12*'[1]BA-1 Rates Proposed_Approved'!$X$28</f>
        <v>0</v>
      </c>
      <c r="P85" s="80">
        <f>P$12*'[1]BA-1 Rates Proposed_Approved'!$X$32</f>
        <v>0</v>
      </c>
      <c r="Q85" s="1"/>
      <c r="R85" s="56">
        <f>+H85/H$12</f>
        <v>0</v>
      </c>
      <c r="S85" s="44"/>
      <c r="T85" s="44">
        <f>+R85-R45</f>
        <v>0</v>
      </c>
    </row>
    <row r="86" spans="1:20" s="178" customFormat="1" x14ac:dyDescent="0.2">
      <c r="A86" s="1" t="s">
        <v>130</v>
      </c>
      <c r="B86" s="74">
        <f>ROUND(+B$9*'[1]BA-1 Rates Proposed_Approved'!$Y$6,2)</f>
        <v>3.28</v>
      </c>
      <c r="C86" s="81">
        <f>ROUND(+C$9*'[1]BA-1 Rates Proposed_Approved'!$Y$6,2)</f>
        <v>3.94</v>
      </c>
      <c r="D86" s="74">
        <f>D$12*'[1]BA-1 Rates Proposed_Approved'!$Y$11</f>
        <v>4.1399999999999997</v>
      </c>
      <c r="E86" s="74">
        <f>+E$12*'[1]BA-1 Rates Proposed_Approved'!$Y$11</f>
        <v>4.968</v>
      </c>
      <c r="F86" s="74">
        <f>+F$12*'[1]BA-1 Rates Proposed_Approved'!$Y$18</f>
        <v>60.300000000000004</v>
      </c>
      <c r="G86" s="74">
        <f>+G$12*'[1]BA-1 Rates Proposed_Approved'!$Y$18</f>
        <v>442.2</v>
      </c>
      <c r="H86" s="74">
        <f>+H$12*'[1]BA-1 Rates Proposed_Approved'!$Y$23</f>
        <v>640.5</v>
      </c>
      <c r="I86" s="74">
        <f>+I$12*'[1]BA-1 Rates Proposed_Approved'!$Y$23</f>
        <v>1143.75</v>
      </c>
      <c r="J86" s="74">
        <f>+J$12*'[1]BA-1 Rates Proposed_Approved'!$Y$23</f>
        <v>640.5</v>
      </c>
      <c r="K86" s="74">
        <f>+K$12*'[1]BA-1 Rates Proposed_Approved'!$Y$23</f>
        <v>1143.75</v>
      </c>
      <c r="L86" s="74">
        <f>+L$12*'[1]BA-1 Rates Proposed_Approved'!$Y$28</f>
        <v>372.4</v>
      </c>
      <c r="M86" s="74">
        <f>+M$12*'[1]BA-1 Rates Proposed_Approved'!$Y$28</f>
        <v>6650</v>
      </c>
      <c r="N86" s="74">
        <f>+N$12*'[1]BA-1 Rates Proposed_Approved'!$Y$28</f>
        <v>372.4</v>
      </c>
      <c r="O86" s="74">
        <f>+O$12*'[1]BA-1 Rates Proposed_Approved'!$Y$28</f>
        <v>6650</v>
      </c>
      <c r="P86" s="74">
        <f>P$12*'[1]BA-1 Rates Proposed_Approved'!$Y$32</f>
        <v>330.78672</v>
      </c>
      <c r="Q86" s="8"/>
      <c r="R86" s="57"/>
      <c r="S86" s="58"/>
      <c r="T86" s="58"/>
    </row>
    <row r="87" spans="1:20" x14ac:dyDescent="0.2">
      <c r="A87" s="8" t="s">
        <v>88</v>
      </c>
      <c r="B87" s="82">
        <f>SUM(B77:B86)</f>
        <v>52.48</v>
      </c>
      <c r="C87" s="82">
        <f t="shared" ref="C87:P87" si="10">SUM(C77:C86)</f>
        <v>64.984000000000009</v>
      </c>
      <c r="D87" s="82">
        <f t="shared" si="10"/>
        <v>81.015000000000001</v>
      </c>
      <c r="E87" s="82">
        <f t="shared" si="10"/>
        <v>96.48648</v>
      </c>
      <c r="F87" s="82">
        <f t="shared" si="10"/>
        <v>1609.6000000000001</v>
      </c>
      <c r="G87" s="82">
        <f t="shared" si="10"/>
        <v>10150.992000000002</v>
      </c>
      <c r="H87" s="82">
        <f t="shared" si="10"/>
        <v>9366.7000000000007</v>
      </c>
      <c r="I87" s="82">
        <f t="shared" si="10"/>
        <v>15561.849999999999</v>
      </c>
      <c r="J87" s="82">
        <f t="shared" si="10"/>
        <v>9366.7000000000007</v>
      </c>
      <c r="K87" s="82">
        <f t="shared" si="10"/>
        <v>15561.849999999999</v>
      </c>
      <c r="L87" s="82">
        <f t="shared" si="10"/>
        <v>14310</v>
      </c>
      <c r="M87" s="82">
        <f t="shared" si="10"/>
        <v>222468</v>
      </c>
      <c r="N87" s="82">
        <f t="shared" si="10"/>
        <v>14310</v>
      </c>
      <c r="O87" s="82">
        <f t="shared" si="10"/>
        <v>222468</v>
      </c>
      <c r="P87" s="82">
        <f t="shared" si="10"/>
        <v>5733.6364799999992</v>
      </c>
      <c r="Q87" s="1"/>
      <c r="R87" s="56"/>
      <c r="S87" s="44"/>
      <c r="T87" s="44"/>
    </row>
    <row r="88" spans="1:20" x14ac:dyDescent="0.2">
      <c r="A88" s="1"/>
      <c r="B88" s="1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56"/>
      <c r="S88" s="44"/>
      <c r="T88" s="44"/>
    </row>
    <row r="89" spans="1:20" x14ac:dyDescent="0.2">
      <c r="A89" s="17" t="s">
        <v>103</v>
      </c>
      <c r="B89" s="88">
        <f>ROUND('[1]Base Rates'!$P$342*(B72-B64),2)</f>
        <v>0</v>
      </c>
      <c r="C89" s="88">
        <f>ROUND('[1]Base Rates'!$P$342*(C72-C64),2)</f>
        <v>0</v>
      </c>
      <c r="D89" s="88">
        <f>ROUND('[1]Base Rates'!$P$342*(D72-D64),2)</f>
        <v>0</v>
      </c>
      <c r="E89" s="88">
        <f>ROUND('[1]Base Rates'!$P$342*(E72-E64),2)</f>
        <v>0</v>
      </c>
      <c r="F89" s="88">
        <f>ROUND('[1]Base Rates'!$P$342*(F72-F64),2)</f>
        <v>0</v>
      </c>
      <c r="G89" s="88">
        <f>ROUND('[1]Base Rates'!$P$342*(G72-G64),2)</f>
        <v>0</v>
      </c>
      <c r="H89" s="88">
        <f>ROUND('[1]Base Rates'!$P$342*(H72-H64),2)</f>
        <v>0</v>
      </c>
      <c r="I89" s="88">
        <f>ROUND('[1]Base Rates'!$P$342*(I72-I64),2)</f>
        <v>0</v>
      </c>
      <c r="J89" s="88">
        <f>ROUND('[1]Base Rates'!$P$342*(J72-J64),2)</f>
        <v>0</v>
      </c>
      <c r="K89" s="88">
        <f>ROUND('[1]Base Rates'!$P$342*(K72-K64),2)</f>
        <v>0</v>
      </c>
      <c r="L89" s="88">
        <f>ROUND('[1]Base Rates'!$P$342*(L72-L64),2)</f>
        <v>0</v>
      </c>
      <c r="M89" s="88">
        <f>ROUND('[1]Base Rates'!$P$342*(M72-M64),2)</f>
        <v>0</v>
      </c>
      <c r="N89" s="88">
        <f>ROUND('[1]Base Rates'!$P$342*(N72-N64),2)</f>
        <v>0</v>
      </c>
      <c r="O89" s="88">
        <f>ROUND('[1]Base Rates'!$P$342*(O72-O64),2)</f>
        <v>0</v>
      </c>
      <c r="P89" s="80">
        <f>ROUND('[1]Base Rates'!$P$342*(P72-P63-P71),2)</f>
        <v>0</v>
      </c>
      <c r="Q89" s="1"/>
      <c r="R89" s="56"/>
      <c r="S89" s="44"/>
      <c r="T89" s="44"/>
    </row>
    <row r="90" spans="1:20" x14ac:dyDescent="0.2">
      <c r="A90" s="1"/>
      <c r="B90" s="11" t="s">
        <v>75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56"/>
      <c r="S90" s="44"/>
      <c r="T90" s="60">
        <f>+H91-H$51</f>
        <v>15.189999999999998</v>
      </c>
    </row>
    <row r="91" spans="1:20" s="178" customFormat="1" x14ac:dyDescent="0.2">
      <c r="A91" s="1" t="s">
        <v>35</v>
      </c>
      <c r="B91" s="84">
        <f>+ROUND((B87+B89+B72)*'[1]Base Rates'!$P$339,2)</f>
        <v>3.2</v>
      </c>
      <c r="C91" s="84">
        <f>+ROUND((C87+C89+C72)*'[1]Base Rates'!$P$339,2)</f>
        <v>3.92</v>
      </c>
      <c r="D91" s="84">
        <f>+ROUND((D87+D89+D72)*'[1]Base Rates'!$P$339,2)</f>
        <v>5.01</v>
      </c>
      <c r="E91" s="84">
        <f>+ROUND((E87+E89+E72)*'[1]Base Rates'!$P$339,2)</f>
        <v>5.87</v>
      </c>
      <c r="F91" s="84">
        <f>+ROUND((F87+F89+F72)*'[1]Base Rates'!$P$339,2)</f>
        <v>79.22</v>
      </c>
      <c r="G91" s="84">
        <f>+ROUND((G87+G89+G72)*'[1]Base Rates'!$P$339,2)</f>
        <v>460.02</v>
      </c>
      <c r="H91" s="84">
        <f>+ROUND((H87+H89+H72)*'[1]Base Rates'!$P$339,2)</f>
        <v>476.71</v>
      </c>
      <c r="I91" s="84">
        <f>+ROUND((I87+I89+I72)*'[1]Base Rates'!$P$339,2)</f>
        <v>693.35</v>
      </c>
      <c r="J91" s="84">
        <f>+ROUND((J87+J89+J72)*'[1]Base Rates'!$P$339,2)</f>
        <v>489.5</v>
      </c>
      <c r="K91" s="84">
        <f>+ROUND((K87+K89+K72)*'[1]Base Rates'!$P$339,2)</f>
        <v>676.21</v>
      </c>
      <c r="L91" s="84">
        <f>+ROUND((L87+L89+L72)*'[1]Base Rates'!$P$339,2)</f>
        <v>509.71</v>
      </c>
      <c r="M91" s="84">
        <f>+ROUND((M87+M89+M72)*'[1]Base Rates'!$P$339,2)</f>
        <v>7783.79</v>
      </c>
      <c r="N91" s="84">
        <f>+ROUND((N87+N89+N72)*'[1]Base Rates'!$P$339,2)</f>
        <v>566.55999999999995</v>
      </c>
      <c r="O91" s="84">
        <f>+ROUND((O87+O89+O72)*'[1]Base Rates'!$P$339,2)</f>
        <v>7363.27</v>
      </c>
      <c r="P91" s="84">
        <f>+ROUND((P87+P89+P72)*'[1]Base Rates'!$P$339,2)</f>
        <v>1145.3</v>
      </c>
      <c r="Q91" s="8"/>
      <c r="R91" s="65"/>
      <c r="S91" s="17"/>
      <c r="T91" s="17"/>
    </row>
    <row r="92" spans="1:20" x14ac:dyDescent="0.2">
      <c r="A92" s="68" t="s">
        <v>91</v>
      </c>
      <c r="B92" s="85">
        <f t="shared" ref="B92:P92" si="11">+B72+B89+B87+B91</f>
        <v>127.98</v>
      </c>
      <c r="C92" s="85">
        <f t="shared" si="11"/>
        <v>156.916</v>
      </c>
      <c r="D92" s="85">
        <f t="shared" si="11"/>
        <v>200.57999999999998</v>
      </c>
      <c r="E92" s="85">
        <f t="shared" si="11"/>
        <v>234.64384000000001</v>
      </c>
      <c r="F92" s="85">
        <f t="shared" si="11"/>
        <v>3168.9900000000002</v>
      </c>
      <c r="G92" s="85">
        <f t="shared" si="11"/>
        <v>18400.790000000005</v>
      </c>
      <c r="H92" s="85">
        <f t="shared" si="11"/>
        <v>19068.239999999998</v>
      </c>
      <c r="I92" s="85">
        <f t="shared" si="11"/>
        <v>27734.129999999997</v>
      </c>
      <c r="J92" s="85">
        <f t="shared" si="11"/>
        <v>19579.965499999998</v>
      </c>
      <c r="K92" s="85">
        <f t="shared" si="11"/>
        <v>27048.426999999996</v>
      </c>
      <c r="L92" s="85">
        <f t="shared" si="11"/>
        <v>20388.3</v>
      </c>
      <c r="M92" s="85">
        <f t="shared" si="11"/>
        <v>311351.77999999997</v>
      </c>
      <c r="N92" s="85">
        <f t="shared" si="11"/>
        <v>22662.350000000002</v>
      </c>
      <c r="O92" s="85">
        <f t="shared" si="11"/>
        <v>294531.26</v>
      </c>
      <c r="P92" s="85">
        <f t="shared" si="11"/>
        <v>45812.05212</v>
      </c>
      <c r="Q92" s="1"/>
      <c r="R92" s="62"/>
      <c r="S92" s="2"/>
      <c r="T92" s="2"/>
    </row>
    <row r="93" spans="1:20" s="174" customFormat="1" x14ac:dyDescent="0.2">
      <c r="A93" s="1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90"/>
      <c r="Q93" s="2"/>
      <c r="R93" s="62"/>
      <c r="S93" s="2"/>
      <c r="T93" s="2"/>
    </row>
    <row r="94" spans="1:20" x14ac:dyDescent="0.2">
      <c r="A94" s="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1"/>
      <c r="R94" s="62"/>
      <c r="S94" s="2"/>
      <c r="T94" s="2"/>
    </row>
    <row r="95" spans="1:20" x14ac:dyDescent="0.2">
      <c r="A95" s="1" t="s">
        <v>125</v>
      </c>
      <c r="B95" s="66">
        <f>+B92/B9*100-B96</f>
        <v>9.7310000000000016</v>
      </c>
      <c r="C95" s="66">
        <f>+C92/C9*100-C96</f>
        <v>9.842666666666668</v>
      </c>
      <c r="D95" s="66">
        <f t="shared" ref="D95:P95" si="12">+D92/D12*100-D96</f>
        <v>10.021999999999998</v>
      </c>
      <c r="E95" s="66">
        <f t="shared" si="12"/>
        <v>9.7264088888888907</v>
      </c>
      <c r="F95" s="66">
        <f t="shared" si="12"/>
        <v>7.2133000000000003</v>
      </c>
      <c r="G95" s="66">
        <f t="shared" si="12"/>
        <v>5.0546354545454566</v>
      </c>
      <c r="H95" s="66">
        <f t="shared" si="12"/>
        <v>5.7301142857142846</v>
      </c>
      <c r="I95" s="66">
        <f t="shared" si="12"/>
        <v>4.0864080000000005</v>
      </c>
      <c r="J95" s="66">
        <f t="shared" si="12"/>
        <v>5.9737930952380953</v>
      </c>
      <c r="K95" s="66">
        <f t="shared" si="12"/>
        <v>3.9035538666666665</v>
      </c>
      <c r="L95" s="66">
        <f t="shared" si="12"/>
        <v>3.9315357142857139</v>
      </c>
      <c r="M95" s="66">
        <f t="shared" si="12"/>
        <v>2.917675599999999</v>
      </c>
      <c r="N95" s="66">
        <f t="shared" si="12"/>
        <v>4.7436964285714307</v>
      </c>
      <c r="O95" s="66">
        <f t="shared" si="12"/>
        <v>2.5812651999999998</v>
      </c>
      <c r="P95" s="66">
        <f t="shared" si="12"/>
        <v>26.733753705711038</v>
      </c>
      <c r="Q95" s="1"/>
      <c r="R95" s="62"/>
      <c r="S95" s="2"/>
      <c r="T95" s="2"/>
    </row>
    <row r="96" spans="1:20" x14ac:dyDescent="0.2">
      <c r="A96" s="1" t="s">
        <v>99</v>
      </c>
      <c r="B96" s="66">
        <f>SUM(B77:B80)/B9*100</f>
        <v>3.0669999999999997</v>
      </c>
      <c r="C96" s="66">
        <f>SUM(C77:C80)/C9*100</f>
        <v>3.2336666666666667</v>
      </c>
      <c r="D96" s="66">
        <f t="shared" ref="D96:P96" si="13">SUM(D77:D80)/D12*100</f>
        <v>3.35</v>
      </c>
      <c r="E96" s="66">
        <f t="shared" si="13"/>
        <v>3.3093600000000007</v>
      </c>
      <c r="F96" s="66">
        <f t="shared" si="13"/>
        <v>3.35</v>
      </c>
      <c r="G96" s="66">
        <f t="shared" si="13"/>
        <v>3.3093599999999999</v>
      </c>
      <c r="H96" s="66">
        <f t="shared" si="13"/>
        <v>3.35</v>
      </c>
      <c r="I96" s="66">
        <f t="shared" si="13"/>
        <v>3.3093599999999994</v>
      </c>
      <c r="J96" s="66">
        <f t="shared" si="13"/>
        <v>3.35</v>
      </c>
      <c r="K96" s="66">
        <f t="shared" si="13"/>
        <v>3.3093599999999994</v>
      </c>
      <c r="L96" s="66">
        <f t="shared" si="13"/>
        <v>3.35</v>
      </c>
      <c r="M96" s="66">
        <f t="shared" si="13"/>
        <v>3.3093599999999999</v>
      </c>
      <c r="N96" s="66">
        <f t="shared" si="13"/>
        <v>3.35</v>
      </c>
      <c r="O96" s="66">
        <f t="shared" si="13"/>
        <v>3.3093599999999999</v>
      </c>
      <c r="P96" s="66">
        <f t="shared" si="13"/>
        <v>3.1809999999999996</v>
      </c>
      <c r="Q96" s="1"/>
      <c r="R96" s="62"/>
      <c r="S96" s="2"/>
      <c r="T96" s="2"/>
    </row>
    <row r="97" spans="1:20" x14ac:dyDescent="0.2">
      <c r="A97" s="1" t="s">
        <v>108</v>
      </c>
      <c r="B97" s="14">
        <f>+B72*100/B9</f>
        <v>7.23</v>
      </c>
      <c r="C97" s="14">
        <f>+C72*100/C9</f>
        <v>7.3343333333333343</v>
      </c>
      <c r="D97" s="13">
        <f t="shared" ref="D97:P97" si="14">+D72*100/D12</f>
        <v>7.6369999999999987</v>
      </c>
      <c r="E97" s="13">
        <f t="shared" si="14"/>
        <v>7.3492977777777782</v>
      </c>
      <c r="F97" s="13">
        <f t="shared" si="14"/>
        <v>4.9339000000000004</v>
      </c>
      <c r="G97" s="13">
        <f t="shared" si="14"/>
        <v>3.540808181818182</v>
      </c>
      <c r="H97" s="13">
        <f t="shared" si="14"/>
        <v>4.3927761904761908</v>
      </c>
      <c r="I97" s="13">
        <f t="shared" si="14"/>
        <v>3.061048</v>
      </c>
      <c r="J97" s="13">
        <f t="shared" si="14"/>
        <v>4.6303645238095239</v>
      </c>
      <c r="K97" s="13">
        <f t="shared" si="14"/>
        <v>2.8827645333333334</v>
      </c>
      <c r="L97" s="13">
        <f t="shared" si="14"/>
        <v>1.9887821428571428</v>
      </c>
      <c r="M97" s="13">
        <f t="shared" si="14"/>
        <v>1.6219998000000002</v>
      </c>
      <c r="N97" s="13">
        <f t="shared" si="14"/>
        <v>2.7806392857142854</v>
      </c>
      <c r="O97" s="13">
        <f t="shared" si="14"/>
        <v>1.2939998000000001</v>
      </c>
      <c r="P97" s="13">
        <f t="shared" si="14"/>
        <v>25.422885713912578</v>
      </c>
      <c r="Q97" s="1"/>
      <c r="R97" s="62"/>
      <c r="S97" s="2"/>
      <c r="T97" s="2"/>
    </row>
    <row r="98" spans="1:20" x14ac:dyDescent="0.2">
      <c r="A98" s="1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1"/>
      <c r="R98" s="62"/>
      <c r="S98" s="2"/>
      <c r="T98" s="2"/>
    </row>
    <row r="99" spans="1:20" x14ac:dyDescent="0.2">
      <c r="A99" s="1" t="s">
        <v>126</v>
      </c>
      <c r="B99" s="66">
        <f>+B52/B9*100-B100</f>
        <v>9.4220000000000006</v>
      </c>
      <c r="C99" s="66">
        <f>+C52/C9*100-C100</f>
        <v>9.5335000000000019</v>
      </c>
      <c r="D99" s="66">
        <f t="shared" ref="D99:P99" si="15">+D52/D12*100-D100</f>
        <v>9.7629999999999963</v>
      </c>
      <c r="E99" s="66">
        <f t="shared" si="15"/>
        <v>9.4667422222222193</v>
      </c>
      <c r="F99" s="66">
        <f t="shared" si="15"/>
        <v>7.0246000000000013</v>
      </c>
      <c r="G99" s="66">
        <f t="shared" si="15"/>
        <v>4.8659172727272733</v>
      </c>
      <c r="H99" s="66">
        <f t="shared" si="15"/>
        <v>5.4408809523809527</v>
      </c>
      <c r="I99" s="66">
        <f t="shared" si="15"/>
        <v>3.7971786666666678</v>
      </c>
      <c r="J99" s="66">
        <f t="shared" si="15"/>
        <v>5.6845597619047634</v>
      </c>
      <c r="K99" s="66">
        <f t="shared" si="15"/>
        <v>3.6143218666666663</v>
      </c>
      <c r="L99" s="66">
        <f t="shared" si="15"/>
        <v>3.8074321428571438</v>
      </c>
      <c r="M99" s="66">
        <f t="shared" si="15"/>
        <v>2.7935729999999994</v>
      </c>
      <c r="N99" s="66">
        <f t="shared" si="15"/>
        <v>4.6195928571428571</v>
      </c>
      <c r="O99" s="66">
        <f t="shared" si="15"/>
        <v>2.4571628000000008</v>
      </c>
      <c r="P99" s="66">
        <f t="shared" si="15"/>
        <v>26.52862774418513</v>
      </c>
      <c r="Q99" s="1"/>
      <c r="R99" s="62"/>
      <c r="S99" s="2"/>
      <c r="T99" s="2"/>
    </row>
    <row r="100" spans="1:20" x14ac:dyDescent="0.2">
      <c r="A100" s="1" t="s">
        <v>100</v>
      </c>
      <c r="B100" s="66">
        <f>SUM(B37:B40)/B9*100</f>
        <v>3.0669999999999997</v>
      </c>
      <c r="C100" s="66">
        <f>SUM(C37:C40)/C9*100</f>
        <v>3.2336666666666667</v>
      </c>
      <c r="D100" s="66">
        <f t="shared" ref="D100:P100" si="16">SUM(D37:D40)/D12*100</f>
        <v>3.35</v>
      </c>
      <c r="E100" s="66">
        <f t="shared" si="16"/>
        <v>3.3093600000000007</v>
      </c>
      <c r="F100" s="66">
        <f t="shared" si="16"/>
        <v>3.35</v>
      </c>
      <c r="G100" s="66">
        <f t="shared" si="16"/>
        <v>3.3093599999999999</v>
      </c>
      <c r="H100" s="66">
        <f t="shared" si="16"/>
        <v>3.35</v>
      </c>
      <c r="I100" s="66">
        <f t="shared" si="16"/>
        <v>3.3093599999999994</v>
      </c>
      <c r="J100" s="66">
        <f t="shared" si="16"/>
        <v>3.35</v>
      </c>
      <c r="K100" s="66">
        <f t="shared" si="16"/>
        <v>3.3093599999999994</v>
      </c>
      <c r="L100" s="66">
        <f t="shared" si="16"/>
        <v>3.35</v>
      </c>
      <c r="M100" s="66">
        <f t="shared" si="16"/>
        <v>3.3093599999999999</v>
      </c>
      <c r="N100" s="66">
        <f t="shared" si="16"/>
        <v>3.35</v>
      </c>
      <c r="O100" s="66">
        <f t="shared" si="16"/>
        <v>3.3093599999999999</v>
      </c>
      <c r="P100" s="66">
        <f t="shared" si="16"/>
        <v>3.1809999999999996</v>
      </c>
      <c r="Q100" s="1"/>
      <c r="R100" s="62"/>
      <c r="S100" s="2"/>
      <c r="T100" s="2"/>
    </row>
    <row r="101" spans="1:20" x14ac:dyDescent="0.2">
      <c r="A101" s="1"/>
      <c r="B101" s="91"/>
      <c r="C101" s="92"/>
      <c r="D101" s="92"/>
      <c r="E101" s="92"/>
      <c r="F101" s="92"/>
      <c r="G101" s="91"/>
      <c r="H101" s="92"/>
      <c r="I101" s="92"/>
      <c r="J101" s="92"/>
      <c r="K101" s="92"/>
      <c r="L101" s="92"/>
      <c r="M101" s="92"/>
      <c r="N101" s="92"/>
      <c r="O101" s="92"/>
      <c r="P101" s="92"/>
      <c r="Q101" s="1"/>
      <c r="R101" s="62"/>
      <c r="S101" s="2"/>
      <c r="T101" s="2"/>
    </row>
    <row r="102" spans="1:20" x14ac:dyDescent="0.2">
      <c r="A102" s="1" t="s">
        <v>127</v>
      </c>
      <c r="B102" s="66">
        <f t="shared" ref="B102:P102" si="17">+B95-B99</f>
        <v>0.30900000000000105</v>
      </c>
      <c r="C102" s="66">
        <f t="shared" si="17"/>
        <v>0.30916666666666615</v>
      </c>
      <c r="D102" s="66">
        <f t="shared" si="17"/>
        <v>0.25900000000000212</v>
      </c>
      <c r="E102" s="66">
        <f t="shared" si="17"/>
        <v>0.25966666666667138</v>
      </c>
      <c r="F102" s="66">
        <f t="shared" si="17"/>
        <v>0.18869999999999898</v>
      </c>
      <c r="G102" s="66">
        <f t="shared" si="17"/>
        <v>0.18871818181818334</v>
      </c>
      <c r="H102" s="66">
        <f t="shared" si="17"/>
        <v>0.2892333333333319</v>
      </c>
      <c r="I102" s="66">
        <f t="shared" si="17"/>
        <v>0.28922933333333267</v>
      </c>
      <c r="J102" s="66">
        <f t="shared" si="17"/>
        <v>0.2892333333333319</v>
      </c>
      <c r="K102" s="66">
        <f t="shared" si="17"/>
        <v>0.28923200000000016</v>
      </c>
      <c r="L102" s="66">
        <f t="shared" si="17"/>
        <v>0.12410357142857009</v>
      </c>
      <c r="M102" s="66">
        <f t="shared" si="17"/>
        <v>0.12410259999999962</v>
      </c>
      <c r="N102" s="66">
        <f t="shared" si="17"/>
        <v>0.12410357142857364</v>
      </c>
      <c r="O102" s="66">
        <f t="shared" si="17"/>
        <v>0.12410239999999906</v>
      </c>
      <c r="P102" s="66">
        <f t="shared" si="17"/>
        <v>0.20512596152590845</v>
      </c>
      <c r="Q102" s="1"/>
      <c r="R102" s="62"/>
      <c r="S102" s="2"/>
      <c r="T102" s="2"/>
    </row>
    <row r="103" spans="1:20" x14ac:dyDescent="0.2">
      <c r="A103" s="1" t="s">
        <v>93</v>
      </c>
      <c r="B103" s="66">
        <f t="shared" ref="B103:P103" si="18">+B96-B100</f>
        <v>0</v>
      </c>
      <c r="C103" s="66">
        <f t="shared" si="18"/>
        <v>0</v>
      </c>
      <c r="D103" s="66">
        <f t="shared" si="18"/>
        <v>0</v>
      </c>
      <c r="E103" s="66">
        <f t="shared" si="18"/>
        <v>0</v>
      </c>
      <c r="F103" s="66">
        <f t="shared" si="18"/>
        <v>0</v>
      </c>
      <c r="G103" s="66">
        <f t="shared" si="18"/>
        <v>0</v>
      </c>
      <c r="H103" s="66">
        <f t="shared" si="18"/>
        <v>0</v>
      </c>
      <c r="I103" s="66">
        <f t="shared" si="18"/>
        <v>0</v>
      </c>
      <c r="J103" s="66">
        <f t="shared" si="18"/>
        <v>0</v>
      </c>
      <c r="K103" s="66">
        <f t="shared" si="18"/>
        <v>0</v>
      </c>
      <c r="L103" s="66">
        <f t="shared" si="18"/>
        <v>0</v>
      </c>
      <c r="M103" s="66">
        <f t="shared" si="18"/>
        <v>0</v>
      </c>
      <c r="N103" s="66">
        <f t="shared" si="18"/>
        <v>0</v>
      </c>
      <c r="O103" s="66">
        <f t="shared" si="18"/>
        <v>0</v>
      </c>
      <c r="P103" s="66">
        <f t="shared" si="18"/>
        <v>0</v>
      </c>
      <c r="Q103" s="1"/>
      <c r="R103" s="62"/>
      <c r="S103" s="2"/>
      <c r="T103" s="2"/>
    </row>
    <row r="104" spans="1:2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62"/>
      <c r="S104" s="2"/>
      <c r="T104" s="2"/>
    </row>
    <row r="105" spans="1:20" x14ac:dyDescent="0.2">
      <c r="A105" s="1" t="s">
        <v>101</v>
      </c>
      <c r="B105" s="10">
        <f t="shared" ref="B105:P105" si="19">+B103/B100</f>
        <v>0</v>
      </c>
      <c r="C105" s="10">
        <f t="shared" si="19"/>
        <v>0</v>
      </c>
      <c r="D105" s="10">
        <f t="shared" si="19"/>
        <v>0</v>
      </c>
      <c r="E105" s="10">
        <f t="shared" si="19"/>
        <v>0</v>
      </c>
      <c r="F105" s="10">
        <f t="shared" si="19"/>
        <v>0</v>
      </c>
      <c r="G105" s="10">
        <f t="shared" si="19"/>
        <v>0</v>
      </c>
      <c r="H105" s="10">
        <f t="shared" si="19"/>
        <v>0</v>
      </c>
      <c r="I105" s="10">
        <f t="shared" si="19"/>
        <v>0</v>
      </c>
      <c r="J105" s="10">
        <f t="shared" si="19"/>
        <v>0</v>
      </c>
      <c r="K105" s="10">
        <f t="shared" si="19"/>
        <v>0</v>
      </c>
      <c r="L105" s="10">
        <f t="shared" si="19"/>
        <v>0</v>
      </c>
      <c r="M105" s="10">
        <f t="shared" si="19"/>
        <v>0</v>
      </c>
      <c r="N105" s="10">
        <f t="shared" si="19"/>
        <v>0</v>
      </c>
      <c r="O105" s="10">
        <f t="shared" si="19"/>
        <v>0</v>
      </c>
      <c r="P105" s="10">
        <f t="shared" si="19"/>
        <v>0</v>
      </c>
      <c r="Q105" s="1"/>
      <c r="R105" s="62"/>
      <c r="S105" s="2"/>
      <c r="T105" s="2"/>
    </row>
    <row r="106" spans="1:20" x14ac:dyDescent="0.2">
      <c r="A106" s="1" t="s">
        <v>102</v>
      </c>
      <c r="B106" s="10">
        <f t="shared" ref="B106:P106" si="20">+B103/(B99+B100)</f>
        <v>0</v>
      </c>
      <c r="C106" s="10">
        <f t="shared" si="20"/>
        <v>0</v>
      </c>
      <c r="D106" s="10">
        <f t="shared" si="20"/>
        <v>0</v>
      </c>
      <c r="E106" s="10">
        <f t="shared" si="20"/>
        <v>0</v>
      </c>
      <c r="F106" s="10">
        <f t="shared" si="20"/>
        <v>0</v>
      </c>
      <c r="G106" s="10">
        <f t="shared" si="20"/>
        <v>0</v>
      </c>
      <c r="H106" s="10">
        <f t="shared" si="20"/>
        <v>0</v>
      </c>
      <c r="I106" s="10">
        <f t="shared" si="20"/>
        <v>0</v>
      </c>
      <c r="J106" s="10">
        <f t="shared" si="20"/>
        <v>0</v>
      </c>
      <c r="K106" s="10">
        <f t="shared" si="20"/>
        <v>0</v>
      </c>
      <c r="L106" s="10">
        <f t="shared" si="20"/>
        <v>0</v>
      </c>
      <c r="M106" s="10">
        <f t="shared" si="20"/>
        <v>0</v>
      </c>
      <c r="N106" s="10">
        <f t="shared" si="20"/>
        <v>0</v>
      </c>
      <c r="O106" s="10">
        <f t="shared" si="20"/>
        <v>0</v>
      </c>
      <c r="P106" s="10">
        <f t="shared" si="20"/>
        <v>0</v>
      </c>
      <c r="Q106" s="1"/>
      <c r="R106" s="62"/>
      <c r="S106" s="2"/>
      <c r="T106" s="2"/>
    </row>
    <row r="107" spans="1:2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62"/>
      <c r="S107" s="2"/>
      <c r="T107" s="2"/>
    </row>
    <row r="108" spans="1:20" x14ac:dyDescent="0.2">
      <c r="A108" s="1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1"/>
      <c r="R108" s="62"/>
      <c r="S108" s="2"/>
      <c r="T108" s="2"/>
    </row>
    <row r="109" spans="1:20" x14ac:dyDescent="0.2">
      <c r="A109" s="1" t="s">
        <v>107</v>
      </c>
      <c r="B109" s="11">
        <f t="shared" ref="B109:P109" si="21">+B49-B89</f>
        <v>0</v>
      </c>
      <c r="C109" s="11">
        <f t="shared" si="21"/>
        <v>0</v>
      </c>
      <c r="D109" s="11">
        <f t="shared" si="21"/>
        <v>0</v>
      </c>
      <c r="E109" s="11">
        <f t="shared" si="21"/>
        <v>0</v>
      </c>
      <c r="F109" s="11">
        <f t="shared" si="21"/>
        <v>0</v>
      </c>
      <c r="G109" s="11">
        <f t="shared" si="21"/>
        <v>0</v>
      </c>
      <c r="H109" s="11">
        <f t="shared" si="21"/>
        <v>0</v>
      </c>
      <c r="I109" s="11">
        <f t="shared" si="21"/>
        <v>0</v>
      </c>
      <c r="J109" s="11">
        <f t="shared" si="21"/>
        <v>0</v>
      </c>
      <c r="K109" s="11">
        <f t="shared" si="21"/>
        <v>0</v>
      </c>
      <c r="L109" s="11">
        <f t="shared" si="21"/>
        <v>0</v>
      </c>
      <c r="M109" s="11">
        <f t="shared" si="21"/>
        <v>0</v>
      </c>
      <c r="N109" s="11">
        <f t="shared" si="21"/>
        <v>0</v>
      </c>
      <c r="O109" s="11">
        <f t="shared" si="21"/>
        <v>0</v>
      </c>
      <c r="P109" s="11">
        <f t="shared" si="21"/>
        <v>0</v>
      </c>
      <c r="Q109" s="1"/>
      <c r="R109" s="62"/>
      <c r="S109" s="2"/>
      <c r="T109" s="2"/>
    </row>
    <row r="110" spans="1:2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62"/>
      <c r="S110" s="2"/>
      <c r="T110" s="2"/>
    </row>
    <row r="111" spans="1:20" x14ac:dyDescent="0.2">
      <c r="F111" s="179"/>
      <c r="G111" s="179"/>
      <c r="J111" s="180"/>
      <c r="L111" s="181"/>
      <c r="M111" s="181"/>
      <c r="N111" s="181"/>
      <c r="O111" s="181"/>
      <c r="P111" s="181"/>
    </row>
    <row r="112" spans="1:20" x14ac:dyDescent="0.2">
      <c r="F112" s="183"/>
      <c r="G112" s="183"/>
      <c r="P112" s="184"/>
    </row>
    <row r="113" spans="16:16" x14ac:dyDescent="0.2">
      <c r="P113" s="181"/>
    </row>
    <row r="114" spans="16:16" x14ac:dyDescent="0.2">
      <c r="P114" s="180"/>
    </row>
  </sheetData>
  <sheetProtection algorithmName="SHA-512" hashValue="mt/RNYuSfVvO/1G4hq/Abs64bIn+VmnXtgvDXR4jRL57XJu8Y324tPjGLzDKK7C5ljVQF/BUX5I2azvUpOXbzg==" saltValue="6qyINzldQ+pLF+P+pfNzGw==" spinCount="100000" sheet="1" objects="1" formatCells="0" formatColumns="0" formatRows="0" insertColumns="0" insertRows="0" insertHyperlinks="0" deleteColumns="0" deleteRows="0" selectLockedCells="1" sort="0" autoFilter="0" pivotTables="0"/>
  <phoneticPr fontId="2" type="noConversion"/>
  <pageMargins left="0" right="0" top="0" bottom="0.25" header="0.5" footer="0"/>
  <pageSetup scale="46" orientation="portrait" r:id="rId1"/>
  <headerFooter alignWithMargins="0">
    <oddFooter xml:space="preserve">&amp;R&amp;Z&amp;F  &amp;A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3B4FF113-9750-42DB-B6BC-8D10EEF9919A}"/>
</file>

<file path=customXml/itemProps2.xml><?xml version="1.0" encoding="utf-8"?>
<ds:datastoreItem xmlns:ds="http://schemas.openxmlformats.org/officeDocument/2006/customXml" ds:itemID="{9E38FA47-CE72-4C08-9B05-0E44E40C8C0B}"/>
</file>

<file path=customXml/itemProps3.xml><?xml version="1.0" encoding="utf-8"?>
<ds:datastoreItem xmlns:ds="http://schemas.openxmlformats.org/officeDocument/2006/customXml" ds:itemID="{DF7A885F-5C7F-4912-9DA9-83F32D5C9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Non-Responsive</vt:lpstr>
      <vt:lpstr> % change by rate</vt:lpstr>
      <vt:lpstr>calc</vt:lpstr>
      <vt:lpstr>' % change by rate'!Print_Area</vt:lpstr>
      <vt:lpstr>calc!Print_Area</vt:lpstr>
      <vt:lpstr>'Non-Responsive'!Print_Area</vt:lpstr>
      <vt:lpstr>' % change by rate'!Print_Titles</vt:lpstr>
      <vt:lpstr>calc!Print_Titles</vt:lpstr>
      <vt:lpstr>'Non-Responsive'!Print_Titles</vt:lpstr>
    </vt:vector>
  </TitlesOfParts>
  <Company>Florida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Denise Jordan</dc:creator>
  <cp:lastModifiedBy>Moore, Paul</cp:lastModifiedBy>
  <cp:lastPrinted>2017-10-31T17:28:41Z</cp:lastPrinted>
  <dcterms:created xsi:type="dcterms:W3CDTF">1999-09-30T18:43:42Z</dcterms:created>
  <dcterms:modified xsi:type="dcterms:W3CDTF">2020-04-29T15:17:55Z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0x0101002C5F1D5503D31F45B7B4283A1D7A54DA</vt:lpwstr>
  </property>
</Properties>
</file>