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250" windowHeight="11250" tabRatio="910" firstSheet="8" activeTab="13"/>
  </bookViews>
  <sheets>
    <sheet name="PD Executive Summary w Inc" sheetId="19" r:id="rId1"/>
    <sheet name="PD Exec Summary High Lev" sheetId="31" r:id="rId2"/>
    <sheet name="PD Summary (2020-2022)" sheetId="21" r:id="rId3"/>
    <sheet name="PD Summary (2019 CWIP)" sheetId="35" r:id="rId4"/>
    <sheet name="PD Summary (2020-22) High Lev" sheetId="32" r:id="rId5"/>
    <sheet name="PD Full Details" sheetId="20" r:id="rId6"/>
    <sheet name="DBU Inspections" sheetId="22" r:id="rId7"/>
    <sheet name="TBU Inspections" sheetId="23" r:id="rId8"/>
    <sheet name="DBU Feeder Hardening" sheetId="24" r:id="rId9"/>
    <sheet name="DBU Lateral Hardening" sheetId="25" r:id="rId10"/>
    <sheet name="Transmission Hardening" sheetId="26" r:id="rId11"/>
    <sheet name="DBU-TBU Vegetation Mngmt" sheetId="27" r:id="rId12"/>
    <sheet name="Mngmt Area Map (2019)" sheetId="30" r:id="rId13"/>
    <sheet name="GPCO Windloads" sheetId="33" r:id="rId14"/>
  </sheets>
  <definedNames>
    <definedName name="_Toc33527785" localSheetId="5">'PD Full Details'!$A$63</definedName>
    <definedName name="_Toc33527797" localSheetId="5">'PD Full Details'!$A$69</definedName>
    <definedName name="_xlnm.Print_Area" localSheetId="8">'DBU Feeder Hardening'!$A$1:$K$27</definedName>
    <definedName name="_xlnm.Print_Area" localSheetId="6">'DBU Inspections'!$A$1:$G$14</definedName>
    <definedName name="_xlnm.Print_Area" localSheetId="9">'DBU Lateral Hardening'!$B$3:$N$14</definedName>
    <definedName name="_xlnm.Print_Area" localSheetId="11">'DBU-TBU Vegetation Mngmt'!$A$1:$G$10</definedName>
    <definedName name="_xlnm.Print_Area" localSheetId="1">'PD Exec Summary High Lev'!$B$1:$N$39</definedName>
    <definedName name="_xlnm.Print_Area" localSheetId="0">'PD Executive Summary w Inc'!$B$1:$N$87</definedName>
    <definedName name="_xlnm.Print_Area" localSheetId="5">'PD Full Details'!$A$1:$W$83</definedName>
    <definedName name="_xlnm.Print_Area" localSheetId="2">'PD Summary (2020-2022)'!$A$1:$G$19</definedName>
    <definedName name="_xlnm.Print_Area" localSheetId="4">'PD Summary (2020-22) High Lev'!$A$1:$G$14</definedName>
    <definedName name="_xlnm.Print_Area" localSheetId="7">'TBU Inspections'!$A$1:$G$14</definedName>
    <definedName name="_xlnm.Print_Area" localSheetId="10">'Transmission Hardening'!$A$3:$L$60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<sst xmlns="http://schemas.openxmlformats.org/spreadsheetml/2006/main" count="840" uniqueCount="289">
  <si>
    <t>Substation</t>
  </si>
  <si>
    <t>Cap</t>
  </si>
  <si>
    <t>O&amp;M</t>
  </si>
  <si>
    <t>Comments</t>
  </si>
  <si>
    <t>Storm Protection Plan 'SPP' Cost Estimates (Budget)</t>
  </si>
  <si>
    <t>Total (2020 - 2029)</t>
  </si>
  <si>
    <t>Total SPP Cost</t>
  </si>
  <si>
    <t>Total SPP
Cost</t>
  </si>
  <si>
    <t>Operating Expenses</t>
  </si>
  <si>
    <t>Capital Expenditures</t>
  </si>
  <si>
    <t>2020-2029 Storm Protection Plan 'SPP' Program Cost Activities</t>
  </si>
  <si>
    <t>($ in Millions)</t>
  </si>
  <si>
    <t>Substation Equipment Inspections</t>
  </si>
  <si>
    <t>(2) Costs Include previous year(s) projects carried over to current year, current year's project costs and future year's preliminary project costs (e.g., engineering)</t>
  </si>
  <si>
    <t>(1) See also 2020 - 2022 project level details provided in Appendix</t>
  </si>
  <si>
    <t xml:space="preserve">                    SPP Programs  (1)(2)</t>
  </si>
  <si>
    <t>Total</t>
  </si>
  <si>
    <t>Capital</t>
  </si>
  <si>
    <t>Expense</t>
  </si>
  <si>
    <t>Embedded Operating Expenses</t>
  </si>
  <si>
    <t>Embedded Capital Expenditures</t>
  </si>
  <si>
    <t>Total Embedded Operating Expenses</t>
  </si>
  <si>
    <t>Total Embedded Capital Expenditures</t>
  </si>
  <si>
    <t>Total Embedded</t>
  </si>
  <si>
    <t>Total Incremental</t>
  </si>
  <si>
    <t>Distribution - Pole Inspections (Cyclic)</t>
  </si>
  <si>
    <t>Total Incremental Operating Expenses</t>
  </si>
  <si>
    <t>Total Incremental Capital Expenditures</t>
  </si>
  <si>
    <t>(Low-Budget)</t>
  </si>
  <si>
    <t>(Proposed)</t>
  </si>
  <si>
    <t>(High)</t>
  </si>
  <si>
    <t>Distribution Feeder Hardening</t>
  </si>
  <si>
    <t>Annual
Average
Cost</t>
  </si>
  <si>
    <t>2020 Plan</t>
  </si>
  <si>
    <t>2021 Plan</t>
  </si>
  <si>
    <t>2022 Plan</t>
  </si>
  <si>
    <t>2023 Plan</t>
  </si>
  <si>
    <t>2024 Plan</t>
  </si>
  <si>
    <t>2025 Plan</t>
  </si>
  <si>
    <t>2026 Plan</t>
  </si>
  <si>
    <t>2027 Plan</t>
  </si>
  <si>
    <t>2028 Plan</t>
  </si>
  <si>
    <t>2029 Plan</t>
  </si>
  <si>
    <t>SPP</t>
  </si>
  <si>
    <t>Programs</t>
  </si>
  <si>
    <t>2020 - 2022 Storm Protection Plan Cost Estimates</t>
  </si>
  <si>
    <t xml:space="preserve">Distribution Automation </t>
  </si>
  <si>
    <t xml:space="preserve"> 2020 Capital Plan</t>
  </si>
  <si>
    <t xml:space="preserve"> 2021 Capital Plan</t>
  </si>
  <si>
    <t xml:space="preserve"> 2022 Capital Plan</t>
  </si>
  <si>
    <t>Transmission Pole Inspections</t>
  </si>
  <si>
    <t>2020 Projects</t>
  </si>
  <si>
    <t>District</t>
  </si>
  <si>
    <t xml:space="preserve">Substation </t>
  </si>
  <si>
    <t>Feeders</t>
  </si>
  <si>
    <t>Scope</t>
  </si>
  <si>
    <t xml:space="preserve">Brentwood 6678 &amp; Oakfield 7922 </t>
  </si>
  <si>
    <t>Pensacola</t>
  </si>
  <si>
    <t>Brentwood/Oakfield</t>
  </si>
  <si>
    <t>6678/7922</t>
  </si>
  <si>
    <t>Replace and hardening 37 poles</t>
  </si>
  <si>
    <t>Avalon 5792</t>
  </si>
  <si>
    <t>Avalon</t>
  </si>
  <si>
    <t>Replace and hardening 68 poles</t>
  </si>
  <si>
    <t>Bayou Marcus 5572</t>
  </si>
  <si>
    <t>Bayou Marcus</t>
  </si>
  <si>
    <t>Replace and hardening 60 poles</t>
  </si>
  <si>
    <t>Turner 5662</t>
  </si>
  <si>
    <t>Fort Walton</t>
  </si>
  <si>
    <t>Turner</t>
  </si>
  <si>
    <t>Replace and hardening 123 poles</t>
  </si>
  <si>
    <t>Hathaway 8642</t>
  </si>
  <si>
    <t>Panama City</t>
  </si>
  <si>
    <t>Hathaway</t>
  </si>
  <si>
    <t>Replace and hardening 150 poles</t>
  </si>
  <si>
    <t>Redwood 8722</t>
  </si>
  <si>
    <t>Redwood</t>
  </si>
  <si>
    <t>Replace and hardening 34 poles</t>
  </si>
  <si>
    <t>2021 Program Details</t>
  </si>
  <si>
    <t>Estimated Projects</t>
  </si>
  <si>
    <t>Feeder
Impact</t>
  </si>
  <si>
    <t>Estimated Cost</t>
  </si>
  <si>
    <t>To Be Determined</t>
  </si>
  <si>
    <t>6 to 18</t>
  </si>
  <si>
    <t>Hardening range of 12 to 32 miles of feeder, and replacement of
approximately 500 - 930 poles</t>
  </si>
  <si>
    <t>2022 Program Details</t>
  </si>
  <si>
    <t>Feeder Impact</t>
  </si>
  <si>
    <t>Estimated</t>
  </si>
  <si>
    <t>Number of Customers</t>
  </si>
  <si>
    <t>Start</t>
  </si>
  <si>
    <t>Completion</t>
  </si>
  <si>
    <t>Residential</t>
  </si>
  <si>
    <t>October 2020</t>
  </si>
  <si>
    <t>December 2020</t>
  </si>
  <si>
    <t>Lateral Impact</t>
  </si>
  <si>
    <t>Number of structures</t>
  </si>
  <si>
    <t xml:space="preserve">Transmission Line </t>
  </si>
  <si>
    <t xml:space="preserve"> to be replaced</t>
  </si>
  <si>
    <t>May 2020</t>
  </si>
  <si>
    <t>Glendale - Ponce De Leon 115 kV</t>
  </si>
  <si>
    <t>September 2020</t>
  </si>
  <si>
    <t>Santa Rosa - Miramar #1 115 kV</t>
  </si>
  <si>
    <t>January 2020</t>
  </si>
  <si>
    <t>Total =</t>
  </si>
  <si>
    <t>Projects</t>
  </si>
  <si>
    <t>Line Impact</t>
  </si>
  <si>
    <t>$20M</t>
  </si>
  <si>
    <t>$30M</t>
  </si>
  <si>
    <t>December 2021</t>
  </si>
  <si>
    <t>2020-2029 Storm Protection Plan 'SPP' Program Cost</t>
  </si>
  <si>
    <t>Distribution Mainline Feeder Patrol</t>
  </si>
  <si>
    <t>(2020-2022)</t>
  </si>
  <si>
    <t>Pole Inspection - Transmission</t>
  </si>
  <si>
    <t>Equipment Inspection - Substation</t>
  </si>
  <si>
    <t>Impact</t>
  </si>
  <si>
    <t/>
  </si>
  <si>
    <t>Wood Structure Replacement</t>
  </si>
  <si>
    <t>Substation Resiliency</t>
  </si>
  <si>
    <t>Storm Protection Plan 'SPP' Programs</t>
  </si>
  <si>
    <t>8</t>
  </si>
  <si>
    <t>8 miles</t>
  </si>
  <si>
    <t>$5M</t>
  </si>
  <si>
    <t>CWIP</t>
  </si>
  <si>
    <t>Storm Hardening Plan Programs</t>
  </si>
  <si>
    <t>2019 Actuals</t>
  </si>
  <si>
    <t>Internal Order</t>
  </si>
  <si>
    <t>2019 SH GREENWOOD 8472 PH#1</t>
  </si>
  <si>
    <t>Panama City Management Area-PC</t>
  </si>
  <si>
    <t>ED100015A4XX</t>
  </si>
  <si>
    <t>2019 SH GREENWOOD 8472 PH#2</t>
  </si>
  <si>
    <t>ED100015A4XY</t>
  </si>
  <si>
    <t>2019-SH 5512 MOBILE HWY &amp; BLUE ANGE</t>
  </si>
  <si>
    <t>Pensacola Management Area-PN</t>
  </si>
  <si>
    <t>ED100055AEH3</t>
  </si>
  <si>
    <t>ED100055AEPE</t>
  </si>
  <si>
    <t>ST 4 - STORM HARDENING - OH (C.R. 97 Reconductor)</t>
  </si>
  <si>
    <t>ED100055AFCA</t>
  </si>
  <si>
    <t>9130' U/B RECONDUCTOR 9242 VALPARAI</t>
  </si>
  <si>
    <t>Central Management Area-FW</t>
  </si>
  <si>
    <t>ED1009193581</t>
  </si>
  <si>
    <t>2019 SH GREENWOOD 8472 PH3</t>
  </si>
  <si>
    <t>ED100015A5H4</t>
  </si>
  <si>
    <t>2019 SH GREENWOOD 8472 PH4</t>
  </si>
  <si>
    <t>ED100015A5J4</t>
  </si>
  <si>
    <t>2019 SH 5512 MOBILE HWY</t>
  </si>
  <si>
    <t>ED100055AEPN</t>
  </si>
  <si>
    <t>DEVINE FARM ROAD AT I-10</t>
  </si>
  <si>
    <t>ED100055AFPF</t>
  </si>
  <si>
    <t>2019 Total =</t>
  </si>
  <si>
    <t>In-Service
Date</t>
  </si>
  <si>
    <t>(Cap/COR/O&amp;M)</t>
  </si>
  <si>
    <t>0000682026: Fort Walton Management Area-FW</t>
  </si>
  <si>
    <t>PD06B-1B: 61A Replacement</t>
  </si>
  <si>
    <t>UDST.00022074: Pole Program</t>
  </si>
  <si>
    <t>UDST.00022074.02.01.01: Install</t>
  </si>
  <si>
    <t>0000682309: Pensacola Management Area-PN</t>
  </si>
  <si>
    <t>UDST.00022091: Pole Program</t>
  </si>
  <si>
    <t>UDST.00022091.02.01.01: Install</t>
  </si>
  <si>
    <t>0000682212: Trans Line-Panama City Dist</t>
  </si>
  <si>
    <t>PD06A-3: TL Harden Rebuilds</t>
  </si>
  <si>
    <t>UTRN.00022048: Hardening Rebuilds</t>
  </si>
  <si>
    <t>UTRN.00022048.01.01.01: Install</t>
  </si>
  <si>
    <t>0000682213: Trans Line-PNS &amp; FW Dist</t>
  </si>
  <si>
    <t>UTRN.00022048.02.01.01: Install</t>
  </si>
  <si>
    <t>0000682203: Substation-Panama City District</t>
  </si>
  <si>
    <t>PD06A-5: SU Hardening</t>
  </si>
  <si>
    <t>UTRN.00022120: Hardening Dsbn Facilities Station</t>
  </si>
  <si>
    <t>UTRN.00022120.01.01.01: Install</t>
  </si>
  <si>
    <t>0000682205: Substation-Pensacola District</t>
  </si>
  <si>
    <t>UTRN.00022121: Hardening Trmn Facilities Station</t>
  </si>
  <si>
    <t>UTRN.00022121.04.01.01: Install</t>
  </si>
  <si>
    <t>Storm Hardening Plan (YE 2019 CWIP)</t>
  </si>
  <si>
    <t>560 Internal Orders
Use MOPR</t>
  </si>
  <si>
    <t>14  Internal Orders
Use MOPR</t>
  </si>
  <si>
    <t>7  Internal Orders
Use MOPR</t>
  </si>
  <si>
    <t>PD06B-1A: 60A Insp, Treat, Reinfrc</t>
  </si>
  <si>
    <t>UDST.00022026: Feeder Hardening</t>
  </si>
  <si>
    <t>PD06B-2E: 62H Windzone Feeders</t>
  </si>
  <si>
    <t>UDST.00022060: Pole Program</t>
  </si>
  <si>
    <t>PD04B-3B: 84C Priority Feeders</t>
  </si>
  <si>
    <t>UDST.00022040: Planned Maintenance</t>
  </si>
  <si>
    <t>UDST.00022088: Planned Maintenance</t>
  </si>
  <si>
    <t>Responsible Cost Center of WBS L4</t>
  </si>
  <si>
    <t>IM Program Position of WBS L4</t>
  </si>
  <si>
    <t>SAP WBS L1 of WBS L4</t>
  </si>
  <si>
    <t>WBS L4</t>
  </si>
  <si>
    <t>MOPR
YE 2019</t>
  </si>
  <si>
    <t>CAP/COR
YE 2019</t>
  </si>
  <si>
    <t>CAPITAL</t>
  </si>
  <si>
    <t>Project Description</t>
  </si>
  <si>
    <t>Distribution Inspection Program</t>
  </si>
  <si>
    <t>Transmission Inspection Program</t>
  </si>
  <si>
    <t>Distribution Feeder Hardening Program</t>
  </si>
  <si>
    <t>Distribution Hardening - Lateral Undergrounding Program</t>
  </si>
  <si>
    <t>Transmission Hardening Program</t>
  </si>
  <si>
    <t>Vegetation Management - Distribution Program</t>
  </si>
  <si>
    <t>Vegetation Management - Transmission Program</t>
  </si>
  <si>
    <t>Distribution Mainline Feeder Patrol Program</t>
  </si>
  <si>
    <t>Substation Inspection Program</t>
  </si>
  <si>
    <t>Distribution Automation Program</t>
  </si>
  <si>
    <t>Wood Structure Replacement Program</t>
  </si>
  <si>
    <t>Substation Flood Monitoring Program</t>
  </si>
  <si>
    <t>Substation Resiliency Program</t>
  </si>
  <si>
    <t>Imbedded Transmission Structure Inspections and Hardening Program</t>
  </si>
  <si>
    <t>Imbedded Distribution - Pole Inspection Program</t>
  </si>
  <si>
    <t>Imbedded Feeder Hardening - Distribution / Mainline Feeder Patrol Programs</t>
  </si>
  <si>
    <t>Imbedded Distribution Automation Program</t>
  </si>
  <si>
    <t>Imbedded Vegetation Management - Distribution Program</t>
  </si>
  <si>
    <t>Distribution - Pole Inspection Program</t>
  </si>
  <si>
    <t>Distribution - Pole Inspection Program)</t>
  </si>
  <si>
    <t>G.    Vegetation Management - Transmission Program</t>
  </si>
  <si>
    <t>I.     Executive Summary</t>
  </si>
  <si>
    <r>
      <t xml:space="preserve">A.    </t>
    </r>
    <r>
      <rPr>
        <b/>
        <sz val="14"/>
        <color theme="1"/>
        <rFont val="Arial"/>
        <family val="2"/>
      </rPr>
      <t>Distribution Inspection Program</t>
    </r>
  </si>
  <si>
    <t>B.    Transmission Inspection Program</t>
  </si>
  <si>
    <t>C.    Distribution Feeder Hardening  Program</t>
  </si>
  <si>
    <t>D.    Distribution Hardening – Lateral Undergrounding Program</t>
  </si>
  <si>
    <t>E.    Transmission Hardening - Substations and Wood Structures Program</t>
  </si>
  <si>
    <t>F.    Vegetation Management - Distribution Program</t>
  </si>
  <si>
    <t>Vegetation Management Program</t>
  </si>
  <si>
    <t>Completion
Date</t>
  </si>
  <si>
    <t>Close
Date</t>
  </si>
  <si>
    <t>Pending</t>
  </si>
  <si>
    <t>Distribution Feeder Hardening (Year End 2019 Internal Order Charges)</t>
  </si>
  <si>
    <t>Construction Work In Progress (03.18.20)</t>
  </si>
  <si>
    <t>Substation/Line</t>
  </si>
  <si>
    <t>Shalimar</t>
  </si>
  <si>
    <t>Hurlburt</t>
  </si>
  <si>
    <t>Niceville</t>
  </si>
  <si>
    <t>NAS North Terminal</t>
  </si>
  <si>
    <t>NAS South Terminal</t>
  </si>
  <si>
    <t>Smith Construction</t>
  </si>
  <si>
    <t>Blountstown</t>
  </si>
  <si>
    <t>Central</t>
  </si>
  <si>
    <t>Western</t>
  </si>
  <si>
    <t>Eastern</t>
  </si>
  <si>
    <t>Storm Hardened Control House</t>
  </si>
  <si>
    <t>June 2020</t>
  </si>
  <si>
    <t>Romana</t>
  </si>
  <si>
    <t>Valparaiso Substation Transformer Bank Addition</t>
  </si>
  <si>
    <t>South Crestview Substation Transformer Bank Addition</t>
  </si>
  <si>
    <t>Hurlburt Substation Transformer Bank Addition</t>
  </si>
  <si>
    <t>Caryville Transmission Line Tap</t>
  </si>
  <si>
    <t>Santa Rosa - Miramar #1 Transmission Line</t>
  </si>
  <si>
    <t>Pole Inspection (Cyclic) - Distribution</t>
  </si>
  <si>
    <t>Distribution Mainline Feeder Patrol
Fort Walton: 71 Feeders; Panama City: 75 Feeders; Pensacola: 159 Feeders</t>
  </si>
  <si>
    <t>Transmission System Loop</t>
  </si>
  <si>
    <t>Commercial/Industrial</t>
  </si>
  <si>
    <t>Storm Hardened Control House With Flood monitoring</t>
  </si>
  <si>
    <t>Add 2nd Substation Transformer Bank. Design &amp; Civil work in 2020 and Construct in 2021</t>
  </si>
  <si>
    <t>Substation Flood Monitoring</t>
  </si>
  <si>
    <t>Transmission Line Terminal Station Flood Monitoring</t>
  </si>
  <si>
    <t>Shalimar Substation Storm Hardening</t>
  </si>
  <si>
    <t>Hurlburt Substation Storm Hardening</t>
  </si>
  <si>
    <t>Niceville Substation Storm Hardening</t>
  </si>
  <si>
    <t>Naval Air Station North Terminal Station Storm Hardening</t>
  </si>
  <si>
    <t>Naval Air Station South Terminal Station Storm Hardening</t>
  </si>
  <si>
    <t>Smith Construction Substation Storm Hardening</t>
  </si>
  <si>
    <t>Blountstown Substation Storm Hardening</t>
  </si>
  <si>
    <t>Romana Substation Storm Hardening</t>
  </si>
  <si>
    <t>March 2020</t>
  </si>
  <si>
    <t>$26.4MM</t>
  </si>
  <si>
    <t>Com/Industrial</t>
  </si>
  <si>
    <t>Criteria</t>
  </si>
  <si>
    <t>CIF</t>
  </si>
  <si>
    <t>*CIF = Critical Infrastructure Facility</t>
  </si>
  <si>
    <t>Substation Hardening</t>
  </si>
  <si>
    <t>Transmission/Substation Resiliency Projects</t>
  </si>
  <si>
    <t>(2021-2022)</t>
  </si>
  <si>
    <t>2020 Plan *</t>
  </si>
  <si>
    <t>* 2020 - Gulf Power will begin Evaluating and Engineering Undergrounding of Laterals and Plans to Begin Construction in 2021.</t>
  </si>
  <si>
    <t>Replace overhead conductor with underground conductors based on predetermined criteria</t>
  </si>
  <si>
    <r>
      <rPr>
        <b/>
        <sz val="12"/>
        <color theme="1"/>
        <rFont val="Calibri"/>
        <family val="2"/>
        <scheme val="minor"/>
      </rPr>
      <t>Distribution Automated Feeder Switch 'AFS' Capital</t>
    </r>
    <r>
      <rPr>
        <sz val="12"/>
        <color theme="1"/>
        <rFont val="Calibri"/>
        <family val="2"/>
        <scheme val="minor"/>
      </rPr>
      <t>; Feeder Recloser &amp; Switched Installations.
2020: Fort Walton: 31 Sites; Panama City: 16 Sites; Pensacola 35 Sites</t>
    </r>
  </si>
  <si>
    <r>
      <rPr>
        <b/>
        <sz val="12"/>
        <color theme="1"/>
        <rFont val="Calibri"/>
        <family val="2"/>
        <scheme val="minor"/>
      </rPr>
      <t>Distribution Automation Other Capital:</t>
    </r>
    <r>
      <rPr>
        <sz val="12"/>
        <color theme="1"/>
        <rFont val="Calibri"/>
        <family val="2"/>
        <scheme val="minor"/>
      </rPr>
      <t xml:space="preserve"> Communication &amp; Control Equipment for Fault Current Indicators and other field equipment capable of providing SCADA information and controls</t>
    </r>
  </si>
  <si>
    <t>2020 - 2022 Storm Protection Plan 3 Year Summary By Program</t>
  </si>
  <si>
    <t>20200070-EI</t>
  </si>
  <si>
    <t>GULF 000140 20200070-EI</t>
  </si>
  <si>
    <t>GULF 000141 20200070-EI</t>
  </si>
  <si>
    <t>GULF 000142 20200070-EI</t>
  </si>
  <si>
    <t>GULF 000143</t>
  </si>
  <si>
    <t>GULF 000144 20200070-EI</t>
  </si>
  <si>
    <t>GULF 000145 20200070-EI</t>
  </si>
  <si>
    <t>GULF 000146 20200070-EI</t>
  </si>
  <si>
    <t>GULF 000147 20200070-EI</t>
  </si>
  <si>
    <t>GULF 000148                  20200070-EI</t>
  </si>
  <si>
    <t>GULF 000149 20200070-EI</t>
  </si>
  <si>
    <t>GULF 000150</t>
  </si>
  <si>
    <t>GULF 000151                  20200070-EI</t>
  </si>
  <si>
    <t>GULF 000152                  20200070-EI</t>
  </si>
  <si>
    <t>GULF 000153                  20200070-EI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</si>
</sst>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##,000"/>
    <numFmt numFmtId="166" formatCode="[$-409]mmmm\ d\,\ yyyy;@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name val="Arial MT"/>
      <family val="2"/>
    </font>
    <font>
      <b/>
      <u val="single"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 val="doubleAccounting"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u val="single"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 val="single"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 val="single"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9"/>
      <color theme="1"/>
      <name val="Times New Roman"/>
      <family val="1"/>
    </font>
  </fonts>
  <fills count="15">
    <fill>
      <patternFill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7CFE8"/>
        <bgColor indexed="64"/>
      </patternFill>
    </fill>
    <fill>
      <patternFill patternType="solid">
        <fgColor rgb="FFE9EFF7"/>
        <bgColor indexed="64"/>
      </patternFill>
    </fill>
    <fill>
      <patternFill patternType="solid">
        <fgColor rgb="FFDBE5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rgb="FF92D050"/>
        <bgColor indexed="64"/>
      </patternFill>
    </fill>
  </fills>
  <borders count="75">
    <border>
      <left/>
      <right/>
      <top/>
      <bottom/>
      <diagonal/>
    </border>
    <border>
      <left style="thin">
        <color theme="3" tint="-0.24994"/>
      </left>
      <right style="thin">
        <color theme="3" tint="-0.24994"/>
      </right>
      <top style="thin">
        <color theme="3" tint="-0.24994"/>
      </top>
      <bottom style="thin">
        <color theme="3" tint="-0.24994"/>
      </bottom>
    </border>
    <border>
      <left style="thin">
        <color theme="3" tint="0.59996"/>
      </left>
      <right style="thin">
        <color theme="3" tint="0.59996"/>
      </right>
      <top style="thin">
        <color theme="3" tint="0.59996"/>
      </top>
      <bottom style="thin">
        <color theme="3" tint="0.59996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/>
      <right style="mediumDashDot">
        <color auto="1"/>
      </right>
      <top/>
      <bottom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mediumDashDot">
        <color auto="1"/>
      </top>
      <bottom/>
    </border>
    <border>
      <left/>
      <right style="mediumDashDot">
        <color auto="1"/>
      </right>
      <top style="mediumDashDot">
        <color auto="1"/>
      </top>
      <bottom/>
    </border>
    <border>
      <left/>
      <right/>
      <top style="mediumDashed">
        <color auto="1"/>
      </top>
      <bottom/>
    </border>
    <border>
      <left/>
      <right style="mediumDashed">
        <color auto="1"/>
      </right>
      <top style="mediumDashed">
        <color auto="1"/>
      </top>
      <bottom/>
    </border>
    <border>
      <left style="mediumDashed">
        <color auto="1"/>
      </left>
      <right/>
      <top/>
      <bottom/>
    </border>
    <border>
      <left/>
      <right style="mediumDashed">
        <color auto="1"/>
      </right>
      <top/>
      <bottom/>
    </border>
    <border>
      <left style="mediumDashDot">
        <color auto="1"/>
      </left>
      <right/>
      <top/>
      <bottom/>
    </border>
    <border>
      <left/>
      <right/>
      <top/>
      <bottom style="thin">
        <color auto="1"/>
      </bottom>
    </border>
    <border>
      <left/>
      <right style="mediumDashed">
        <color auto="1"/>
      </right>
      <top/>
      <bottom style="thin">
        <color auto="1"/>
      </bottom>
    </border>
    <border>
      <left style="mediumDashDot">
        <color auto="1"/>
      </left>
      <right/>
      <top style="mediumDashDot">
        <color auto="1"/>
      </top>
      <bottom/>
    </border>
    <border>
      <left style="mediumDashDot">
        <color auto="1"/>
      </left>
      <right/>
      <top/>
      <bottom style="mediumDashDot">
        <color auto="1"/>
      </bottom>
    </border>
    <border>
      <left/>
      <right/>
      <top/>
      <bottom style="mediumDashDot">
        <color auto="1"/>
      </bottom>
    </border>
    <border>
      <left/>
      <right style="mediumDashDot">
        <color auto="1"/>
      </right>
      <top/>
      <bottom style="mediumDashDot">
        <color auto="1"/>
      </bottom>
    </border>
    <border>
      <left style="mediumDashed">
        <color auto="1"/>
      </left>
      <right/>
      <top style="mediumDashed">
        <color auto="1"/>
      </top>
      <bottom/>
    </border>
    <border>
      <left style="mediumDashed">
        <color auto="1"/>
      </left>
      <right/>
      <top/>
      <bottom style="mediumDashed">
        <color auto="1"/>
      </bottom>
    </border>
    <border>
      <left/>
      <right/>
      <top/>
      <bottom style="mediumDashed">
        <color auto="1"/>
      </bottom>
    </border>
    <border>
      <left/>
      <right style="mediumDashed">
        <color auto="1"/>
      </right>
      <top/>
      <bottom style="mediumDashed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/>
      <top style="thin">
        <color auto="1"/>
      </top>
      <bottom/>
    </border>
    <border>
      <left/>
      <right style="mediumDashDot">
        <color auto="1"/>
      </right>
      <top style="thin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/>
      <right style="mediumDashDot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/>
    </border>
  </borders>
  <cellStyleXfs count="3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Protection="0">
      <alignment/>
    </xf>
    <xf numFmtId="0" fontId="4" fillId="3" borderId="1" applyNumberFormat="0" applyProtection="0">
      <alignment/>
    </xf>
    <xf numFmtId="0" fontId="5" fillId="4" borderId="1" applyNumberFormat="0" applyProtection="0">
      <alignment/>
    </xf>
    <xf numFmtId="0" fontId="4" fillId="0" borderId="2" applyNumberFormat="0" applyProtection="0">
      <alignment horizontal="right" vertical="center"/>
    </xf>
    <xf numFmtId="0" fontId="3" fillId="2" borderId="3" applyNumberFormat="0" applyProtection="0">
      <alignment/>
    </xf>
    <xf numFmtId="0" fontId="3" fillId="0" borderId="3" applyNumberFormat="0" applyProtection="0">
      <alignment horizontal="right" vertical="center"/>
    </xf>
    <xf numFmtId="0" fontId="5" fillId="5" borderId="1" applyNumberFormat="0" applyProtection="0">
      <alignment/>
    </xf>
    <xf numFmtId="0" fontId="5" fillId="6" borderId="1" applyNumberFormat="0" applyProtection="0">
      <alignment/>
    </xf>
    <xf numFmtId="0" fontId="14" fillId="0" borderId="0">
      <alignment/>
      <protection/>
    </xf>
    <xf numFmtId="0" fontId="0" fillId="0" borderId="0">
      <alignment/>
      <protection/>
    </xf>
  </cellStyleXfs>
  <cellXfs count="446">
    <xf numFmtId="0" fontId="0" fillId="0" borderId="0" xfId="0"/>
    <xf numFmtId="0" fontId="0" fillId="7" borderId="0" xfId="0" applyFill="1"/>
    <xf numFmtId="0" fontId="0" fillId="7" borderId="0" xfId="0" applyFill="1" applyAlignment="1">
      <alignment horizontal="right"/>
    </xf>
    <xf numFmtId="0" fontId="0" fillId="7" borderId="0" xfId="0" applyFill="1" applyAlignment="1">
      <alignment/>
    </xf>
    <xf numFmtId="0" fontId="0" fillId="7" borderId="0" xfId="0" applyFill="1" applyBorder="1"/>
    <xf numFmtId="0" fontId="0" fillId="7" borderId="0" xfId="0" applyFill="1" applyBorder="1" applyAlignment="1">
      <alignment/>
    </xf>
    <xf numFmtId="6" fontId="0" fillId="7" borderId="0" xfId="0" applyNumberFormat="1" applyFill="1" applyBorder="1"/>
    <xf numFmtId="0" fontId="0" fillId="7" borderId="0" xfId="0" applyFont="1" applyFill="1" applyAlignment="1">
      <alignment horizontal="center"/>
    </xf>
    <xf numFmtId="0" fontId="0" fillId="7" borderId="0" xfId="0" applyFill="1" applyBorder="1" applyAlignment="1">
      <alignment horizontal="center"/>
    </xf>
    <xf numFmtId="8" fontId="0" fillId="7" borderId="0" xfId="0" applyNumberFormat="1" applyFill="1" applyBorder="1" applyAlignment="1">
      <alignment vertical="center"/>
    </xf>
    <xf numFmtId="0" fontId="2" fillId="7" borderId="0" xfId="0" applyFont="1" applyFill="1"/>
    <xf numFmtId="0" fontId="8" fillId="0" borderId="0" xfId="0" applyFont="1" applyAlignment="1">
      <alignment horizontal="centerContinuous"/>
    </xf>
    <xf numFmtId="6" fontId="10" fillId="7" borderId="0" xfId="0" applyNumberFormat="1" applyFont="1" applyFill="1" applyBorder="1" applyAlignment="1">
      <alignment horizontal="centerContinuous"/>
    </xf>
    <xf numFmtId="0" fontId="11" fillId="8" borderId="4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 wrapText="1"/>
    </xf>
    <xf numFmtId="8" fontId="0" fillId="7" borderId="5" xfId="0" applyNumberFormat="1" applyFill="1" applyBorder="1" applyAlignment="1">
      <alignment vertical="center"/>
    </xf>
    <xf numFmtId="0" fontId="0" fillId="7" borderId="0" xfId="0" applyFill="1" applyAlignment="1">
      <alignment horizontal="centerContinuous"/>
    </xf>
    <xf numFmtId="6" fontId="0" fillId="7" borderId="0" xfId="0" applyNumberFormat="1" applyFill="1"/>
    <xf numFmtId="0" fontId="2" fillId="7" borderId="0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left"/>
    </xf>
    <xf numFmtId="0" fontId="8" fillId="7" borderId="0" xfId="0" applyFont="1" applyFill="1" applyBorder="1" applyAlignment="1">
      <alignment horizontal="right" vertical="center"/>
    </xf>
    <xf numFmtId="6" fontId="10" fillId="0" borderId="6" xfId="0" applyNumberFormat="1" applyFont="1" applyFill="1" applyBorder="1" applyAlignment="1">
      <alignment vertical="center"/>
    </xf>
    <xf numFmtId="6" fontId="10" fillId="0" borderId="7" xfId="0" applyNumberFormat="1" applyFont="1" applyFill="1" applyBorder="1" applyAlignment="1">
      <alignment vertical="center"/>
    </xf>
    <xf numFmtId="6" fontId="10" fillId="0" borderId="8" xfId="0" applyNumberFormat="1" applyFont="1" applyFill="1" applyBorder="1" applyAlignment="1">
      <alignment vertical="center"/>
    </xf>
    <xf numFmtId="6" fontId="10" fillId="0" borderId="9" xfId="0" applyNumberFormat="1" applyFont="1" applyFill="1" applyBorder="1" applyAlignment="1">
      <alignment vertical="center"/>
    </xf>
    <xf numFmtId="6" fontId="10" fillId="0" borderId="10" xfId="0" applyNumberFormat="1" applyFont="1" applyFill="1" applyBorder="1" applyAlignment="1">
      <alignment vertical="center"/>
    </xf>
    <xf numFmtId="6" fontId="10" fillId="0" borderId="11" xfId="0" applyNumberFormat="1" applyFont="1" applyFill="1" applyBorder="1" applyAlignment="1">
      <alignment vertical="center"/>
    </xf>
    <xf numFmtId="6" fontId="10" fillId="0" borderId="12" xfId="0" applyNumberFormat="1" applyFont="1" applyFill="1" applyBorder="1" applyAlignment="1">
      <alignment vertical="center"/>
    </xf>
    <xf numFmtId="6" fontId="10" fillId="0" borderId="13" xfId="0" applyNumberFormat="1" applyFont="1" applyFill="1" applyBorder="1" applyAlignment="1">
      <alignment vertical="center"/>
    </xf>
    <xf numFmtId="6" fontId="10" fillId="0" borderId="14" xfId="0" applyNumberFormat="1" applyFont="1" applyFill="1" applyBorder="1" applyAlignment="1">
      <alignment vertical="center"/>
    </xf>
    <xf numFmtId="0" fontId="9" fillId="7" borderId="0" xfId="0" applyFont="1" applyFill="1" applyBorder="1" applyAlignment="1">
      <alignment vertical="center"/>
    </xf>
    <xf numFmtId="8" fontId="0" fillId="7" borderId="15" xfId="0" applyNumberFormat="1" applyFill="1" applyBorder="1" applyAlignment="1">
      <alignment vertical="center"/>
    </xf>
    <xf numFmtId="8" fontId="0" fillId="7" borderId="16" xfId="0" applyNumberFormat="1" applyFill="1" applyBorder="1" applyAlignment="1">
      <alignment vertical="center"/>
    </xf>
    <xf numFmtId="0" fontId="2" fillId="7" borderId="0" xfId="0" applyFont="1" applyFill="1" applyAlignment="1">
      <alignment horizontal="right" vertical="center"/>
    </xf>
    <xf numFmtId="6" fontId="0" fillId="7" borderId="0" xfId="0" applyNumberFormat="1" applyFill="1" applyBorder="1" applyAlignment="1">
      <alignment vertical="center"/>
    </xf>
    <xf numFmtId="6" fontId="0" fillId="7" borderId="17" xfId="0" applyNumberFormat="1" applyFill="1" applyBorder="1" applyAlignment="1">
      <alignment vertical="center"/>
    </xf>
    <xf numFmtId="6" fontId="0" fillId="7" borderId="18" xfId="0" applyNumberFormat="1" applyFill="1" applyBorder="1" applyAlignment="1">
      <alignment vertical="center"/>
    </xf>
    <xf numFmtId="0" fontId="2" fillId="7" borderId="19" xfId="0" applyFont="1" applyFill="1" applyBorder="1" applyAlignment="1">
      <alignment horizontal="right" vertical="center"/>
    </xf>
    <xf numFmtId="6" fontId="0" fillId="7" borderId="20" xfId="0" applyNumberFormat="1" applyFill="1" applyBorder="1" applyAlignment="1">
      <alignment vertical="center"/>
    </xf>
    <xf numFmtId="0" fontId="6" fillId="7" borderId="0" xfId="0" applyFont="1" applyFill="1" applyBorder="1" applyAlignment="1">
      <alignment horizontal="left" vertical="center"/>
    </xf>
    <xf numFmtId="6" fontId="10" fillId="7" borderId="0" xfId="0" applyNumberFormat="1" applyFont="1" applyFill="1" applyBorder="1" applyAlignment="1">
      <alignment horizontal="centerContinuous" vertical="center"/>
    </xf>
    <xf numFmtId="8" fontId="8" fillId="7" borderId="21" xfId="0" applyNumberFormat="1" applyFont="1" applyFill="1" applyBorder="1" applyAlignment="1">
      <alignment horizontal="right" vertical="center"/>
    </xf>
    <xf numFmtId="8" fontId="10" fillId="7" borderId="0" xfId="0" applyNumberFormat="1" applyFont="1" applyFill="1" applyBorder="1" applyAlignment="1">
      <alignment vertical="center"/>
    </xf>
    <xf numFmtId="8" fontId="10" fillId="7" borderId="5" xfId="0" applyNumberFormat="1" applyFont="1" applyFill="1" applyBorder="1" applyAlignment="1">
      <alignment vertical="center"/>
    </xf>
    <xf numFmtId="0" fontId="8" fillId="7" borderId="19" xfId="0" applyFont="1" applyFill="1" applyBorder="1" applyAlignment="1">
      <alignment horizontal="right" vertical="center"/>
    </xf>
    <xf numFmtId="8" fontId="10" fillId="7" borderId="22" xfId="0" applyNumberFormat="1" applyFont="1" applyFill="1" applyBorder="1" applyAlignment="1">
      <alignment vertical="center"/>
    </xf>
    <xf numFmtId="8" fontId="10" fillId="7" borderId="23" xfId="0" applyNumberFormat="1" applyFont="1" applyFill="1" applyBorder="1" applyAlignment="1">
      <alignment vertical="center"/>
    </xf>
    <xf numFmtId="0" fontId="8" fillId="0" borderId="21" xfId="0" applyFont="1" applyBorder="1" applyAlignment="1">
      <alignment horizontal="right" vertical="center"/>
    </xf>
    <xf numFmtId="8" fontId="17" fillId="7" borderId="0" xfId="0" applyNumberFormat="1" applyFont="1" applyFill="1" applyBorder="1" applyAlignment="1">
      <alignment vertical="center"/>
    </xf>
    <xf numFmtId="0" fontId="15" fillId="7" borderId="24" xfId="0" applyFont="1" applyFill="1" applyBorder="1" applyAlignment="1">
      <alignment horizontal="left" vertical="center"/>
    </xf>
    <xf numFmtId="0" fontId="15" fillId="7" borderId="21" xfId="0" applyFont="1" applyFill="1" applyBorder="1" applyAlignment="1">
      <alignment horizontal="left" vertical="center"/>
    </xf>
    <xf numFmtId="0" fontId="8" fillId="7" borderId="25" xfId="0" applyFont="1" applyFill="1" applyBorder="1" applyAlignment="1">
      <alignment horizontal="right" vertical="center"/>
    </xf>
    <xf numFmtId="8" fontId="17" fillId="7" borderId="26" xfId="0" applyNumberFormat="1" applyFont="1" applyFill="1" applyBorder="1" applyAlignment="1">
      <alignment vertical="center"/>
    </xf>
    <xf numFmtId="8" fontId="17" fillId="7" borderId="27" xfId="0" applyNumberFormat="1" applyFont="1" applyFill="1" applyBorder="1" applyAlignment="1">
      <alignment vertical="center"/>
    </xf>
    <xf numFmtId="0" fontId="15" fillId="7" borderId="28" xfId="0" applyFont="1" applyFill="1" applyBorder="1" applyAlignment="1">
      <alignment horizontal="left" vertical="center"/>
    </xf>
    <xf numFmtId="0" fontId="15" fillId="7" borderId="19" xfId="0" applyFont="1" applyFill="1" applyBorder="1" applyAlignment="1">
      <alignment horizontal="left" vertical="center"/>
    </xf>
    <xf numFmtId="8" fontId="8" fillId="7" borderId="19" xfId="0" applyNumberFormat="1" applyFont="1" applyFill="1" applyBorder="1" applyAlignment="1">
      <alignment horizontal="right" vertical="center"/>
    </xf>
    <xf numFmtId="8" fontId="10" fillId="7" borderId="20" xfId="0" applyNumberFormat="1" applyFont="1" applyFill="1" applyBorder="1" applyAlignment="1">
      <alignment vertical="center"/>
    </xf>
    <xf numFmtId="0" fontId="8" fillId="0" borderId="19" xfId="0" applyFont="1" applyBorder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8" fontId="17" fillId="7" borderId="30" xfId="0" applyNumberFormat="1" applyFont="1" applyFill="1" applyBorder="1" applyAlignment="1">
      <alignment vertical="center"/>
    </xf>
    <xf numFmtId="8" fontId="17" fillId="7" borderId="31" xfId="0" applyNumberFormat="1" applyFont="1" applyFill="1" applyBorder="1" applyAlignment="1">
      <alignment vertical="center"/>
    </xf>
    <xf numFmtId="8" fontId="8" fillId="7" borderId="28" xfId="0" applyNumberFormat="1" applyFont="1" applyFill="1" applyBorder="1" applyAlignment="1">
      <alignment horizontal="right" vertical="center"/>
    </xf>
    <xf numFmtId="8" fontId="10" fillId="7" borderId="17" xfId="0" applyNumberFormat="1" applyFont="1" applyFill="1" applyBorder="1" applyAlignment="1">
      <alignment vertical="center"/>
    </xf>
    <xf numFmtId="8" fontId="10" fillId="7" borderId="18" xfId="0" applyNumberFormat="1" applyFont="1" applyFill="1" applyBorder="1" applyAlignment="1">
      <alignment vertical="center"/>
    </xf>
    <xf numFmtId="0" fontId="8" fillId="7" borderId="0" xfId="0" applyFont="1" applyFill="1" applyAlignment="1">
      <alignment vertical="center"/>
    </xf>
    <xf numFmtId="0" fontId="2" fillId="7" borderId="32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0" fontId="2" fillId="7" borderId="34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left" vertical="center"/>
    </xf>
    <xf numFmtId="0" fontId="19" fillId="7" borderId="0" xfId="0" applyFont="1" applyFill="1" applyBorder="1" applyAlignment="1">
      <alignment horizontal="left" vertical="center"/>
    </xf>
    <xf numFmtId="8" fontId="17" fillId="7" borderId="20" xfId="0" applyNumberFormat="1" applyFont="1" applyFill="1" applyBorder="1" applyAlignment="1">
      <alignment vertical="center"/>
    </xf>
    <xf numFmtId="8" fontId="10" fillId="0" borderId="0" xfId="0" applyNumberFormat="1" applyFont="1" applyFill="1" applyBorder="1" applyAlignment="1">
      <alignment vertical="center"/>
    </xf>
    <xf numFmtId="8" fontId="17" fillId="7" borderId="35" xfId="0" applyNumberFormat="1" applyFont="1" applyFill="1" applyBorder="1" applyAlignment="1">
      <alignment vertical="center"/>
    </xf>
    <xf numFmtId="8" fontId="17" fillId="7" borderId="36" xfId="0" applyNumberFormat="1" applyFont="1" applyFill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0" fontId="19" fillId="7" borderId="37" xfId="0" applyFont="1" applyFill="1" applyBorder="1" applyAlignment="1">
      <alignment horizontal="left"/>
    </xf>
    <xf numFmtId="0" fontId="19" fillId="7" borderId="32" xfId="0" applyFont="1" applyFill="1" applyBorder="1" applyAlignment="1">
      <alignment horizontal="left"/>
    </xf>
    <xf numFmtId="6" fontId="0" fillId="7" borderId="0" xfId="0" applyNumberFormat="1" applyFill="1" applyAlignment="1">
      <alignment horizontal="centerContinuous"/>
    </xf>
    <xf numFmtId="0" fontId="20" fillId="7" borderId="0" xfId="0" applyFont="1" applyFill="1" applyBorder="1" applyAlignment="1">
      <alignment horizontal="centerContinuous"/>
    </xf>
    <xf numFmtId="0" fontId="21" fillId="7" borderId="0" xfId="0" applyFont="1" applyFill="1" applyAlignment="1">
      <alignment horizontal="centerContinuous"/>
    </xf>
    <xf numFmtId="0" fontId="0" fillId="7" borderId="0" xfId="0" applyFont="1" applyFill="1"/>
    <xf numFmtId="6" fontId="0" fillId="7" borderId="8" xfId="0" applyNumberFormat="1" applyFill="1" applyBorder="1" applyAlignment="1">
      <alignment horizontal="right" vertical="center"/>
    </xf>
    <xf numFmtId="0" fontId="0" fillId="7" borderId="38" xfId="0" applyFont="1" applyFill="1" applyBorder="1"/>
    <xf numFmtId="0" fontId="0" fillId="7" borderId="0" xfId="0" applyFont="1" applyFill="1" applyBorder="1"/>
    <xf numFmtId="0" fontId="13" fillId="7" borderId="0" xfId="0" applyFont="1" applyFill="1" applyAlignment="1">
      <alignment horizontal="centerContinuous"/>
    </xf>
    <xf numFmtId="0" fontId="22" fillId="7" borderId="0" xfId="0" applyFont="1" applyFill="1"/>
    <xf numFmtId="0" fontId="22" fillId="7" borderId="4" xfId="0" applyFont="1" applyFill="1" applyBorder="1"/>
    <xf numFmtId="0" fontId="22" fillId="7" borderId="39" xfId="0" applyFont="1" applyFill="1" applyBorder="1"/>
    <xf numFmtId="0" fontId="0" fillId="7" borderId="0" xfId="0" applyFont="1" applyFill="1" applyAlignment="1">
      <alignment horizontal="centerContinuous"/>
    </xf>
    <xf numFmtId="0" fontId="0" fillId="7" borderId="0" xfId="0" applyFont="1" applyFill="1" applyAlignment="1">
      <alignment horizontal="center" vertical="center"/>
    </xf>
    <xf numFmtId="0" fontId="2" fillId="7" borderId="40" xfId="0" applyFont="1" applyFill="1" applyBorder="1" applyAlignment="1">
      <alignment horizontal="centerContinuous"/>
    </xf>
    <xf numFmtId="0" fontId="2" fillId="7" borderId="41" xfId="0" applyFont="1" applyFill="1" applyBorder="1" applyAlignment="1">
      <alignment horizontal="centerContinuous"/>
    </xf>
    <xf numFmtId="0" fontId="0" fillId="7" borderId="0" xfId="0" applyFill="1" applyAlignment="1">
      <alignment horizontal="center"/>
    </xf>
    <xf numFmtId="166" fontId="0" fillId="7" borderId="0" xfId="0" applyNumberFormat="1" applyFill="1" applyAlignment="1">
      <alignment horizontal="center"/>
    </xf>
    <xf numFmtId="164" fontId="0" fillId="7" borderId="0" xfId="0" applyNumberFormat="1" applyFill="1" applyAlignment="1">
      <alignment horizontal="center"/>
    </xf>
    <xf numFmtId="164" fontId="0" fillId="7" borderId="0" xfId="0" applyNumberFormat="1" applyFill="1"/>
    <xf numFmtId="164" fontId="2" fillId="7" borderId="0" xfId="0" applyNumberFormat="1" applyFont="1" applyFill="1"/>
    <xf numFmtId="0" fontId="2" fillId="7" borderId="42" xfId="0" applyFont="1" applyFill="1" applyBorder="1"/>
    <xf numFmtId="6" fontId="0" fillId="7" borderId="14" xfId="0" applyNumberFormat="1" applyFill="1" applyBorder="1" applyAlignment="1">
      <alignment horizontal="right" vertical="center"/>
    </xf>
    <xf numFmtId="6" fontId="0" fillId="7" borderId="11" xfId="0" applyNumberFormat="1" applyFill="1" applyBorder="1" applyAlignment="1">
      <alignment horizontal="right" vertical="center"/>
    </xf>
    <xf numFmtId="0" fontId="0" fillId="7" borderId="0" xfId="0" applyFill="1" applyAlignment="1">
      <alignment horizontal="center" vertical="center"/>
    </xf>
    <xf numFmtId="0" fontId="0" fillId="7" borderId="42" xfId="0" applyFont="1" applyFill="1" applyBorder="1"/>
    <xf numFmtId="0" fontId="22" fillId="7" borderId="43" xfId="0" applyFont="1" applyFill="1" applyBorder="1" applyAlignment="1">
      <alignment horizontal="left" vertical="center"/>
    </xf>
    <xf numFmtId="0" fontId="0" fillId="7" borderId="14" xfId="0" applyFont="1" applyFill="1" applyBorder="1" applyAlignment="1">
      <alignment horizontal="right" vertical="center"/>
    </xf>
    <xf numFmtId="0" fontId="0" fillId="7" borderId="13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17" fontId="0" fillId="7" borderId="8" xfId="0" applyNumberFormat="1" applyFill="1" applyBorder="1" applyAlignment="1" quotePrefix="1">
      <alignment horizontal="center" vertical="center"/>
    </xf>
    <xf numFmtId="0" fontId="0" fillId="7" borderId="0" xfId="0" applyFill="1" applyAlignment="1">
      <alignment horizontal="left" vertical="center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right" vertical="center"/>
    </xf>
    <xf numFmtId="6" fontId="0" fillId="7" borderId="0" xfId="0" applyNumberFormat="1" applyFill="1" applyAlignment="1">
      <alignment horizontal="right" vertical="center"/>
    </xf>
    <xf numFmtId="0" fontId="2" fillId="7" borderId="37" xfId="0" applyFont="1" applyFill="1" applyBorder="1" applyAlignment="1">
      <alignment horizontal="center"/>
    </xf>
    <xf numFmtId="0" fontId="2" fillId="7" borderId="41" xfId="0" applyFont="1" applyFill="1" applyBorder="1" applyAlignment="1">
      <alignment horizontal="center"/>
    </xf>
    <xf numFmtId="0" fontId="0" fillId="7" borderId="10" xfId="0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8" fillId="7" borderId="21" xfId="0" applyFont="1" applyFill="1" applyBorder="1" applyAlignment="1">
      <alignment horizontal="right" vertical="center"/>
    </xf>
    <xf numFmtId="8" fontId="10" fillId="7" borderId="45" xfId="0" applyNumberFormat="1" applyFont="1" applyFill="1" applyBorder="1" applyAlignment="1">
      <alignment vertical="center"/>
    </xf>
    <xf numFmtId="0" fontId="21" fillId="7" borderId="0" xfId="0" applyFont="1" applyFill="1" applyAlignment="1">
      <alignment horizontal="centerContinuous" vertical="top"/>
    </xf>
    <xf numFmtId="0" fontId="0" fillId="7" borderId="0" xfId="0" applyFont="1" applyFill="1" applyAlignment="1">
      <alignment horizontal="centerContinuous" vertical="top"/>
    </xf>
    <xf numFmtId="0" fontId="15" fillId="7" borderId="0" xfId="0" applyFont="1" applyFill="1" applyBorder="1" applyAlignment="1">
      <alignment horizontal="right" vertical="center"/>
    </xf>
    <xf numFmtId="0" fontId="8" fillId="7" borderId="0" xfId="0" applyFont="1" applyFill="1" applyBorder="1" applyAlignment="1" quotePrefix="1">
      <alignment horizontal="right"/>
    </xf>
    <xf numFmtId="0" fontId="8" fillId="7" borderId="32" xfId="0" applyFont="1" applyFill="1" applyBorder="1" applyAlignment="1">
      <alignment horizontal="center"/>
    </xf>
    <xf numFmtId="0" fontId="8" fillId="7" borderId="33" xfId="0" applyFont="1" applyFill="1" applyBorder="1" applyAlignment="1">
      <alignment horizontal="center"/>
    </xf>
    <xf numFmtId="0" fontId="8" fillId="7" borderId="34" xfId="0" applyFont="1" applyFill="1" applyBorder="1" applyAlignment="1">
      <alignment horizontal="center"/>
    </xf>
    <xf numFmtId="6" fontId="10" fillId="7" borderId="10" xfId="0" applyNumberFormat="1" applyFont="1" applyFill="1" applyBorder="1" applyAlignment="1" applyProtection="1">
      <alignment horizontal="centerContinuous" vertical="center"/>
      <protection locked="0"/>
    </xf>
    <xf numFmtId="0" fontId="10" fillId="7" borderId="10" xfId="0" applyFont="1" applyFill="1" applyBorder="1" applyAlignment="1">
      <alignment horizontal="centerContinuous" vertical="center"/>
    </xf>
    <xf numFmtId="0" fontId="10" fillId="7" borderId="11" xfId="0" applyFont="1" applyFill="1" applyBorder="1" applyAlignment="1">
      <alignment horizontal="centerContinuous" vertical="center"/>
    </xf>
    <xf numFmtId="0" fontId="10" fillId="7" borderId="46" xfId="0" applyFont="1" applyFill="1" applyBorder="1" applyAlignment="1">
      <alignment horizontal="right" vertical="center"/>
    </xf>
    <xf numFmtId="6" fontId="10" fillId="7" borderId="47" xfId="0" applyNumberFormat="1" applyFont="1" applyFill="1" applyBorder="1" applyAlignment="1">
      <alignment vertical="center"/>
    </xf>
    <xf numFmtId="6" fontId="10" fillId="7" borderId="48" xfId="0" applyNumberFormat="1" applyFont="1" applyFill="1" applyBorder="1" applyAlignment="1">
      <alignment vertical="center"/>
    </xf>
    <xf numFmtId="0" fontId="10" fillId="7" borderId="0" xfId="0" applyFont="1" applyFill="1"/>
    <xf numFmtId="0" fontId="0" fillId="7" borderId="14" xfId="0" applyFill="1" applyBorder="1" applyAlignment="1">
      <alignment horizontal="right" vertical="center" wrapText="1"/>
    </xf>
    <xf numFmtId="0" fontId="0" fillId="7" borderId="14" xfId="0" applyFill="1" applyBorder="1" applyAlignment="1">
      <alignment horizontal="right" vertical="center"/>
    </xf>
    <xf numFmtId="0" fontId="8" fillId="7" borderId="44" xfId="0" applyFont="1" applyFill="1" applyBorder="1" applyAlignment="1">
      <alignment horizontal="centerContinuous" wrapText="1"/>
    </xf>
    <xf numFmtId="0" fontId="8" fillId="7" borderId="49" xfId="0" applyFont="1" applyFill="1" applyBorder="1" applyAlignment="1">
      <alignment horizontal="centerContinuous" wrapText="1"/>
    </xf>
    <xf numFmtId="6" fontId="10" fillId="7" borderId="6" xfId="0" applyNumberFormat="1" applyFont="1" applyFill="1" applyBorder="1" applyAlignment="1" applyProtection="1">
      <alignment horizontal="centerContinuous" vertical="center"/>
      <protection locked="0"/>
    </xf>
    <xf numFmtId="0" fontId="10" fillId="7" borderId="6" xfId="0" applyFont="1" applyFill="1" applyBorder="1" applyAlignment="1">
      <alignment horizontal="centerContinuous" vertical="center"/>
    </xf>
    <xf numFmtId="0" fontId="10" fillId="7" borderId="7" xfId="0" applyFont="1" applyFill="1" applyBorder="1" applyAlignment="1">
      <alignment horizontal="centerContinuous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38" fontId="10" fillId="7" borderId="8" xfId="0" applyNumberFormat="1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38" fontId="10" fillId="7" borderId="10" xfId="0" applyNumberFormat="1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Continuous"/>
    </xf>
    <xf numFmtId="0" fontId="10" fillId="7" borderId="6" xfId="0" applyFont="1" applyFill="1" applyBorder="1" applyAlignment="1">
      <alignment horizontal="centerContinuous"/>
    </xf>
    <xf numFmtId="0" fontId="8" fillId="7" borderId="6" xfId="0" applyFont="1" applyFill="1" applyBorder="1" applyAlignment="1">
      <alignment horizontal="center" wrapText="1"/>
    </xf>
    <xf numFmtId="0" fontId="0" fillId="7" borderId="0" xfId="0" applyFont="1" applyFill="1" applyBorder="1" applyAlignment="1">
      <alignment horizontal="center" vertical="center"/>
    </xf>
    <xf numFmtId="0" fontId="8" fillId="7" borderId="41" xfId="0" applyFont="1" applyFill="1" applyBorder="1" applyAlignment="1">
      <alignment horizontal="centerContinuous"/>
    </xf>
    <xf numFmtId="0" fontId="8" fillId="7" borderId="50" xfId="0" applyFont="1" applyFill="1" applyBorder="1" applyAlignment="1">
      <alignment horizontal="center"/>
    </xf>
    <xf numFmtId="0" fontId="8" fillId="7" borderId="51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 vertical="center" wrapText="1"/>
    </xf>
    <xf numFmtId="0" fontId="8" fillId="7" borderId="52" xfId="0" applyFont="1" applyFill="1" applyBorder="1" applyAlignment="1">
      <alignment horizontal="centerContinuous"/>
    </xf>
    <xf numFmtId="0" fontId="8" fillId="7" borderId="6" xfId="0" applyFont="1" applyFill="1" applyBorder="1" applyAlignment="1">
      <alignment horizontal="center"/>
    </xf>
    <xf numFmtId="0" fontId="8" fillId="7" borderId="53" xfId="0" applyFont="1" applyFill="1" applyBorder="1" applyAlignment="1">
      <alignment horizontal="centerContinuous"/>
    </xf>
    <xf numFmtId="164" fontId="10" fillId="7" borderId="10" xfId="0" applyNumberFormat="1" applyFont="1" applyFill="1" applyBorder="1" applyAlignment="1">
      <alignment horizontal="centerContinuous" vertical="center"/>
    </xf>
    <xf numFmtId="0" fontId="10" fillId="7" borderId="54" xfId="0" applyFont="1" applyFill="1" applyBorder="1" applyAlignment="1">
      <alignment horizontal="centerContinuous"/>
    </xf>
    <xf numFmtId="0" fontId="10" fillId="7" borderId="55" xfId="0" applyFont="1" applyFill="1" applyBorder="1" applyAlignment="1">
      <alignment horizontal="centerContinuous"/>
    </xf>
    <xf numFmtId="164" fontId="10" fillId="7" borderId="0" xfId="0" applyNumberFormat="1" applyFont="1" applyFill="1" applyAlignment="1">
      <alignment horizontal="center"/>
    </xf>
    <xf numFmtId="0" fontId="2" fillId="7" borderId="56" xfId="0" applyFont="1" applyFill="1" applyBorder="1" applyAlignment="1">
      <alignment horizontal="center"/>
    </xf>
    <xf numFmtId="0" fontId="2" fillId="7" borderId="57" xfId="0" applyFont="1" applyFill="1" applyBorder="1" applyAlignment="1">
      <alignment horizontal="center"/>
    </xf>
    <xf numFmtId="0" fontId="2" fillId="7" borderId="57" xfId="0" applyFont="1" applyFill="1" applyBorder="1" applyAlignment="1">
      <alignment horizontal="centerContinuous"/>
    </xf>
    <xf numFmtId="0" fontId="2" fillId="7" borderId="58" xfId="0" applyFont="1" applyFill="1" applyBorder="1" applyAlignment="1">
      <alignment horizontal="center"/>
    </xf>
    <xf numFmtId="0" fontId="2" fillId="7" borderId="59" xfId="0" applyFont="1" applyFill="1" applyBorder="1" applyAlignment="1">
      <alignment horizontal="center"/>
    </xf>
    <xf numFmtId="0" fontId="0" fillId="7" borderId="60" xfId="0" applyFill="1" applyBorder="1" applyAlignment="1">
      <alignment horizontal="centerContinuous"/>
    </xf>
    <xf numFmtId="0" fontId="2" fillId="7" borderId="39" xfId="0" applyFont="1" applyFill="1" applyBorder="1" applyAlignment="1">
      <alignment horizontal="center"/>
    </xf>
    <xf numFmtId="0" fontId="0" fillId="7" borderId="6" xfId="0" applyFill="1" applyBorder="1" applyAlignment="1">
      <alignment horizontal="center" vertical="center"/>
    </xf>
    <xf numFmtId="6" fontId="0" fillId="7" borderId="6" xfId="0" applyNumberFormat="1" applyFill="1" applyBorder="1" applyAlignment="1">
      <alignment horizontal="right" vertical="center"/>
    </xf>
    <xf numFmtId="0" fontId="0" fillId="7" borderId="12" xfId="0" applyFont="1" applyFill="1" applyBorder="1" applyAlignment="1" applyProtection="1">
      <alignment horizontal="center" vertical="center"/>
      <protection locked="0"/>
    </xf>
    <xf numFmtId="0" fontId="0" fillId="7" borderId="13" xfId="0" applyFont="1" applyFill="1" applyBorder="1" applyAlignment="1" applyProtection="1">
      <alignment horizontal="center" vertical="center"/>
      <protection locked="0"/>
    </xf>
    <xf numFmtId="0" fontId="0" fillId="7" borderId="14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Alignment="1">
      <alignment horizontal="center" vertical="center"/>
    </xf>
    <xf numFmtId="0" fontId="2" fillId="7" borderId="37" xfId="0" applyFont="1" applyFill="1" applyBorder="1" applyAlignment="1">
      <alignment horizontal="centerContinuous"/>
    </xf>
    <xf numFmtId="0" fontId="2" fillId="7" borderId="32" xfId="0" applyFont="1" applyFill="1" applyBorder="1" applyAlignment="1">
      <alignment horizontal="centerContinuous"/>
    </xf>
    <xf numFmtId="0" fontId="0" fillId="7" borderId="41" xfId="0" applyFill="1" applyBorder="1" applyAlignment="1">
      <alignment horizontal="centerContinuous"/>
    </xf>
    <xf numFmtId="0" fontId="0" fillId="7" borderId="33" xfId="0" applyFill="1" applyBorder="1" applyAlignment="1">
      <alignment horizontal="centerContinuous"/>
    </xf>
    <xf numFmtId="0" fontId="2" fillId="7" borderId="37" xfId="0" applyFont="1" applyFill="1" applyBorder="1" applyAlignment="1" quotePrefix="1">
      <alignment horizontal="centerContinuous"/>
    </xf>
    <xf numFmtId="0" fontId="21" fillId="7" borderId="0" xfId="0" applyFont="1" applyFill="1" applyAlignment="1">
      <alignment horizontal="centerContinuous" vertical="center"/>
    </xf>
    <xf numFmtId="0" fontId="2" fillId="7" borderId="4" xfId="0" applyFont="1" applyFill="1" applyBorder="1"/>
    <xf numFmtId="0" fontId="0" fillId="7" borderId="46" xfId="0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Continuous"/>
    </xf>
    <xf numFmtId="0" fontId="23" fillId="7" borderId="0" xfId="0" applyFont="1" applyFill="1" applyAlignment="1">
      <alignment vertical="center"/>
    </xf>
    <xf numFmtId="0" fontId="8" fillId="7" borderId="22" xfId="0" applyFont="1" applyFill="1" applyBorder="1" applyAlignment="1">
      <alignment horizontal="center"/>
    </xf>
    <xf numFmtId="0" fontId="8" fillId="7" borderId="61" xfId="0" applyFont="1" applyFill="1" applyBorder="1" applyAlignment="1">
      <alignment horizontal="center"/>
    </xf>
    <xf numFmtId="6" fontId="10" fillId="7" borderId="10" xfId="0" applyNumberFormat="1" applyFont="1" applyFill="1" applyBorder="1" applyAlignment="1">
      <alignment vertical="center"/>
    </xf>
    <xf numFmtId="6" fontId="10" fillId="7" borderId="11" xfId="0" applyNumberFormat="1" applyFont="1" applyFill="1" applyBorder="1" applyAlignment="1">
      <alignment vertical="center"/>
    </xf>
    <xf numFmtId="6" fontId="8" fillId="0" borderId="14" xfId="0" applyNumberFormat="1" applyFont="1" applyFill="1" applyBorder="1" applyAlignment="1">
      <alignment vertical="center"/>
    </xf>
    <xf numFmtId="6" fontId="8" fillId="0" borderId="10" xfId="0" applyNumberFormat="1" applyFont="1" applyFill="1" applyBorder="1" applyAlignment="1">
      <alignment vertical="center"/>
    </xf>
    <xf numFmtId="6" fontId="8" fillId="0" borderId="11" xfId="0" applyNumberFormat="1" applyFont="1" applyFill="1" applyBorder="1" applyAlignment="1">
      <alignment vertical="center"/>
    </xf>
    <xf numFmtId="0" fontId="24" fillId="7" borderId="12" xfId="0" applyFont="1" applyFill="1" applyBorder="1" applyAlignment="1">
      <alignment horizontal="right" vertical="center"/>
    </xf>
    <xf numFmtId="0" fontId="24" fillId="7" borderId="13" xfId="0" applyFont="1" applyFill="1" applyBorder="1" applyAlignment="1">
      <alignment horizontal="right" vertical="center"/>
    </xf>
    <xf numFmtId="0" fontId="19" fillId="7" borderId="14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0" fillId="0" borderId="0" xfId="0" applyFill="1"/>
    <xf numFmtId="164" fontId="10" fillId="7" borderId="10" xfId="0" applyNumberFormat="1" applyFont="1" applyFill="1" applyBorder="1" applyAlignment="1" quotePrefix="1">
      <alignment horizontal="centerContinuous" vertical="center"/>
    </xf>
    <xf numFmtId="0" fontId="21" fillId="7" borderId="37" xfId="0" applyFont="1" applyFill="1" applyBorder="1" applyAlignment="1">
      <alignment horizontal="centerContinuous"/>
    </xf>
    <xf numFmtId="0" fontId="21" fillId="7" borderId="38" xfId="0" applyFont="1" applyFill="1" applyBorder="1" applyAlignment="1">
      <alignment horizontal="centerContinuous"/>
    </xf>
    <xf numFmtId="0" fontId="21" fillId="7" borderId="41" xfId="0" applyFont="1" applyFill="1" applyBorder="1" applyAlignment="1">
      <alignment horizontal="centerContinuous"/>
    </xf>
    <xf numFmtId="0" fontId="21" fillId="7" borderId="62" xfId="0" applyFont="1" applyFill="1" applyBorder="1" applyAlignment="1">
      <alignment horizontal="centerContinuous"/>
    </xf>
    <xf numFmtId="0" fontId="21" fillId="7" borderId="0" xfId="0" applyFont="1" applyFill="1" applyBorder="1" applyAlignment="1">
      <alignment horizontal="centerContinuous"/>
    </xf>
    <xf numFmtId="0" fontId="21" fillId="7" borderId="63" xfId="0" applyFont="1" applyFill="1" applyBorder="1" applyAlignment="1">
      <alignment horizontal="centerContinuous"/>
    </xf>
    <xf numFmtId="0" fontId="0" fillId="7" borderId="62" xfId="0" applyFill="1" applyBorder="1"/>
    <xf numFmtId="0" fontId="0" fillId="7" borderId="63" xfId="0" applyFill="1" applyBorder="1"/>
    <xf numFmtId="0" fontId="10" fillId="7" borderId="0" xfId="0" applyFont="1" applyFill="1" applyBorder="1"/>
    <xf numFmtId="0" fontId="10" fillId="7" borderId="63" xfId="0" applyFont="1" applyFill="1" applyBorder="1"/>
    <xf numFmtId="0" fontId="2" fillId="7" borderId="0" xfId="0" applyFont="1" applyFill="1" applyAlignment="1">
      <alignment horizontal="center" wrapText="1"/>
    </xf>
    <xf numFmtId="0" fontId="2" fillId="7" borderId="8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6" fontId="10" fillId="7" borderId="0" xfId="0" applyNumberFormat="1" applyFont="1" applyFill="1" applyBorder="1" applyAlignment="1">
      <alignment vertical="center"/>
    </xf>
    <xf numFmtId="6" fontId="8" fillId="7" borderId="0" xfId="0" applyNumberFormat="1" applyFont="1" applyFill="1" applyBorder="1" applyAlignment="1">
      <alignment vertical="center"/>
    </xf>
    <xf numFmtId="0" fontId="19" fillId="7" borderId="0" xfId="0" applyFont="1" applyFill="1" applyBorder="1" applyAlignment="1">
      <alignment horizontal="center"/>
    </xf>
    <xf numFmtId="8" fontId="19" fillId="7" borderId="0" xfId="0" applyNumberFormat="1" applyFont="1" applyFill="1" applyBorder="1" applyAlignment="1">
      <alignment horizontal="center"/>
    </xf>
    <xf numFmtId="0" fontId="19" fillId="7" borderId="0" xfId="0" applyFont="1" applyFill="1" applyBorder="1" applyAlignment="1">
      <alignment horizontal="center" wrapText="1"/>
    </xf>
    <xf numFmtId="0" fontId="10" fillId="7" borderId="8" xfId="21" applyNumberFormat="1" applyFont="1" applyFill="1" applyBorder="1" applyAlignment="1" quotePrefix="1">
      <alignment horizontal="center"/>
    </xf>
    <xf numFmtId="0" fontId="10" fillId="7" borderId="8" xfId="0" applyFont="1" applyFill="1" applyBorder="1" applyAlignment="1">
      <alignment horizontal="center"/>
    </xf>
    <xf numFmtId="8" fontId="10" fillId="7" borderId="8" xfId="23" applyNumberFormat="1" applyFont="1" applyFill="1" applyBorder="1" applyAlignment="1">
      <alignment horizontal="right" vertical="center"/>
    </xf>
    <xf numFmtId="0" fontId="8" fillId="7" borderId="0" xfId="0" applyFont="1" applyFill="1" applyAlignment="1">
      <alignment horizontal="right"/>
    </xf>
    <xf numFmtId="8" fontId="8" fillId="7" borderId="64" xfId="23" applyNumberFormat="1" applyFont="1" applyFill="1" applyBorder="1" applyAlignment="1">
      <alignment horizontal="right" vertical="center"/>
    </xf>
    <xf numFmtId="8" fontId="10" fillId="7" borderId="8" xfId="0" applyNumberFormat="1" applyFont="1" applyFill="1" applyBorder="1" applyAlignment="1">
      <alignment horizontal="right" vertical="center"/>
    </xf>
    <xf numFmtId="6" fontId="10" fillId="9" borderId="8" xfId="0" applyNumberFormat="1" applyFont="1" applyFill="1" applyBorder="1" applyAlignment="1">
      <alignment vertical="center"/>
    </xf>
    <xf numFmtId="0" fontId="19" fillId="7" borderId="8" xfId="0" applyFont="1" applyFill="1" applyBorder="1" applyAlignment="1">
      <alignment horizontal="right" vertical="center"/>
    </xf>
    <xf numFmtId="6" fontId="8" fillId="0" borderId="8" xfId="0" applyNumberFormat="1" applyFont="1" applyFill="1" applyBorder="1" applyAlignment="1">
      <alignment vertical="center"/>
    </xf>
    <xf numFmtId="0" fontId="10" fillId="7" borderId="8" xfId="0" applyFont="1" applyFill="1" applyBorder="1" applyAlignment="1">
      <alignment horizontal="right" vertical="center"/>
    </xf>
    <xf numFmtId="6" fontId="10" fillId="10" borderId="8" xfId="0" applyNumberFormat="1" applyFont="1" applyFill="1" applyBorder="1" applyAlignment="1">
      <alignment vertical="center"/>
    </xf>
    <xf numFmtId="6" fontId="10" fillId="11" borderId="8" xfId="0" applyNumberFormat="1" applyFont="1" applyFill="1" applyBorder="1" applyAlignment="1">
      <alignment vertical="center"/>
    </xf>
    <xf numFmtId="0" fontId="27" fillId="12" borderId="8" xfId="20" applyNumberFormat="1" applyFont="1" applyFill="1" applyBorder="1" applyAlignment="1" quotePrefix="1">
      <alignment horizontal="center"/>
    </xf>
    <xf numFmtId="0" fontId="27" fillId="12" borderId="8" xfId="20" applyNumberFormat="1" applyFont="1" applyFill="1" applyBorder="1" applyAlignment="1" quotePrefix="1">
      <alignment horizontal="center" wrapText="1"/>
    </xf>
    <xf numFmtId="0" fontId="27" fillId="7" borderId="8" xfId="21" applyNumberFormat="1" applyFont="1" applyFill="1" applyBorder="1" applyAlignment="1" quotePrefix="1">
      <alignment horizontal="center" wrapText="1"/>
    </xf>
    <xf numFmtId="6" fontId="10" fillId="7" borderId="10" xfId="0" applyNumberFormat="1" applyFont="1" applyFill="1" applyBorder="1" applyAlignment="1">
      <alignment horizontal="center" vertical="center"/>
    </xf>
    <xf numFmtId="6" fontId="10" fillId="7" borderId="11" xfId="0" applyNumberFormat="1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/>
    </xf>
    <xf numFmtId="0" fontId="2" fillId="7" borderId="41" xfId="0" applyFont="1" applyFill="1" applyBorder="1" applyAlignment="1">
      <alignment horizontal="center"/>
    </xf>
    <xf numFmtId="0" fontId="8" fillId="7" borderId="41" xfId="0" applyFont="1" applyFill="1" applyBorder="1" applyAlignment="1">
      <alignment horizontal="center"/>
    </xf>
    <xf numFmtId="0" fontId="8" fillId="7" borderId="38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/>
    </xf>
    <xf numFmtId="0" fontId="0" fillId="7" borderId="10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47" xfId="0" applyFill="1" applyBorder="1" applyAlignment="1">
      <alignment horizontal="center" vertical="center" wrapText="1"/>
    </xf>
    <xf numFmtId="14" fontId="10" fillId="7" borderId="8" xfId="0" applyNumberFormat="1" applyFont="1" applyFill="1" applyBorder="1" applyAlignment="1">
      <alignment horizontal="center" vertical="center"/>
    </xf>
    <xf numFmtId="0" fontId="10" fillId="7" borderId="8" xfId="21" applyNumberFormat="1" applyFont="1" applyFill="1" applyBorder="1" applyAlignment="1" quotePrefix="1">
      <alignment horizontal="center" vertical="center"/>
    </xf>
    <xf numFmtId="8" fontId="10" fillId="7" borderId="8" xfId="23" applyNumberFormat="1" applyFont="1" applyFill="1" applyBorder="1" applyAlignment="1">
      <alignment horizontal="right" vertical="center"/>
    </xf>
    <xf numFmtId="8" fontId="10" fillId="9" borderId="8" xfId="23" applyNumberFormat="1" applyFont="1" applyFill="1" applyBorder="1" applyAlignment="1">
      <alignment horizontal="right" vertical="center"/>
    </xf>
    <xf numFmtId="0" fontId="22" fillId="12" borderId="8" xfId="20" applyNumberFormat="1" applyFont="1" applyFill="1" applyBorder="1" applyAlignment="1" quotePrefix="1">
      <alignment horizontal="center"/>
    </xf>
    <xf numFmtId="0" fontId="22" fillId="7" borderId="8" xfId="20" applyNumberFormat="1" applyFont="1" applyFill="1" applyBorder="1" applyAlignment="1" quotePrefix="1">
      <alignment horizontal="center"/>
    </xf>
    <xf numFmtId="0" fontId="22" fillId="7" borderId="8" xfId="21" applyNumberFormat="1" applyFont="1" applyFill="1" applyBorder="1" applyAlignment="1" quotePrefix="1">
      <alignment horizontal="center"/>
    </xf>
    <xf numFmtId="0" fontId="22" fillId="7" borderId="8" xfId="21" applyNumberFormat="1" applyFont="1" applyFill="1" applyBorder="1" applyAlignment="1" quotePrefix="1">
      <alignment horizontal="center" wrapText="1"/>
    </xf>
    <xf numFmtId="0" fontId="22" fillId="7" borderId="8" xfId="0" applyFont="1" applyFill="1" applyBorder="1" applyAlignment="1">
      <alignment horizontal="center" wrapText="1"/>
    </xf>
    <xf numFmtId="14" fontId="10" fillId="13" borderId="8" xfId="0" applyNumberFormat="1" applyFont="1" applyFill="1" applyBorder="1" applyAlignment="1">
      <alignment horizontal="center" vertical="center"/>
    </xf>
    <xf numFmtId="8" fontId="10" fillId="10" borderId="8" xfId="23" applyNumberFormat="1" applyFont="1" applyFill="1" applyBorder="1" applyAlignment="1">
      <alignment horizontal="right" vertical="center"/>
    </xf>
    <xf numFmtId="14" fontId="10" fillId="10" borderId="8" xfId="0" applyNumberFormat="1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Continuous"/>
    </xf>
    <xf numFmtId="0" fontId="2" fillId="7" borderId="0" xfId="0" applyFont="1" applyFill="1" applyBorder="1" applyAlignment="1">
      <alignment horizontal="centerContinuous"/>
    </xf>
    <xf numFmtId="0" fontId="0" fillId="7" borderId="0" xfId="0" applyFill="1" applyBorder="1" applyAlignment="1">
      <alignment horizontal="centerContinuous"/>
    </xf>
    <xf numFmtId="6" fontId="0" fillId="7" borderId="10" xfId="0" applyNumberFormat="1" applyFill="1" applyBorder="1" applyAlignment="1">
      <alignment horizontal="right" vertical="center"/>
    </xf>
    <xf numFmtId="0" fontId="0" fillId="7" borderId="41" xfId="0" applyFill="1" applyBorder="1" applyAlignment="1">
      <alignment horizontal="center"/>
    </xf>
    <xf numFmtId="0" fontId="0" fillId="7" borderId="0" xfId="0" applyFont="1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 wrapText="1"/>
    </xf>
    <xf numFmtId="0" fontId="0" fillId="0" borderId="0" xfId="0" applyBorder="1" applyAlignment="1">
      <alignment/>
    </xf>
    <xf numFmtId="0" fontId="0" fillId="7" borderId="0" xfId="0" applyFill="1" applyBorder="1" applyAlignment="1" quotePrefix="1">
      <alignment horizontal="center" vertical="center" wrapText="1"/>
    </xf>
    <xf numFmtId="0" fontId="0" fillId="7" borderId="13" xfId="0" applyFont="1" applyFill="1" applyBorder="1" applyAlignment="1" applyProtection="1">
      <alignment horizontal="center" vertical="center" wrapText="1"/>
      <protection locked="0"/>
    </xf>
    <xf numFmtId="6" fontId="0" fillId="7" borderId="56" xfId="0" applyNumberFormat="1" applyFill="1" applyBorder="1" applyAlignment="1">
      <alignment horizontal="right" vertical="center"/>
    </xf>
    <xf numFmtId="6" fontId="0" fillId="7" borderId="60" xfId="0" applyNumberFormat="1" applyFill="1" applyBorder="1" applyAlignment="1">
      <alignment horizontal="right" vertical="center"/>
    </xf>
    <xf numFmtId="164" fontId="0" fillId="7" borderId="0" xfId="0" applyNumberFormat="1" applyFill="1" applyBorder="1" applyAlignment="1">
      <alignment horizontal="centerContinuous" vertical="center"/>
    </xf>
    <xf numFmtId="6" fontId="0" fillId="7" borderId="47" xfId="0" applyNumberFormat="1" applyFill="1" applyBorder="1" applyAlignment="1">
      <alignment horizontal="right" vertical="center"/>
    </xf>
    <xf numFmtId="6" fontId="0" fillId="7" borderId="48" xfId="0" applyNumberFormat="1" applyFill="1" applyBorder="1" applyAlignment="1">
      <alignment horizontal="right" vertical="center"/>
    </xf>
    <xf numFmtId="0" fontId="0" fillId="7" borderId="47" xfId="0" applyFont="1" applyFill="1" applyBorder="1" applyAlignment="1">
      <alignment horizontal="center" vertical="center"/>
    </xf>
    <xf numFmtId="164" fontId="0" fillId="7" borderId="47" xfId="0" applyNumberFormat="1" applyFill="1" applyBorder="1" applyAlignment="1">
      <alignment horizontal="centerContinuous" vertical="center"/>
    </xf>
    <xf numFmtId="0" fontId="2" fillId="7" borderId="48" xfId="0" applyFont="1" applyFill="1" applyBorder="1" applyAlignment="1">
      <alignment horizontal="centerContinuous" vertical="center"/>
    </xf>
    <xf numFmtId="10" fontId="10" fillId="7" borderId="0" xfId="0" applyNumberFormat="1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38" fontId="10" fillId="7" borderId="0" xfId="0" applyNumberFormat="1" applyFont="1" applyFill="1" applyBorder="1" applyAlignment="1">
      <alignment horizontal="center" vertical="center"/>
    </xf>
    <xf numFmtId="6" fontId="10" fillId="7" borderId="0" xfId="0" applyNumberFormat="1" applyFont="1" applyFill="1" applyBorder="1" applyAlignment="1">
      <alignment horizontal="right" vertical="center"/>
    </xf>
    <xf numFmtId="0" fontId="22" fillId="7" borderId="0" xfId="0" applyFont="1" applyFill="1" applyBorder="1"/>
    <xf numFmtId="0" fontId="10" fillId="7" borderId="12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38" fontId="10" fillId="7" borderId="9" xfId="0" applyNumberFormat="1" applyFont="1" applyFill="1" applyBorder="1" applyAlignment="1">
      <alignment horizontal="center" vertical="center"/>
    </xf>
    <xf numFmtId="38" fontId="10" fillId="7" borderId="11" xfId="0" applyNumberFormat="1" applyFont="1" applyFill="1" applyBorder="1" applyAlignment="1">
      <alignment horizontal="center" vertical="center"/>
    </xf>
    <xf numFmtId="0" fontId="22" fillId="7" borderId="42" xfId="0" applyFont="1" applyFill="1" applyBorder="1"/>
    <xf numFmtId="0" fontId="0" fillId="7" borderId="44" xfId="0" applyFont="1" applyFill="1" applyBorder="1" applyAlignment="1">
      <alignment horizontal="center" vertical="center"/>
    </xf>
    <xf numFmtId="0" fontId="0" fillId="7" borderId="49" xfId="0" applyFont="1" applyFill="1" applyBorder="1" applyAlignment="1">
      <alignment horizontal="center" vertical="center"/>
    </xf>
    <xf numFmtId="0" fontId="8" fillId="7" borderId="56" xfId="0" applyFont="1" applyFill="1" applyBorder="1" applyAlignment="1">
      <alignment horizontal="center"/>
    </xf>
    <xf numFmtId="0" fontId="8" fillId="7" borderId="57" xfId="0" applyFont="1" applyFill="1" applyBorder="1" applyAlignment="1">
      <alignment horizontal="center"/>
    </xf>
    <xf numFmtId="0" fontId="8" fillId="7" borderId="60" xfId="0" applyFont="1" applyFill="1" applyBorder="1" applyAlignment="1">
      <alignment horizontal="center"/>
    </xf>
    <xf numFmtId="38" fontId="10" fillId="7" borderId="6" xfId="0" applyNumberFormat="1" applyFont="1" applyFill="1" applyBorder="1" applyAlignment="1">
      <alignment horizontal="center" vertical="center" wrapText="1"/>
    </xf>
    <xf numFmtId="38" fontId="10" fillId="7" borderId="7" xfId="0" applyNumberFormat="1" applyFont="1" applyFill="1" applyBorder="1" applyAlignment="1">
      <alignment horizontal="center" vertical="center" wrapText="1"/>
    </xf>
    <xf numFmtId="38" fontId="10" fillId="7" borderId="8" xfId="0" applyNumberFormat="1" applyFont="1" applyFill="1" applyBorder="1" applyAlignment="1">
      <alignment horizontal="center" vertical="center" wrapText="1"/>
    </xf>
    <xf numFmtId="38" fontId="10" fillId="7" borderId="9" xfId="0" applyNumberFormat="1" applyFont="1" applyFill="1" applyBorder="1" applyAlignment="1">
      <alignment horizontal="center" vertical="center" wrapText="1"/>
    </xf>
    <xf numFmtId="38" fontId="10" fillId="7" borderId="10" xfId="0" applyNumberFormat="1" applyFont="1" applyFill="1" applyBorder="1" applyAlignment="1">
      <alignment horizontal="center" vertical="center" wrapText="1"/>
    </xf>
    <xf numFmtId="38" fontId="10" fillId="7" borderId="11" xfId="0" applyNumberFormat="1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Continuous" vertical="center" wrapText="1"/>
    </xf>
    <xf numFmtId="0" fontId="0" fillId="0" borderId="9" xfId="0" applyBorder="1" applyAlignment="1">
      <alignment horizontal="centerContinuous" vertical="center" wrapText="1"/>
    </xf>
    <xf numFmtId="38" fontId="0" fillId="7" borderId="6" xfId="0" applyNumberFormat="1" applyFont="1" applyFill="1" applyBorder="1" applyAlignment="1">
      <alignment horizontal="center" vertical="center"/>
    </xf>
    <xf numFmtId="38" fontId="0" fillId="7" borderId="7" xfId="0" applyNumberFormat="1" applyFont="1" applyFill="1" applyBorder="1" applyAlignment="1">
      <alignment horizontal="center" vertical="center"/>
    </xf>
    <xf numFmtId="0" fontId="30" fillId="7" borderId="32" xfId="0" applyFont="1" applyFill="1" applyBorder="1" applyAlignment="1">
      <alignment horizontal="center" wrapText="1"/>
    </xf>
    <xf numFmtId="0" fontId="30" fillId="7" borderId="33" xfId="0" applyFont="1" applyFill="1" applyBorder="1" applyAlignment="1">
      <alignment horizontal="center"/>
    </xf>
    <xf numFmtId="0" fontId="30" fillId="7" borderId="32" xfId="0" applyFont="1" applyFill="1" applyBorder="1" applyAlignment="1">
      <alignment horizontal="center"/>
    </xf>
    <xf numFmtId="0" fontId="30" fillId="7" borderId="34" xfId="0" applyFont="1" applyFill="1" applyBorder="1" applyAlignment="1">
      <alignment horizontal="center"/>
    </xf>
    <xf numFmtId="0" fontId="30" fillId="7" borderId="58" xfId="0" applyFont="1" applyFill="1" applyBorder="1" applyAlignment="1">
      <alignment horizontal="center"/>
    </xf>
    <xf numFmtId="0" fontId="30" fillId="7" borderId="59" xfId="0" applyFont="1" applyFill="1" applyBorder="1" applyAlignment="1">
      <alignment horizontal="center"/>
    </xf>
    <xf numFmtId="0" fontId="30" fillId="7" borderId="58" xfId="0" applyFont="1" applyFill="1" applyBorder="1" applyAlignment="1">
      <alignment horizontal="center" wrapText="1"/>
    </xf>
    <xf numFmtId="6" fontId="8" fillId="0" borderId="14" xfId="0" applyNumberFormat="1" applyFont="1" applyFill="1" applyBorder="1" applyAlignment="1">
      <alignment horizontal="center" vertical="center"/>
    </xf>
    <xf numFmtId="6" fontId="8" fillId="0" borderId="10" xfId="0" applyNumberFormat="1" applyFont="1" applyFill="1" applyBorder="1" applyAlignment="1">
      <alignment horizontal="center" vertical="center"/>
    </xf>
    <xf numFmtId="6" fontId="8" fillId="0" borderId="11" xfId="0" applyNumberFormat="1" applyFont="1" applyFill="1" applyBorder="1" applyAlignment="1">
      <alignment horizontal="center" vertical="center"/>
    </xf>
    <xf numFmtId="6" fontId="10" fillId="14" borderId="13" xfId="0" applyNumberFormat="1" applyFont="1" applyFill="1" applyBorder="1" applyAlignment="1">
      <alignment vertical="center"/>
    </xf>
    <xf numFmtId="6" fontId="10" fillId="14" borderId="8" xfId="0" applyNumberFormat="1" applyFont="1" applyFill="1" applyBorder="1" applyAlignment="1">
      <alignment vertical="center"/>
    </xf>
    <xf numFmtId="6" fontId="10" fillId="14" borderId="12" xfId="0" applyNumberFormat="1" applyFont="1" applyFill="1" applyBorder="1" applyAlignment="1">
      <alignment vertical="center"/>
    </xf>
    <xf numFmtId="6" fontId="10" fillId="14" borderId="6" xfId="0" applyNumberFormat="1" applyFont="1" applyFill="1" applyBorder="1" applyAlignment="1">
      <alignment vertical="center"/>
    </xf>
    <xf numFmtId="6" fontId="10" fillId="14" borderId="14" xfId="0" applyNumberFormat="1" applyFont="1" applyFill="1" applyBorder="1" applyAlignment="1">
      <alignment vertical="center"/>
    </xf>
    <xf numFmtId="6" fontId="10" fillId="14" borderId="10" xfId="0" applyNumberFormat="1" applyFont="1" applyFill="1" applyBorder="1" applyAlignment="1">
      <alignment vertical="center"/>
    </xf>
    <xf numFmtId="6" fontId="10" fillId="14" borderId="7" xfId="0" applyNumberFormat="1" applyFont="1" applyFill="1" applyBorder="1" applyAlignment="1">
      <alignment vertical="center"/>
    </xf>
    <xf numFmtId="6" fontId="10" fillId="14" borderId="9" xfId="0" applyNumberFormat="1" applyFont="1" applyFill="1" applyBorder="1" applyAlignment="1">
      <alignment vertical="center"/>
    </xf>
    <xf numFmtId="6" fontId="10" fillId="14" borderId="11" xfId="0" applyNumberFormat="1" applyFont="1" applyFill="1" applyBorder="1" applyAlignment="1">
      <alignment vertical="center"/>
    </xf>
    <xf numFmtId="0" fontId="2" fillId="7" borderId="37" xfId="0" applyFont="1" applyFill="1" applyBorder="1" applyAlignment="1">
      <alignment horizontal="center"/>
    </xf>
    <xf numFmtId="0" fontId="8" fillId="7" borderId="41" xfId="0" applyFont="1" applyFill="1" applyBorder="1" applyAlignment="1">
      <alignment horizontal="center"/>
    </xf>
    <xf numFmtId="0" fontId="8" fillId="7" borderId="38" xfId="0" applyFont="1" applyFill="1" applyBorder="1" applyAlignment="1">
      <alignment horizontal="center"/>
    </xf>
    <xf numFmtId="0" fontId="0" fillId="7" borderId="8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6" fontId="10" fillId="7" borderId="10" xfId="0" applyNumberFormat="1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/>
    </xf>
    <xf numFmtId="0" fontId="2" fillId="7" borderId="41" xfId="0" applyFont="1" applyFill="1" applyBorder="1" applyAlignment="1">
      <alignment horizontal="center"/>
    </xf>
    <xf numFmtId="0" fontId="0" fillId="7" borderId="8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6" fontId="10" fillId="0" borderId="6" xfId="0" applyNumberFormat="1" applyFont="1" applyFill="1" applyBorder="1" applyAlignment="1">
      <alignment horizontal="right" vertical="center"/>
    </xf>
    <xf numFmtId="6" fontId="10" fillId="0" borderId="8" xfId="0" applyNumberFormat="1" applyFont="1" applyFill="1" applyBorder="1" applyAlignment="1">
      <alignment horizontal="right" vertical="center"/>
    </xf>
    <xf numFmtId="6" fontId="10" fillId="0" borderId="14" xfId="0" applyNumberFormat="1" applyFont="1" applyFill="1" applyBorder="1" applyAlignment="1">
      <alignment horizontal="right" vertical="center"/>
    </xf>
    <xf numFmtId="6" fontId="10" fillId="0" borderId="11" xfId="0" applyNumberFormat="1" applyFont="1" applyFill="1" applyBorder="1" applyAlignment="1">
      <alignment horizontal="right" vertical="center"/>
    </xf>
    <xf numFmtId="6" fontId="10" fillId="0" borderId="6" xfId="0" applyNumberFormat="1" applyFont="1" applyFill="1" applyBorder="1" applyAlignment="1" applyProtection="1">
      <alignment horizontal="centerContinuous" vertical="center"/>
      <protection locked="0"/>
    </xf>
    <xf numFmtId="0" fontId="10" fillId="0" borderId="6" xfId="0" applyFont="1" applyFill="1" applyBorder="1" applyAlignment="1">
      <alignment horizontal="centerContinuous" vertical="center"/>
    </xf>
    <xf numFmtId="6" fontId="10" fillId="0" borderId="10" xfId="0" applyNumberFormat="1" applyFont="1" applyFill="1" applyBorder="1" applyAlignment="1" applyProtection="1">
      <alignment horizontal="centerContinuous" vertical="center"/>
      <protection locked="0"/>
    </xf>
    <xf numFmtId="0" fontId="10" fillId="0" borderId="10" xfId="0" applyFont="1" applyFill="1" applyBorder="1" applyAlignment="1">
      <alignment horizontal="centerContinuous" vertical="center"/>
    </xf>
    <xf numFmtId="0" fontId="0" fillId="7" borderId="14" xfId="0" applyFill="1" applyBorder="1" applyAlignment="1">
      <alignment horizontal="center" vertical="center"/>
    </xf>
    <xf numFmtId="17" fontId="0" fillId="7" borderId="10" xfId="0" applyNumberFormat="1" applyFill="1" applyBorder="1" applyAlignment="1" quotePrefix="1">
      <alignment horizontal="center" vertical="center"/>
    </xf>
    <xf numFmtId="0" fontId="10" fillId="7" borderId="10" xfId="0" applyFont="1" applyFill="1" applyBorder="1" applyAlignment="1">
      <alignment horizontal="centerContinuous" vertical="center" wrapText="1"/>
    </xf>
    <xf numFmtId="0" fontId="0" fillId="0" borderId="11" xfId="0" applyBorder="1" applyAlignment="1">
      <alignment horizontal="centerContinuous" vertical="center" wrapText="1"/>
    </xf>
    <xf numFmtId="0" fontId="2" fillId="7" borderId="0" xfId="0" applyFont="1" applyFill="1" applyBorder="1" applyAlignment="1">
      <alignment horizontal="center"/>
    </xf>
    <xf numFmtId="0" fontId="8" fillId="7" borderId="41" xfId="0" applyFont="1" applyFill="1" applyBorder="1" applyAlignment="1">
      <alignment horizontal="center"/>
    </xf>
    <xf numFmtId="0" fontId="8" fillId="7" borderId="38" xfId="0" applyFont="1" applyFill="1" applyBorder="1" applyAlignment="1">
      <alignment horizontal="center"/>
    </xf>
    <xf numFmtId="6" fontId="8" fillId="7" borderId="0" xfId="0" applyNumberFormat="1" applyFont="1" applyFill="1" applyBorder="1" applyAlignment="1">
      <alignment horizontal="center"/>
    </xf>
    <xf numFmtId="0" fontId="8" fillId="7" borderId="0" xfId="0" applyFont="1" applyFill="1" applyBorder="1" applyAlignment="1">
      <alignment horizontal="center"/>
    </xf>
    <xf numFmtId="0" fontId="0" fillId="7" borderId="46" xfId="0" applyFont="1" applyFill="1" applyBorder="1" applyAlignment="1">
      <alignment horizontal="center"/>
    </xf>
    <xf numFmtId="0" fontId="0" fillId="7" borderId="47" xfId="0" applyFont="1" applyFill="1" applyBorder="1" applyAlignment="1">
      <alignment horizontal="center"/>
    </xf>
    <xf numFmtId="0" fontId="0" fillId="7" borderId="47" xfId="0" applyFont="1" applyFill="1" applyBorder="1" applyAlignment="1">
      <alignment horizontal="centerContinuous"/>
    </xf>
    <xf numFmtId="6" fontId="10" fillId="7" borderId="47" xfId="0" applyNumberFormat="1" applyFont="1" applyFill="1" applyBorder="1" applyAlignment="1">
      <alignment horizontal="center"/>
    </xf>
    <xf numFmtId="0" fontId="10" fillId="7" borderId="48" xfId="0" applyFont="1" applyFill="1" applyBorder="1" applyAlignment="1">
      <alignment horizontal="center"/>
    </xf>
    <xf numFmtId="0" fontId="8" fillId="7" borderId="32" xfId="0" applyFont="1" applyFill="1" applyBorder="1" applyAlignment="1">
      <alignment horizontal="center" wrapText="1"/>
    </xf>
    <xf numFmtId="0" fontId="8" fillId="7" borderId="0" xfId="0" applyFont="1" applyFill="1" quotePrefix="1"/>
    <xf numFmtId="17" fontId="10" fillId="7" borderId="6" xfId="0" applyNumberFormat="1" applyFont="1" applyFill="1" applyBorder="1" applyAlignment="1" quotePrefix="1">
      <alignment horizontal="center" vertical="center"/>
    </xf>
    <xf numFmtId="17" fontId="10" fillId="7" borderId="8" xfId="0" applyNumberFormat="1" applyFont="1" applyFill="1" applyBorder="1" applyAlignment="1" quotePrefix="1">
      <alignment horizontal="center" vertical="center"/>
    </xf>
    <xf numFmtId="6" fontId="31" fillId="7" borderId="0" xfId="0" applyNumberFormat="1" applyFont="1" applyFill="1" applyBorder="1" applyAlignment="1">
      <alignment horizontal="left" vertical="top" wrapText="1"/>
    </xf>
    <xf numFmtId="6" fontId="31" fillId="7" borderId="0" xfId="0" applyNumberFormat="1" applyFont="1" applyFill="1" applyBorder="1" applyAlignment="1">
      <alignment horizontal="left" vertical="top"/>
    </xf>
    <xf numFmtId="0" fontId="15" fillId="7" borderId="42" xfId="0" applyFont="1" applyFill="1" applyBorder="1" applyAlignment="1">
      <alignment horizontal="left" vertical="center"/>
    </xf>
    <xf numFmtId="0" fontId="0" fillId="0" borderId="56" xfId="0" applyBorder="1" applyAlignment="1">
      <alignment vertical="center"/>
    </xf>
    <xf numFmtId="0" fontId="2" fillId="7" borderId="44" xfId="0" applyFont="1" applyFill="1" applyBorder="1" applyAlignment="1">
      <alignment horizontal="center"/>
    </xf>
    <xf numFmtId="0" fontId="2" fillId="7" borderId="49" xfId="0" applyFont="1" applyFill="1" applyBorder="1" applyAlignment="1">
      <alignment horizontal="center"/>
    </xf>
    <xf numFmtId="6" fontId="8" fillId="7" borderId="14" xfId="0" applyNumberFormat="1" applyFont="1" applyFill="1" applyBorder="1" applyAlignment="1">
      <alignment horizontal="center" vertical="center"/>
    </xf>
    <xf numFmtId="6" fontId="8" fillId="7" borderId="10" xfId="0" applyNumberFormat="1" applyFont="1" applyFill="1" applyBorder="1" applyAlignment="1">
      <alignment horizontal="center" vertical="center"/>
    </xf>
    <xf numFmtId="6" fontId="8" fillId="7" borderId="11" xfId="0" applyNumberFormat="1" applyFont="1" applyFill="1" applyBorder="1" applyAlignment="1">
      <alignment horizontal="center" vertical="center"/>
    </xf>
    <xf numFmtId="6" fontId="8" fillId="7" borderId="43" xfId="0" applyNumberFormat="1" applyFont="1" applyFill="1" applyBorder="1" applyAlignment="1">
      <alignment horizontal="center" vertical="center"/>
    </xf>
    <xf numFmtId="0" fontId="8" fillId="7" borderId="64" xfId="0" applyFont="1" applyFill="1" applyBorder="1" applyAlignment="1">
      <alignment horizontal="center" vertical="center"/>
    </xf>
    <xf numFmtId="6" fontId="8" fillId="7" borderId="64" xfId="0" applyNumberFormat="1" applyFont="1" applyFill="1" applyBorder="1" applyAlignment="1">
      <alignment horizontal="center" vertical="center"/>
    </xf>
    <xf numFmtId="0" fontId="8" fillId="7" borderId="65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6" fontId="10" fillId="11" borderId="8" xfId="0" applyNumberFormat="1" applyFont="1" applyFill="1" applyBorder="1" applyAlignment="1">
      <alignment horizontal="right" vertical="center"/>
    </xf>
    <xf numFmtId="6" fontId="10" fillId="7" borderId="8" xfId="0" applyNumberFormat="1" applyFont="1" applyFill="1" applyBorder="1" applyAlignment="1">
      <alignment horizontal="right" vertical="center"/>
    </xf>
    <xf numFmtId="6" fontId="10" fillId="0" borderId="8" xfId="0" applyNumberFormat="1" applyFont="1" applyBorder="1" applyAlignment="1">
      <alignment horizontal="right" vertical="center"/>
    </xf>
    <xf numFmtId="6" fontId="10" fillId="10" borderId="8" xfId="0" applyNumberFormat="1" applyFont="1" applyFill="1" applyBorder="1" applyAlignment="1">
      <alignment horizontal="right" vertical="center"/>
    </xf>
    <xf numFmtId="14" fontId="29" fillId="9" borderId="66" xfId="0" applyNumberFormat="1" applyFont="1" applyFill="1" applyBorder="1" applyAlignment="1">
      <alignment horizontal="center" vertical="center"/>
    </xf>
    <xf numFmtId="0" fontId="28" fillId="9" borderId="67" xfId="0" applyFont="1" applyFill="1" applyBorder="1" applyAlignment="1">
      <alignment horizontal="center" vertical="center"/>
    </xf>
    <xf numFmtId="0" fontId="28" fillId="9" borderId="68" xfId="0" applyFont="1" applyFill="1" applyBorder="1" applyAlignment="1">
      <alignment horizontal="center" vertical="center"/>
    </xf>
    <xf numFmtId="0" fontId="25" fillId="7" borderId="8" xfId="0" applyFont="1" applyFill="1" applyBorder="1" applyAlignment="1">
      <alignment horizontal="left" vertical="center"/>
    </xf>
    <xf numFmtId="0" fontId="26" fillId="0" borderId="8" xfId="0" applyFont="1" applyBorder="1" applyAlignment="1">
      <alignment vertical="center"/>
    </xf>
    <xf numFmtId="0" fontId="2" fillId="7" borderId="8" xfId="0" applyFont="1" applyFill="1" applyBorder="1" applyAlignment="1">
      <alignment horizontal="center"/>
    </xf>
    <xf numFmtId="6" fontId="10" fillId="7" borderId="14" xfId="0" applyNumberFormat="1" applyFont="1" applyFill="1" applyBorder="1" applyAlignment="1">
      <alignment horizontal="center" vertical="center"/>
    </xf>
    <xf numFmtId="6" fontId="10" fillId="7" borderId="10" xfId="0" applyNumberFormat="1" applyFont="1" applyFill="1" applyBorder="1" applyAlignment="1">
      <alignment horizontal="center" vertical="center"/>
    </xf>
    <xf numFmtId="6" fontId="10" fillId="7" borderId="11" xfId="0" applyNumberFormat="1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/>
    </xf>
    <xf numFmtId="0" fontId="2" fillId="7" borderId="41" xfId="0" applyFont="1" applyFill="1" applyBorder="1" applyAlignment="1">
      <alignment horizontal="center"/>
    </xf>
    <xf numFmtId="0" fontId="2" fillId="7" borderId="38" xfId="0" applyFont="1" applyFill="1" applyBorder="1" applyAlignment="1">
      <alignment horizontal="center"/>
    </xf>
    <xf numFmtId="6" fontId="10" fillId="7" borderId="43" xfId="0" applyNumberFormat="1" applyFont="1" applyFill="1" applyBorder="1" applyAlignment="1">
      <alignment horizontal="center" vertical="center"/>
    </xf>
    <xf numFmtId="0" fontId="10" fillId="7" borderId="64" xfId="0" applyFont="1" applyFill="1" applyBorder="1" applyAlignment="1">
      <alignment horizontal="center" vertical="center"/>
    </xf>
    <xf numFmtId="6" fontId="10" fillId="7" borderId="64" xfId="0" applyNumberFormat="1" applyFont="1" applyFill="1" applyBorder="1" applyAlignment="1">
      <alignment horizontal="center" vertical="center"/>
    </xf>
    <xf numFmtId="0" fontId="10" fillId="7" borderId="65" xfId="0" applyFont="1" applyFill="1" applyBorder="1" applyAlignment="1">
      <alignment horizontal="center" vertical="center"/>
    </xf>
    <xf numFmtId="6" fontId="0" fillId="7" borderId="69" xfId="0" applyNumberForma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6" fontId="0" fillId="7" borderId="37" xfId="0" applyNumberForma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7" borderId="70" xfId="0" applyFill="1" applyBorder="1" applyAlignment="1">
      <alignment horizontal="center" vertical="center"/>
    </xf>
    <xf numFmtId="6" fontId="0" fillId="7" borderId="70" xfId="0" applyNumberForma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0" xfId="0" applyBorder="1" applyAlignment="1">
      <alignment/>
    </xf>
    <xf numFmtId="0" fontId="21" fillId="7" borderId="0" xfId="0" applyFont="1" applyFill="1" applyAlignment="1">
      <alignment horizontal="center"/>
    </xf>
    <xf numFmtId="0" fontId="8" fillId="7" borderId="37" xfId="0" applyFont="1" applyFill="1" applyBorder="1" applyAlignment="1">
      <alignment horizontal="center"/>
    </xf>
    <xf numFmtId="0" fontId="8" fillId="7" borderId="41" xfId="0" applyFont="1" applyFill="1" applyBorder="1" applyAlignment="1">
      <alignment horizontal="center"/>
    </xf>
    <xf numFmtId="0" fontId="8" fillId="7" borderId="38" xfId="0" applyFont="1" applyFill="1" applyBorder="1" applyAlignment="1">
      <alignment horizontal="center"/>
    </xf>
    <xf numFmtId="0" fontId="22" fillId="7" borderId="4" xfId="0" applyFont="1" applyFill="1" applyBorder="1" applyAlignment="1">
      <alignment horizontal="left" vertical="center"/>
    </xf>
    <xf numFmtId="0" fontId="7" fillId="7" borderId="39" xfId="0" applyFont="1" applyFill="1" applyBorder="1" applyAlignment="1">
      <alignment horizontal="left" vertical="center"/>
    </xf>
    <xf numFmtId="0" fontId="21" fillId="7" borderId="0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/>
    </xf>
    <xf numFmtId="0" fontId="10" fillId="0" borderId="39" xfId="0" applyFont="1" applyBorder="1" applyAlignment="1">
      <alignment/>
    </xf>
    <xf numFmtId="0" fontId="10" fillId="7" borderId="12" xfId="0" applyFont="1" applyFill="1" applyBorder="1" applyAlignment="1" applyProtection="1">
      <alignment vertical="center" wrapText="1"/>
      <protection locked="0"/>
    </xf>
    <xf numFmtId="0" fontId="10" fillId="0" borderId="6" xfId="0" applyFont="1" applyBorder="1" applyAlignment="1">
      <alignment wrapText="1"/>
    </xf>
    <xf numFmtId="0" fontId="10" fillId="7" borderId="14" xfId="0" applyFont="1" applyFill="1" applyBorder="1" applyAlignment="1" applyProtection="1">
      <alignment vertical="center" wrapText="1"/>
      <protection locked="0"/>
    </xf>
    <xf numFmtId="0" fontId="10" fillId="0" borderId="10" xfId="0" applyFont="1" applyBorder="1" applyAlignment="1">
      <alignment wrapText="1"/>
    </xf>
    <xf numFmtId="0" fontId="22" fillId="7" borderId="37" xfId="0" applyFont="1" applyFill="1" applyBorder="1" applyAlignment="1" applyProtection="1">
      <alignment vertical="center" wrapText="1"/>
      <protection locked="0"/>
    </xf>
    <xf numFmtId="0" fontId="22" fillId="0" borderId="38" xfId="0" applyFont="1" applyBorder="1" applyAlignment="1">
      <alignment wrapText="1"/>
    </xf>
    <xf numFmtId="0" fontId="22" fillId="0" borderId="41" xfId="0" applyFont="1" applyBorder="1" applyAlignment="1">
      <alignment wrapText="1"/>
    </xf>
    <xf numFmtId="0" fontId="10" fillId="7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7" borderId="0" xfId="0" applyFont="1" applyFill="1" applyAlignment="1">
      <alignment horizontal="center"/>
    </xf>
    <xf numFmtId="16" fontId="10" fillId="7" borderId="10" xfId="0" applyNumberFormat="1" applyFont="1" applyFill="1" applyBorder="1" applyAlignment="1" quotePrefix="1">
      <alignment horizontal="center" vertical="center"/>
    </xf>
    <xf numFmtId="0" fontId="0" fillId="0" borderId="0" xfId="0" applyAlignment="1">
      <alignment horizontal="center"/>
    </xf>
    <xf numFmtId="0" fontId="2" fillId="7" borderId="0" xfId="0" applyFont="1" applyFill="1" applyBorder="1" applyAlignment="1">
      <alignment horizontal="center"/>
    </xf>
    <xf numFmtId="0" fontId="0" fillId="7" borderId="0" xfId="0" applyFill="1" applyBorder="1" applyAlignment="1">
      <alignment horizontal="center" vertical="center" wrapText="1"/>
    </xf>
    <xf numFmtId="0" fontId="0" fillId="7" borderId="47" xfId="0" applyFill="1" applyBorder="1" applyAlignment="1">
      <alignment horizontal="center" vertical="center" wrapText="1"/>
    </xf>
    <xf numFmtId="0" fontId="0" fillId="0" borderId="47" xfId="0" applyBorder="1" applyAlignment="1">
      <alignment/>
    </xf>
    <xf numFmtId="0" fontId="0" fillId="7" borderId="72" xfId="0" applyFill="1" applyBorder="1" applyAlignment="1">
      <alignment horizontal="center" vertical="center" wrapText="1"/>
    </xf>
    <xf numFmtId="0" fontId="0" fillId="7" borderId="52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0" borderId="10" xfId="0" applyBorder="1" applyAlignment="1">
      <alignment/>
    </xf>
    <xf numFmtId="0" fontId="0" fillId="7" borderId="66" xfId="0" applyFill="1" applyBorder="1" applyAlignment="1">
      <alignment horizontal="center" vertical="center" wrapText="1"/>
    </xf>
    <xf numFmtId="0" fontId="0" fillId="7" borderId="68" xfId="0" applyFill="1" applyBorder="1" applyAlignment="1">
      <alignment horizontal="center" vertical="center" wrapText="1"/>
    </xf>
    <xf numFmtId="0" fontId="0" fillId="7" borderId="73" xfId="0" applyFill="1" applyBorder="1" applyAlignment="1">
      <alignment horizontal="center" vertical="center" wrapText="1"/>
    </xf>
    <xf numFmtId="0" fontId="0" fillId="7" borderId="54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0" borderId="8" xfId="0" applyBorder="1" applyAlignment="1">
      <alignment/>
    </xf>
    <xf numFmtId="0" fontId="0" fillId="7" borderId="6" xfId="0" applyFill="1" applyBorder="1" applyAlignment="1">
      <alignment horizontal="center" vertical="center" wrapText="1"/>
    </xf>
    <xf numFmtId="0" fontId="0" fillId="0" borderId="6" xfId="0" applyBorder="1" applyAlignment="1">
      <alignment/>
    </xf>
    <xf numFmtId="0" fontId="8" fillId="7" borderId="40" xfId="0" applyFont="1" applyFill="1" applyBorder="1" applyAlignment="1">
      <alignment horizontal="center"/>
    </xf>
    <xf numFmtId="0" fontId="8" fillId="7" borderId="74" xfId="0" applyFont="1" applyFill="1" applyBorder="1" applyAlignment="1">
      <alignment horizontal="center"/>
    </xf>
  </cellXfs>
  <cellStyles count="16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DimensionCell" xfId="20"/>
    <cellStyle name="SAPMemberCell" xfId="21"/>
    <cellStyle name="SAPHierarchyCell0" xfId="22"/>
    <cellStyle name="SAPDataCell" xfId="23"/>
    <cellStyle name="SAPMemberTotalCell" xfId="24"/>
    <cellStyle name="SAPDataTotalCell" xfId="25"/>
    <cellStyle name="SAPHierarchyCell3" xfId="26"/>
    <cellStyle name="SAPHierarchyCell2" xfId="27"/>
    <cellStyle name="_x0013_" xfId="28"/>
    <cellStyle name="Normal 2" xfId="2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5" Type="http://schemas.openxmlformats.org/officeDocument/2006/relationships/worksheet" Target="worksheets/sheet5.xml" /><Relationship Id="rId7" Type="http://schemas.openxmlformats.org/officeDocument/2006/relationships/worksheet" Target="worksheets/sheet7.xml" /><Relationship Id="rId9" Type="http://schemas.openxmlformats.org/officeDocument/2006/relationships/worksheet" Target="worksheets/sheet9.xml" /><Relationship Id="rId2" Type="http://schemas.openxmlformats.org/officeDocument/2006/relationships/worksheet" Target="worksheets/sheet2.xml" /><Relationship Id="rId14" Type="http://schemas.openxmlformats.org/officeDocument/2006/relationships/worksheet" Target="worksheets/sheet14.xml" /><Relationship Id="rId15" Type="http://schemas.openxmlformats.org/officeDocument/2006/relationships/styles" Target="styles.xml" /><Relationship Id="rId16" Type="http://schemas.openxmlformats.org/officeDocument/2006/relationships/sharedStrings" Target="sharedStrings.xml" /><Relationship Id="rId17" Type="http://schemas.openxmlformats.org/officeDocument/2006/relationships/theme" Target="theme/theme1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" Type="http://schemas.openxmlformats.org/officeDocument/2006/relationships/worksheet" Target="worksheets/sheet1.xml" /><Relationship Id="rId4" Type="http://schemas.openxmlformats.org/officeDocument/2006/relationships/worksheet" Target="worksheets/sheet4.xml" /><Relationship Id="rId6" Type="http://schemas.openxmlformats.org/officeDocument/2006/relationships/worksheet" Target="worksheets/sheet6.xml" /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19</xdr:col>
      <xdr:colOff>38100</xdr:colOff>
      <xdr:row>43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76250"/>
          <a:ext cx="11734800" cy="7848600"/>
        </a:xfrm>
        <a:prstGeom prst="rect"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18</xdr:col>
      <xdr:colOff>365124</xdr:colOff>
      <xdr:row>38</xdr:row>
      <xdr:rowOff>9524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0"/>
          <a:ext cx="11563350" cy="6867525"/>
        </a:xfrm>
        <a:prstGeom prst="rect"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3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14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87"/>
  <sheetViews>
    <sheetView workbookViewId="0" topLeftCell="A1">
      <pane ySplit="3" topLeftCell="A61" activePane="bottomLeft" state="frozen"/>
      <selection pane="topLeft" activeCell="A1" sqref="A1"/>
      <selection pane="bottomLeft" activeCell="B9" sqref="B9"/>
    </sheetView>
  </sheetViews>
  <sheetFormatPr defaultColWidth="9.1796875" defaultRowHeight="15"/>
  <cols>
    <col min="1" max="1" width="3.71428571428571" style="4" customWidth="1"/>
    <col min="2" max="2" width="39.8571428571429" style="4" customWidth="1"/>
    <col min="3" max="12" width="10.7142857142857" style="6" customWidth="1"/>
    <col min="13" max="13" width="13.5714285714286" style="6" bestFit="1" customWidth="1"/>
    <col min="14" max="14" width="10.8571428571429" style="6" bestFit="1" customWidth="1"/>
    <col min="15" max="16384" width="9.14285714285714" style="4"/>
  </cols>
  <sheetData>
    <row r="1" spans="2:10" ht="30" customHeight="1">
      <c r="B1" s="40" t="s">
        <v>10</v>
      </c>
      <c r="J1" s="356" t="s">
        <v>275</v>
      </c>
    </row>
    <row r="2" spans="2:14" ht="15.75" customHeight="1" thickBot="1">
      <c r="B2" s="31"/>
      <c r="C2" s="11" t="s">
        <v>11</v>
      </c>
      <c r="D2" s="12"/>
      <c r="E2" s="12"/>
      <c r="F2" s="41"/>
      <c r="G2" s="41"/>
      <c r="H2" s="41"/>
      <c r="I2" s="41"/>
      <c r="J2" s="41"/>
      <c r="K2" s="41"/>
      <c r="L2" s="41"/>
      <c r="M2" s="41"/>
      <c r="N2" s="41"/>
    </row>
    <row r="3" spans="1:14" s="5" customFormat="1" ht="56.25" customHeight="1">
      <c r="A3" s="8"/>
      <c r="B3" s="13" t="s">
        <v>15</v>
      </c>
      <c r="C3" s="14">
        <v>2020</v>
      </c>
      <c r="D3" s="14">
        <v>2021</v>
      </c>
      <c r="E3" s="14">
        <v>2022</v>
      </c>
      <c r="F3" s="14">
        <v>2023</v>
      </c>
      <c r="G3" s="14">
        <v>2024</v>
      </c>
      <c r="H3" s="14">
        <v>2025</v>
      </c>
      <c r="I3" s="14">
        <v>2026</v>
      </c>
      <c r="J3" s="14">
        <v>2027</v>
      </c>
      <c r="K3" s="14">
        <v>2028</v>
      </c>
      <c r="L3" s="14">
        <v>2029</v>
      </c>
      <c r="M3" s="15" t="s">
        <v>7</v>
      </c>
      <c r="N3" s="15" t="s">
        <v>32</v>
      </c>
    </row>
    <row r="4" spans="1:14" s="5" customFormat="1" ht="21">
      <c r="A4" s="8"/>
      <c r="B4" s="51" t="s">
        <v>197</v>
      </c>
      <c r="M4" s="9"/>
      <c r="N4" s="16"/>
    </row>
    <row r="5" spans="1:14" s="5" customFormat="1" ht="15.75" customHeight="1">
      <c r="A5" s="8"/>
      <c r="B5" s="42" t="s">
        <v>8</v>
      </c>
      <c r="C5" s="43">
        <f>ROUND(((('PD Full Details'!C7)/(1000000))),2)</f>
        <v>0.16</v>
      </c>
      <c r="D5" s="43">
        <f>ROUND(((('PD Full Details'!E7)/(1000000))),2)</f>
        <v>0.16</v>
      </c>
      <c r="E5" s="43">
        <f>ROUND(((('PD Full Details'!G7)/(1000000))),2)</f>
        <v>0.16</v>
      </c>
      <c r="F5" s="43">
        <f>ROUND(((('PD Full Details'!I7)/(1000000))),2)</f>
        <v>0.16</v>
      </c>
      <c r="G5" s="43">
        <f>ROUND(((('PD Full Details'!K7)/(1000000))),2)</f>
        <v>0.16</v>
      </c>
      <c r="H5" s="43">
        <f>ROUND(((('PD Full Details'!M7)/(1000000))),2)</f>
        <v>0.16</v>
      </c>
      <c r="I5" s="43">
        <f>ROUND(((('PD Full Details'!O7)/(1000000))),2)</f>
        <v>0.16</v>
      </c>
      <c r="J5" s="43">
        <f>ROUND(((('PD Full Details'!Q7)/(1000000))),2)</f>
        <v>0.16</v>
      </c>
      <c r="K5" s="43">
        <f>ROUND(((('PD Full Details'!S7)/(1000000))),2)</f>
        <v>0.16</v>
      </c>
      <c r="L5" s="43">
        <f>ROUND(((('PD Full Details'!U7)/(1000000))),2)</f>
        <v>0.16</v>
      </c>
      <c r="M5" s="43">
        <f>SUM(C5,D5,E5,F5,G5,H5,I5,J5,K5,L5)</f>
        <v>1.60</v>
      </c>
      <c r="N5" s="44">
        <f>AVERAGE(C5:L5)</f>
        <v>0.15999999999999998</v>
      </c>
    </row>
    <row r="6" spans="2:14" ht="15.5">
      <c r="B6" s="45" t="s">
        <v>9</v>
      </c>
      <c r="C6" s="46">
        <f>ROUND(((('PD Full Details'!B7)/(1000000))),2)</f>
        <v>0.30</v>
      </c>
      <c r="D6" s="46">
        <f>ROUND(((('PD Full Details'!D7)/(1000000))),2)</f>
        <v>0.30</v>
      </c>
      <c r="E6" s="46">
        <f>ROUND(((('PD Full Details'!F7)/(1000000))),2)</f>
        <v>0.30</v>
      </c>
      <c r="F6" s="46">
        <f>ROUND(((('PD Full Details'!H7)/(1000000))),2)</f>
        <v>0.30</v>
      </c>
      <c r="G6" s="46">
        <f>ROUND(((('PD Full Details'!J7)/(1000000))),2)</f>
        <v>0.30</v>
      </c>
      <c r="H6" s="46">
        <f>ROUND(((('PD Full Details'!L7)/(1000000))),2)</f>
        <v>0.30</v>
      </c>
      <c r="I6" s="46">
        <f>ROUND(((('PD Full Details'!N7)/(1000000))),2)</f>
        <v>0.30</v>
      </c>
      <c r="J6" s="46">
        <f>ROUND(((('PD Full Details'!P7)/(1000000))),2)</f>
        <v>0.30</v>
      </c>
      <c r="K6" s="46">
        <f>ROUND(((('PD Full Details'!R7)/(1000000))),2)</f>
        <v>0.30</v>
      </c>
      <c r="L6" s="46">
        <f>ROUND(((('PD Full Details'!T7)/(1000000))),2)</f>
        <v>0.30</v>
      </c>
      <c r="M6" s="46">
        <f>SUM(C6,D6,E6,F6,G6,H6,I6,J6,K6,L6)</f>
        <v>2.9999999999999996</v>
      </c>
      <c r="N6" s="47">
        <f>AVERAGE(C6:L6)</f>
        <v>0.29999999999999993</v>
      </c>
    </row>
    <row r="7" spans="1:14" ht="20.15" customHeight="1">
      <c r="A7" s="8"/>
      <c r="B7" s="48" t="s">
        <v>16</v>
      </c>
      <c r="C7" s="74">
        <f t="shared" si="0" ref="C7:L7">SUM(C5,C6)</f>
        <v>0.45999999999999996</v>
      </c>
      <c r="D7" s="74">
        <f t="shared" si="0"/>
        <v>0.45999999999999996</v>
      </c>
      <c r="E7" s="74">
        <f t="shared" si="0"/>
        <v>0.45999999999999996</v>
      </c>
      <c r="F7" s="74">
        <f t="shared" si="0"/>
        <v>0.45999999999999996</v>
      </c>
      <c r="G7" s="74">
        <f t="shared" si="0"/>
        <v>0.45999999999999996</v>
      </c>
      <c r="H7" s="74">
        <f t="shared" si="0"/>
        <v>0.45999999999999996</v>
      </c>
      <c r="I7" s="74">
        <f t="shared" si="0"/>
        <v>0.45999999999999996</v>
      </c>
      <c r="J7" s="74">
        <f t="shared" si="0"/>
        <v>0.45999999999999996</v>
      </c>
      <c r="K7" s="74">
        <f t="shared" si="0"/>
        <v>0.45999999999999996</v>
      </c>
      <c r="L7" s="74">
        <f t="shared" si="0"/>
        <v>0.45999999999999996</v>
      </c>
      <c r="M7" s="74">
        <f t="shared" si="1" ref="M7:N7">SUM(M5,M6)</f>
        <v>4.5999999999999996</v>
      </c>
      <c r="N7" s="75">
        <f t="shared" si="1"/>
        <v>0.45999999999999991</v>
      </c>
    </row>
    <row r="8" spans="1:14" s="5" customFormat="1" ht="21">
      <c r="A8" s="8"/>
      <c r="B8" s="51" t="s">
        <v>190</v>
      </c>
      <c r="M8" s="9"/>
      <c r="N8" s="16"/>
    </row>
    <row r="9" spans="1:14" s="5" customFormat="1" ht="15.75" customHeight="1">
      <c r="A9" s="8"/>
      <c r="B9" s="42" t="s">
        <v>8</v>
      </c>
      <c r="C9" s="43">
        <f>ROUND(((('PD Full Details'!C11)/(1000000))),2)</f>
        <v>0.77</v>
      </c>
      <c r="D9" s="43">
        <f>ROUND(((('PD Full Details'!E11)/(1000000))),2)</f>
        <v>0.82</v>
      </c>
      <c r="E9" s="43">
        <f>ROUND(((('PD Full Details'!G11)/(1000000))),2)</f>
        <v>0.82</v>
      </c>
      <c r="F9" s="43">
        <f>ROUND(((('PD Full Details'!I11)/(1000000))),2)</f>
        <v>0.82</v>
      </c>
      <c r="G9" s="43">
        <f>ROUND(((('PD Full Details'!K11)/(1000000))),2)</f>
        <v>0.82</v>
      </c>
      <c r="H9" s="43">
        <f>ROUND(((('PD Full Details'!M11)/(1000000))),2)</f>
        <v>0.82</v>
      </c>
      <c r="I9" s="43">
        <f>ROUND(((('PD Full Details'!O11)/(1000000))),2)</f>
        <v>0.82</v>
      </c>
      <c r="J9" s="43">
        <f>ROUND(((('PD Full Details'!Q11)/(1000000))),2)</f>
        <v>0.82</v>
      </c>
      <c r="K9" s="43">
        <f>ROUND(((('PD Full Details'!S11)/(1000000))),2)</f>
        <v>0.82</v>
      </c>
      <c r="L9" s="43">
        <f>ROUND(((('PD Full Details'!U11)/(1000000))),2)</f>
        <v>0.82</v>
      </c>
      <c r="M9" s="43">
        <f>SUM(C9,D9,E9,F9,G9,H9,I9,J9,K9,L9)</f>
        <v>8.15</v>
      </c>
      <c r="N9" s="44">
        <f>AVERAGE(C9:L9)</f>
        <v>0.815</v>
      </c>
    </row>
    <row r="10" spans="2:14" ht="15.5">
      <c r="B10" s="45" t="s">
        <v>9</v>
      </c>
      <c r="C10" s="46">
        <f>ROUND(((('PD Full Details'!B11)/(1000000))),2)</f>
        <v>2.2000000000000002</v>
      </c>
      <c r="D10" s="46">
        <f>ROUND(((('PD Full Details'!D11)/(1000000))),2)</f>
        <v>2.50</v>
      </c>
      <c r="E10" s="46">
        <f>ROUND(((('PD Full Details'!F11)/(1000000))),2)</f>
        <v>2.50</v>
      </c>
      <c r="F10" s="46">
        <f>ROUND(((('PD Full Details'!H11)/(1000000))),2)</f>
        <v>2.50</v>
      </c>
      <c r="G10" s="46">
        <f>ROUND(((('PD Full Details'!J11)/(1000000))),2)</f>
        <v>2.50</v>
      </c>
      <c r="H10" s="46">
        <f>ROUND(((('PD Full Details'!L11)/(1000000))),2)</f>
        <v>2.50</v>
      </c>
      <c r="I10" s="46">
        <f>ROUND(((('PD Full Details'!N11)/(1000000))),2)</f>
        <v>2.50</v>
      </c>
      <c r="J10" s="46">
        <f>ROUND(((('PD Full Details'!P11)/(1000000))),2)</f>
        <v>2.50</v>
      </c>
      <c r="K10" s="46">
        <f>ROUND(((('PD Full Details'!R11)/(1000000))),2)</f>
        <v>2.50</v>
      </c>
      <c r="L10" s="46">
        <f>ROUND(((('PD Full Details'!T11)/(1000000))),2)</f>
        <v>2.50</v>
      </c>
      <c r="M10" s="46">
        <f>SUM(C10,D10,E10,F10,G10,H10,I10,J10,K10,L10)</f>
        <v>24.70</v>
      </c>
      <c r="N10" s="47">
        <f>AVERAGE(C10:L10)</f>
        <v>2.4699999999999998</v>
      </c>
    </row>
    <row r="11" spans="1:14" ht="20.15" customHeight="1">
      <c r="A11" s="8"/>
      <c r="B11" s="48" t="s">
        <v>16</v>
      </c>
      <c r="C11" s="74">
        <f t="shared" si="2" ref="C11">SUM(C9,C10)</f>
        <v>2.97</v>
      </c>
      <c r="D11" s="74">
        <f t="shared" si="3" ref="D11">SUM(D9,D10)</f>
        <v>3.32</v>
      </c>
      <c r="E11" s="74">
        <f t="shared" si="4" ref="E11">SUM(E9,E10)</f>
        <v>3.32</v>
      </c>
      <c r="F11" s="74">
        <f t="shared" si="5" ref="F11">SUM(F9,F10)</f>
        <v>3.32</v>
      </c>
      <c r="G11" s="74">
        <f t="shared" si="6" ref="G11">SUM(G9,G10)</f>
        <v>3.32</v>
      </c>
      <c r="H11" s="74">
        <f t="shared" si="7" ref="H11">SUM(H9,H10)</f>
        <v>3.32</v>
      </c>
      <c r="I11" s="74">
        <f t="shared" si="8" ref="I11">SUM(I9,I10)</f>
        <v>3.32</v>
      </c>
      <c r="J11" s="74">
        <f t="shared" si="9" ref="J11">SUM(J9,J10)</f>
        <v>3.32</v>
      </c>
      <c r="K11" s="74">
        <f t="shared" si="10" ref="K11">SUM(K9,K10)</f>
        <v>3.32</v>
      </c>
      <c r="L11" s="74">
        <f t="shared" si="11" ref="L11">SUM(L9,L10)</f>
        <v>3.32</v>
      </c>
      <c r="M11" s="74">
        <f t="shared" si="12" ref="M11:N11">SUM(M9,M10)</f>
        <v>32.85</v>
      </c>
      <c r="N11" s="75">
        <f t="shared" si="12"/>
        <v>3.2849999999999997</v>
      </c>
    </row>
    <row r="12" spans="1:14" s="5" customFormat="1" ht="21">
      <c r="A12" s="8"/>
      <c r="B12" s="51" t="s">
        <v>191</v>
      </c>
      <c r="M12" s="9"/>
      <c r="N12" s="16"/>
    </row>
    <row r="13" spans="1:14" s="5" customFormat="1" ht="15.75" customHeight="1">
      <c r="A13" s="8"/>
      <c r="B13" s="42" t="s">
        <v>8</v>
      </c>
      <c r="C13" s="43">
        <f>ROUND(((('PD Full Details'!C15)/(1000000))),2)</f>
        <v>0.25</v>
      </c>
      <c r="D13" s="43">
        <f>ROUND(((('PD Full Details'!E15)/(1000000))),2)</f>
        <v>0.25</v>
      </c>
      <c r="E13" s="43">
        <f>ROUND(((('PD Full Details'!G15)/(1000000))),2)</f>
        <v>0.25</v>
      </c>
      <c r="F13" s="43">
        <f>ROUND(((('PD Full Details'!I15)/(1000000))),2)</f>
        <v>0.25</v>
      </c>
      <c r="G13" s="43">
        <f>ROUND(((('PD Full Details'!K15)/(1000000))),2)</f>
        <v>0.25</v>
      </c>
      <c r="H13" s="43">
        <f>ROUND(((('PD Full Details'!M15)/(1000000))),2)</f>
        <v>0.25</v>
      </c>
      <c r="I13" s="43">
        <f>ROUND(((('PD Full Details'!O15)/(1000000))),2)</f>
        <v>0.25</v>
      </c>
      <c r="J13" s="43">
        <f>ROUND(((('PD Full Details'!Q15)/(1000000))),2)</f>
        <v>0.25</v>
      </c>
      <c r="K13" s="43">
        <f>ROUND(((('PD Full Details'!S15)/(1000000))),2)</f>
        <v>0.25</v>
      </c>
      <c r="L13" s="43">
        <f>ROUND(((('PD Full Details'!U15)/(1000000))),2)</f>
        <v>0.25</v>
      </c>
      <c r="M13" s="43">
        <f>SUM(C13,D13,E13,F13,G13,H13,I13,J13,K13,L13)</f>
        <v>2.50</v>
      </c>
      <c r="N13" s="44">
        <f>AVERAGE(C13:L13)</f>
        <v>0.25</v>
      </c>
    </row>
    <row r="14" spans="2:14" ht="15.5">
      <c r="B14" s="45" t="s">
        <v>9</v>
      </c>
      <c r="C14" s="46">
        <f>ROUND(((('PD Full Details'!B15)/(1000000))),2)</f>
        <v>3</v>
      </c>
      <c r="D14" s="46">
        <f>ROUND(((('PD Full Details'!D15)/(1000000))),2)</f>
        <v>3</v>
      </c>
      <c r="E14" s="46">
        <f>ROUND(((('PD Full Details'!F15)/(1000000))),2)</f>
        <v>3</v>
      </c>
      <c r="F14" s="46">
        <f>ROUND(((('PD Full Details'!H15)/(1000000))),2)</f>
        <v>3</v>
      </c>
      <c r="G14" s="46">
        <f>ROUND(((('PD Full Details'!J15)/(1000000))),2)</f>
        <v>3</v>
      </c>
      <c r="H14" s="46">
        <f>ROUND(((('PD Full Details'!L15)/(1000000))),2)</f>
        <v>3</v>
      </c>
      <c r="I14" s="46">
        <f>ROUND(((('PD Full Details'!N15)/(1000000))),2)</f>
        <v>3</v>
      </c>
      <c r="J14" s="46">
        <f>ROUND(((('PD Full Details'!P15)/(1000000))),2)</f>
        <v>3</v>
      </c>
      <c r="K14" s="46">
        <f>ROUND(((('PD Full Details'!R15)/(1000000))),2)</f>
        <v>3</v>
      </c>
      <c r="L14" s="46">
        <f>ROUND(((('PD Full Details'!T15)/(1000000))),2)</f>
        <v>3</v>
      </c>
      <c r="M14" s="46">
        <f>SUM(C14,D14,E14,F14,G14,H14,I14,J14,K14,L14)</f>
        <v>30</v>
      </c>
      <c r="N14" s="47">
        <f>AVERAGE(C14:L14)</f>
        <v>3</v>
      </c>
    </row>
    <row r="15" spans="1:14" ht="20.15" customHeight="1">
      <c r="A15" s="8"/>
      <c r="B15" s="48" t="s">
        <v>16</v>
      </c>
      <c r="C15" s="74">
        <f t="shared" si="13" ref="C15">SUM(C13,C14)</f>
        <v>3.25</v>
      </c>
      <c r="D15" s="74">
        <f t="shared" si="14" ref="D15">SUM(D13,D14)</f>
        <v>3.25</v>
      </c>
      <c r="E15" s="74">
        <f t="shared" si="15" ref="E15">SUM(E13,E14)</f>
        <v>3.25</v>
      </c>
      <c r="F15" s="74">
        <f t="shared" si="16" ref="F15">SUM(F13,F14)</f>
        <v>3.25</v>
      </c>
      <c r="G15" s="74">
        <f t="shared" si="17" ref="G15">SUM(G13,G14)</f>
        <v>3.25</v>
      </c>
      <c r="H15" s="74">
        <f t="shared" si="18" ref="H15">SUM(H13,H14)</f>
        <v>3.25</v>
      </c>
      <c r="I15" s="74">
        <f t="shared" si="19" ref="I15">SUM(I13,I14)</f>
        <v>3.25</v>
      </c>
      <c r="J15" s="74">
        <f t="shared" si="20" ref="J15">SUM(J13,J14)</f>
        <v>3.25</v>
      </c>
      <c r="K15" s="74">
        <f t="shared" si="21" ref="K15">SUM(K13,K14)</f>
        <v>3.25</v>
      </c>
      <c r="L15" s="74">
        <f t="shared" si="22" ref="L15">SUM(L13,L14)</f>
        <v>3.25</v>
      </c>
      <c r="M15" s="74">
        <f t="shared" si="23" ref="M15:N15">SUM(M13,M14)</f>
        <v>32.50</v>
      </c>
      <c r="N15" s="75">
        <f t="shared" si="23"/>
        <v>3.25</v>
      </c>
    </row>
    <row r="16" spans="1:14" s="5" customFormat="1" ht="21">
      <c r="A16" s="8"/>
      <c r="B16" s="51" t="s">
        <v>198</v>
      </c>
      <c r="M16" s="9"/>
      <c r="N16" s="16"/>
    </row>
    <row r="17" spans="1:14" s="5" customFormat="1" ht="15.75" customHeight="1">
      <c r="A17" s="8"/>
      <c r="B17" s="42" t="s">
        <v>8</v>
      </c>
      <c r="C17" s="43">
        <f>ROUND(((('PD Full Details'!C19)/(1000000))),2)</f>
        <v>0.10</v>
      </c>
      <c r="D17" s="43">
        <f>ROUND(((('PD Full Details'!E19)/(1000000))),2)</f>
        <v>0.10</v>
      </c>
      <c r="E17" s="43">
        <f>ROUND(((('PD Full Details'!G19)/(1000000))),2)</f>
        <v>0.10</v>
      </c>
      <c r="F17" s="43">
        <f>ROUND(((('PD Full Details'!I19)/(1000000))),2)</f>
        <v>0.10</v>
      </c>
      <c r="G17" s="43">
        <f>ROUND(((('PD Full Details'!K19)/(1000000))),2)</f>
        <v>0.10</v>
      </c>
      <c r="H17" s="43">
        <f>ROUND(((('PD Full Details'!M19)/(1000000))),2)</f>
        <v>0.10</v>
      </c>
      <c r="I17" s="43">
        <f>ROUND(((('PD Full Details'!O19)/(1000000))),2)</f>
        <v>0.10</v>
      </c>
      <c r="J17" s="43">
        <f>ROUND(((('PD Full Details'!Q19)/(1000000))),2)</f>
        <v>0.10</v>
      </c>
      <c r="K17" s="43">
        <f>ROUND(((('PD Full Details'!S19)/(1000000))),2)</f>
        <v>0.10</v>
      </c>
      <c r="L17" s="43">
        <f>ROUND(((('PD Full Details'!U19)/(1000000))),2)</f>
        <v>0.10</v>
      </c>
      <c r="M17" s="43">
        <f>SUM(C17,D17,E17,F17,G17,H17,I17,J17,K17,L17)</f>
        <v>0.99999999999999989</v>
      </c>
      <c r="N17" s="44">
        <f>AVERAGE(C17:L17)</f>
        <v>0.10</v>
      </c>
    </row>
    <row r="18" spans="2:14" ht="15.5">
      <c r="B18" s="45" t="s">
        <v>9</v>
      </c>
      <c r="C18" s="46">
        <f>ROUND(((('PD Full Details'!B19)/(1000000))),2)</f>
        <v>0.15</v>
      </c>
      <c r="D18" s="46">
        <f>ROUND(((('PD Full Details'!D19)/(1000000))),2)</f>
        <v>0.15</v>
      </c>
      <c r="E18" s="46">
        <f>ROUND(((('PD Full Details'!F19)/(1000000))),2)</f>
        <v>0.15</v>
      </c>
      <c r="F18" s="46">
        <f>ROUND(((('PD Full Details'!H19)/(1000000))),2)</f>
        <v>0.15</v>
      </c>
      <c r="G18" s="46">
        <f>ROUND(((('PD Full Details'!J19)/(1000000))),2)</f>
        <v>0.15</v>
      </c>
      <c r="H18" s="46">
        <f>ROUND(((('PD Full Details'!L19)/(1000000))),2)</f>
        <v>0.15</v>
      </c>
      <c r="I18" s="46">
        <f>ROUND(((('PD Full Details'!N19)/(1000000))),2)</f>
        <v>0.15</v>
      </c>
      <c r="J18" s="46">
        <f>ROUND(((('PD Full Details'!P19)/(1000000))),2)</f>
        <v>0.15</v>
      </c>
      <c r="K18" s="46">
        <f>ROUND(((('PD Full Details'!R19)/(1000000))),2)</f>
        <v>0.15</v>
      </c>
      <c r="L18" s="46">
        <f>ROUND(((('PD Full Details'!T19)/(1000000))),2)</f>
        <v>0.15</v>
      </c>
      <c r="M18" s="46">
        <f>SUM(C18,D18,E18,F18,G18,H18,I18,J18,K18,L18)</f>
        <v>1.4999999999999998</v>
      </c>
      <c r="N18" s="47">
        <f>AVERAGE(C18:L18)</f>
        <v>0.14999999999999997</v>
      </c>
    </row>
    <row r="19" spans="1:14" ht="20.15" customHeight="1">
      <c r="A19" s="8"/>
      <c r="B19" s="48" t="s">
        <v>16</v>
      </c>
      <c r="C19" s="74">
        <f t="shared" si="24" ref="C19">SUM(C17,C18)</f>
        <v>0.25</v>
      </c>
      <c r="D19" s="74">
        <f t="shared" si="25" ref="D19">SUM(D17,D18)</f>
        <v>0.25</v>
      </c>
      <c r="E19" s="74">
        <f t="shared" si="26" ref="E19">SUM(E17,E18)</f>
        <v>0.25</v>
      </c>
      <c r="F19" s="74">
        <f t="shared" si="27" ref="F19">SUM(F17,F18)</f>
        <v>0.25</v>
      </c>
      <c r="G19" s="74">
        <f t="shared" si="28" ref="G19">SUM(G17,G18)</f>
        <v>0.25</v>
      </c>
      <c r="H19" s="74">
        <f t="shared" si="29" ref="H19">SUM(H17,H18)</f>
        <v>0.25</v>
      </c>
      <c r="I19" s="74">
        <f t="shared" si="30" ref="I19">SUM(I17,I18)</f>
        <v>0.25</v>
      </c>
      <c r="J19" s="74">
        <f t="shared" si="31" ref="J19">SUM(J17,J18)</f>
        <v>0.25</v>
      </c>
      <c r="K19" s="74">
        <f t="shared" si="32" ref="K19">SUM(K17,K18)</f>
        <v>0.25</v>
      </c>
      <c r="L19" s="74">
        <f t="shared" si="33" ref="L19">SUM(L17,L18)</f>
        <v>0.25</v>
      </c>
      <c r="M19" s="74">
        <f t="shared" si="34" ref="M19:N19">SUM(M17,M18)</f>
        <v>2.4999999999999996</v>
      </c>
      <c r="N19" s="75">
        <f t="shared" si="34"/>
        <v>0.24999999999999994</v>
      </c>
    </row>
    <row r="20" spans="1:14" s="5" customFormat="1" ht="21">
      <c r="A20" s="8"/>
      <c r="B20" s="51" t="s">
        <v>192</v>
      </c>
      <c r="M20" s="9"/>
      <c r="N20" s="16"/>
    </row>
    <row r="21" spans="1:14" s="5" customFormat="1" ht="15.75" customHeight="1">
      <c r="A21" s="8"/>
      <c r="B21" s="42" t="s">
        <v>8</v>
      </c>
      <c r="C21" s="43">
        <f>ROUND(((('PD Full Details'!C23)/(1000000))),2)</f>
        <v>0.57999999999999996</v>
      </c>
      <c r="D21" s="43">
        <f>ROUND(((('PD Full Details'!E23)/(1000000))),2)</f>
        <v>2.13</v>
      </c>
      <c r="E21" s="43">
        <f>ROUND(((('PD Full Details'!G23)/(1000000))),2)</f>
        <v>2.13</v>
      </c>
      <c r="F21" s="43">
        <f>ROUND(((('PD Full Details'!I23)/(1000000))),2)</f>
        <v>2.13</v>
      </c>
      <c r="G21" s="43">
        <f>ROUND(((('PD Full Details'!K23)/(1000000))),2)</f>
        <v>2.13</v>
      </c>
      <c r="H21" s="43">
        <f>ROUND(((('PD Full Details'!M23)/(1000000))),2)</f>
        <v>2.13</v>
      </c>
      <c r="I21" s="43">
        <f>ROUND(((('PD Full Details'!O23)/(1000000))),2)</f>
        <v>2.13</v>
      </c>
      <c r="J21" s="43">
        <f>ROUND(((('PD Full Details'!Q23)/(1000000))),2)</f>
        <v>2.13</v>
      </c>
      <c r="K21" s="43">
        <f>ROUND(((('PD Full Details'!S23)/(1000000))),2)</f>
        <v>2.13</v>
      </c>
      <c r="L21" s="43">
        <f>ROUND(((('PD Full Details'!U23)/(1000000))),2)</f>
        <v>2.13</v>
      </c>
      <c r="M21" s="43">
        <f>SUM(C21,D21,E21,F21,G21,H21,I21,J21,K21,L21)</f>
        <v>19.749999999999996</v>
      </c>
      <c r="N21" s="44">
        <f>AVERAGE(C21:L21)</f>
        <v>1.9749999999999996</v>
      </c>
    </row>
    <row r="22" spans="2:14" ht="15.5">
      <c r="B22" s="45" t="s">
        <v>9</v>
      </c>
      <c r="C22" s="46">
        <f>ROUND(((('PD Full Details'!B23)/(1000000))),2)</f>
        <v>6.50</v>
      </c>
      <c r="D22" s="46">
        <f>ROUND(((('PD Full Details'!D23)/(1000000))),2)</f>
        <v>26.40</v>
      </c>
      <c r="E22" s="46">
        <f>ROUND(((('PD Full Details'!F23)/(1000000))),2)</f>
        <v>26.40</v>
      </c>
      <c r="F22" s="46">
        <f>ROUND(((('PD Full Details'!H23)/(1000000))),2)</f>
        <v>26.40</v>
      </c>
      <c r="G22" s="46">
        <f>ROUND(((('PD Full Details'!J23)/(1000000))),2)</f>
        <v>26.40</v>
      </c>
      <c r="H22" s="46">
        <f>ROUND(((('PD Full Details'!L23)/(1000000))),2)</f>
        <v>26.40</v>
      </c>
      <c r="I22" s="46">
        <f>ROUND(((('PD Full Details'!N23)/(1000000))),2)</f>
        <v>26.40</v>
      </c>
      <c r="J22" s="46">
        <f>ROUND(((('PD Full Details'!P23)/(1000000))),2)</f>
        <v>26.40</v>
      </c>
      <c r="K22" s="46">
        <f>ROUND(((('PD Full Details'!R23)/(1000000))),2)</f>
        <v>26.40</v>
      </c>
      <c r="L22" s="46">
        <f>ROUND(((('PD Full Details'!T23)/(1000000))),2)</f>
        <v>26.40</v>
      </c>
      <c r="M22" s="46">
        <f>SUM(C22,D22,E22,F22,G22,H22,I22,J22,K22,L22)</f>
        <v>244.10000000000002</v>
      </c>
      <c r="N22" s="47">
        <f>AVERAGE(C22:L22)</f>
        <v>24.410000000000004</v>
      </c>
    </row>
    <row r="23" spans="1:14" ht="20.15" customHeight="1">
      <c r="A23" s="8"/>
      <c r="B23" s="48" t="s">
        <v>16</v>
      </c>
      <c r="C23" s="74">
        <f t="shared" si="35" ref="C23">SUM(C21,C22)</f>
        <v>7.08</v>
      </c>
      <c r="D23" s="74">
        <f t="shared" si="36" ref="D23">SUM(D21,D22)</f>
        <v>28.53</v>
      </c>
      <c r="E23" s="74">
        <f t="shared" si="37" ref="E23">SUM(E21,E22)</f>
        <v>28.53</v>
      </c>
      <c r="F23" s="74">
        <f t="shared" si="38" ref="F23">SUM(F21,F22)</f>
        <v>28.53</v>
      </c>
      <c r="G23" s="74">
        <f t="shared" si="39" ref="G23">SUM(G21,G22)</f>
        <v>28.53</v>
      </c>
      <c r="H23" s="74">
        <f t="shared" si="40" ref="H23">SUM(H21,H22)</f>
        <v>28.53</v>
      </c>
      <c r="I23" s="74">
        <f t="shared" si="41" ref="I23">SUM(I21,I22)</f>
        <v>28.53</v>
      </c>
      <c r="J23" s="74">
        <f t="shared" si="42" ref="J23">SUM(J21,J22)</f>
        <v>28.53</v>
      </c>
      <c r="K23" s="74">
        <f t="shared" si="43" ref="K23">SUM(K21,K22)</f>
        <v>28.53</v>
      </c>
      <c r="L23" s="74">
        <f t="shared" si="44" ref="L23">SUM(L21,L22)</f>
        <v>28.53</v>
      </c>
      <c r="M23" s="74">
        <f t="shared" si="45" ref="M23:N23">SUM(M21,M22)</f>
        <v>263.85000000000002</v>
      </c>
      <c r="N23" s="75">
        <f t="shared" si="45"/>
        <v>26.385000000000005</v>
      </c>
    </row>
    <row r="24" spans="1:14" s="5" customFormat="1" ht="21">
      <c r="A24" s="8"/>
      <c r="B24" s="51" t="s">
        <v>199</v>
      </c>
      <c r="M24" s="9"/>
      <c r="N24" s="16"/>
    </row>
    <row r="25" spans="1:14" s="5" customFormat="1" ht="15.75" customHeight="1">
      <c r="A25" s="8"/>
      <c r="B25" s="42" t="s">
        <v>8</v>
      </c>
      <c r="C25" s="43">
        <f>ROUND(((('PD Full Details'!C27)/(1000000))),2)</f>
        <v>0.20</v>
      </c>
      <c r="D25" s="43">
        <f>ROUND(((('PD Full Details'!E27)/(1000000))),2)</f>
        <v>0.38</v>
      </c>
      <c r="E25" s="43">
        <f>ROUND(((('PD Full Details'!G27)/(1000000))),2)</f>
        <v>0.30</v>
      </c>
      <c r="F25" s="43">
        <f>ROUND(((('PD Full Details'!I27)/(1000000))),2)</f>
        <v>0.16</v>
      </c>
      <c r="G25" s="43">
        <f>ROUND(((('PD Full Details'!K27)/(1000000))),2)</f>
        <v>0.16</v>
      </c>
      <c r="H25" s="43">
        <f>ROUND(((('PD Full Details'!M27)/(1000000))),2)</f>
        <v>0.16</v>
      </c>
      <c r="I25" s="43">
        <f>ROUND(((('PD Full Details'!O27)/(1000000))),2)</f>
        <v>0.16</v>
      </c>
      <c r="J25" s="43">
        <f>ROUND(((('PD Full Details'!Q27)/(1000000))),2)</f>
        <v>0.16</v>
      </c>
      <c r="K25" s="43">
        <f>ROUND(((('PD Full Details'!S27)/(1000000))),2)</f>
        <v>0.16</v>
      </c>
      <c r="L25" s="43">
        <f>ROUND(((('PD Full Details'!U27)/(1000000))),2)</f>
        <v>0.16</v>
      </c>
      <c r="M25" s="43">
        <f>SUM(C25,D25,E25,F25,G25,H25,I25,J25,K25,L25)</f>
        <v>1.9999999999999996</v>
      </c>
      <c r="N25" s="44">
        <f>AVERAGE(C25:L25)</f>
        <v>0.19999999999999996</v>
      </c>
    </row>
    <row r="26" spans="2:14" ht="15.5">
      <c r="B26" s="45" t="s">
        <v>9</v>
      </c>
      <c r="C26" s="46">
        <f>ROUND(((('PD Full Details'!B27)/(1000000))),2)</f>
        <v>5</v>
      </c>
      <c r="D26" s="46">
        <f>ROUND(((('PD Full Details'!D27)/(1000000))),2)</f>
        <v>9.50</v>
      </c>
      <c r="E26" s="46">
        <f>ROUND(((('PD Full Details'!F27)/(1000000))),2)</f>
        <v>7.60</v>
      </c>
      <c r="F26" s="46">
        <f>ROUND(((('PD Full Details'!H27)/(1000000))),2)</f>
        <v>3.90</v>
      </c>
      <c r="G26" s="46">
        <f>ROUND(((('PD Full Details'!J27)/(1000000))),2)</f>
        <v>3.90</v>
      </c>
      <c r="H26" s="46">
        <f>ROUND(((('PD Full Details'!L27)/(1000000))),2)</f>
        <v>3.90</v>
      </c>
      <c r="I26" s="46">
        <f>ROUND(((('PD Full Details'!N27)/(1000000))),2)</f>
        <v>3.90</v>
      </c>
      <c r="J26" s="46">
        <f>ROUND(((('PD Full Details'!P27)/(1000000))),2)</f>
        <v>3.90</v>
      </c>
      <c r="K26" s="46">
        <f>ROUND(((('PD Full Details'!R27)/(1000000))),2)</f>
        <v>3.90</v>
      </c>
      <c r="L26" s="46">
        <f>ROUND(((('PD Full Details'!T27)/(1000000))),2)</f>
        <v>3.90</v>
      </c>
      <c r="M26" s="46">
        <f>SUM(C26,D26,E26,F26,G26,H26,I26,J26,K26,L26)</f>
        <v>49.399999999999991</v>
      </c>
      <c r="N26" s="47">
        <f>AVERAGE(C26:L26)</f>
        <v>4.9399999999999995</v>
      </c>
    </row>
    <row r="27" spans="1:14" ht="20.15" customHeight="1">
      <c r="A27" s="8"/>
      <c r="B27" s="48" t="s">
        <v>16</v>
      </c>
      <c r="C27" s="74">
        <f t="shared" si="46" ref="C27">SUM(C25,C26)</f>
        <v>5.20</v>
      </c>
      <c r="D27" s="74">
        <f t="shared" si="47" ref="D27">SUM(D25,D26)</f>
        <v>9.8800000000000008</v>
      </c>
      <c r="E27" s="74">
        <f t="shared" si="48" ref="E27">SUM(E25,E26)</f>
        <v>7.90</v>
      </c>
      <c r="F27" s="74">
        <f t="shared" si="49" ref="F27">SUM(F25,F26)</f>
        <v>4.0599999999999996</v>
      </c>
      <c r="G27" s="74">
        <f t="shared" si="50" ref="G27">SUM(G25,G26)</f>
        <v>4.0599999999999996</v>
      </c>
      <c r="H27" s="74">
        <f t="shared" si="51" ref="H27">SUM(H25,H26)</f>
        <v>4.0599999999999996</v>
      </c>
      <c r="I27" s="74">
        <f t="shared" si="52" ref="I27">SUM(I25,I26)</f>
        <v>4.0599999999999996</v>
      </c>
      <c r="J27" s="74">
        <f t="shared" si="53" ref="J27">SUM(J25,J26)</f>
        <v>4.0599999999999996</v>
      </c>
      <c r="K27" s="74">
        <f t="shared" si="54" ref="K27">SUM(K25,K26)</f>
        <v>4.0599999999999996</v>
      </c>
      <c r="L27" s="74">
        <f t="shared" si="55" ref="L27">SUM(L25,L26)</f>
        <v>4.0599999999999996</v>
      </c>
      <c r="M27" s="74">
        <f t="shared" si="56" ref="M27:N27">SUM(M25,M26)</f>
        <v>51.399999999999991</v>
      </c>
      <c r="N27" s="75">
        <f t="shared" si="56"/>
        <v>5.14</v>
      </c>
    </row>
    <row r="28" spans="1:14" s="5" customFormat="1" ht="21">
      <c r="A28" s="8"/>
      <c r="B28" s="51" t="s">
        <v>193</v>
      </c>
      <c r="M28" s="9"/>
      <c r="N28" s="16"/>
    </row>
    <row r="29" spans="1:14" s="5" customFormat="1" ht="15.75" customHeight="1">
      <c r="A29" s="8"/>
      <c r="B29" s="42" t="s">
        <v>8</v>
      </c>
      <c r="C29" s="43">
        <f>ROUND(((('PD Full Details'!C31)/(1000000))),2)</f>
        <v>0</v>
      </c>
      <c r="D29" s="43">
        <f>ROUND(((('PD Full Details'!E31)/(1000000))),2)</f>
        <v>0.18</v>
      </c>
      <c r="E29" s="43">
        <f>ROUND(((('PD Full Details'!G31)/(1000000))),2)</f>
        <v>0.18</v>
      </c>
      <c r="F29" s="43">
        <f>ROUND(((('PD Full Details'!I31)/(1000000))),2)</f>
        <v>0.18</v>
      </c>
      <c r="G29" s="43">
        <f>ROUND(((('PD Full Details'!K31)/(1000000))),2)</f>
        <v>0.18</v>
      </c>
      <c r="H29" s="43">
        <f>ROUND(((('PD Full Details'!M31)/(1000000))),2)</f>
        <v>0.18</v>
      </c>
      <c r="I29" s="43">
        <f>ROUND(((('PD Full Details'!O31)/(1000000))),2)</f>
        <v>0.18</v>
      </c>
      <c r="J29" s="43">
        <f>ROUND(((('PD Full Details'!Q31)/(1000000))),2)</f>
        <v>0.18</v>
      </c>
      <c r="K29" s="43">
        <f>ROUND(((('PD Full Details'!S31)/(1000000))),2)</f>
        <v>0.18</v>
      </c>
      <c r="L29" s="43">
        <f>ROUND(((('PD Full Details'!U31)/(1000000))),2)</f>
        <v>0.18</v>
      </c>
      <c r="M29" s="43">
        <f>SUM(C29,D29,E29,F29,G29,H29,I29,J29,K29,L29)</f>
        <v>1.6199999999999997</v>
      </c>
      <c r="N29" s="44">
        <f>AVERAGE(C29:L29)</f>
        <v>0.16199999999999998</v>
      </c>
    </row>
    <row r="30" spans="2:14" ht="15.5">
      <c r="B30" s="45" t="s">
        <v>9</v>
      </c>
      <c r="C30" s="46">
        <f>ROUND(((('PD Full Details'!B31)/(1000000))),2)</f>
        <v>0</v>
      </c>
      <c r="D30" s="46">
        <f>ROUND(((('PD Full Details'!D31)/(1000000))),2)</f>
        <v>5</v>
      </c>
      <c r="E30" s="46">
        <f>ROUND(((('PD Full Details'!F31)/(1000000))),2)</f>
        <v>5</v>
      </c>
      <c r="F30" s="46">
        <f>ROUND(((('PD Full Details'!H31)/(1000000))),2)</f>
        <v>5</v>
      </c>
      <c r="G30" s="46">
        <f>ROUND(((('PD Full Details'!J31)/(1000000))),2)</f>
        <v>5</v>
      </c>
      <c r="H30" s="46">
        <f>ROUND(((('PD Full Details'!L31)/(1000000))),2)</f>
        <v>5</v>
      </c>
      <c r="I30" s="46">
        <f>ROUND(((('PD Full Details'!N31)/(1000000))),2)</f>
        <v>5</v>
      </c>
      <c r="J30" s="46">
        <f>ROUND(((('PD Full Details'!P31)/(1000000))),2)</f>
        <v>5</v>
      </c>
      <c r="K30" s="46">
        <f>ROUND(((('PD Full Details'!R31)/(1000000))),2)</f>
        <v>5</v>
      </c>
      <c r="L30" s="46">
        <f>ROUND(((('PD Full Details'!T31)/(1000000))),2)</f>
        <v>5</v>
      </c>
      <c r="M30" s="46">
        <f>SUM(C30,D30,E30,F30,G30,H30,I30,J30,K30,L30)</f>
        <v>45</v>
      </c>
      <c r="N30" s="47">
        <f>AVERAGE(C30:L30)</f>
        <v>4.50</v>
      </c>
    </row>
    <row r="31" spans="1:14" ht="20.15" customHeight="1">
      <c r="A31" s="8"/>
      <c r="B31" s="48" t="s">
        <v>16</v>
      </c>
      <c r="C31" s="74">
        <f t="shared" si="57" ref="C31">SUM(C29,C30)</f>
        <v>0</v>
      </c>
      <c r="D31" s="74">
        <f t="shared" si="58" ref="D31">SUM(D29,D30)</f>
        <v>5.18</v>
      </c>
      <c r="E31" s="74">
        <f t="shared" si="59" ref="E31">SUM(E29,E30)</f>
        <v>5.18</v>
      </c>
      <c r="F31" s="74">
        <f t="shared" si="60" ref="F31">SUM(F29,F30)</f>
        <v>5.18</v>
      </c>
      <c r="G31" s="74">
        <f t="shared" si="61" ref="G31">SUM(G29,G30)</f>
        <v>5.18</v>
      </c>
      <c r="H31" s="74">
        <f t="shared" si="62" ref="H31">SUM(H29,H30)</f>
        <v>5.18</v>
      </c>
      <c r="I31" s="74">
        <f t="shared" si="63" ref="I31">SUM(I29,I30)</f>
        <v>5.18</v>
      </c>
      <c r="J31" s="74">
        <f t="shared" si="64" ref="J31">SUM(J29,J30)</f>
        <v>5.18</v>
      </c>
      <c r="K31" s="74">
        <f t="shared" si="65" ref="K31">SUM(K29,K30)</f>
        <v>5.18</v>
      </c>
      <c r="L31" s="74">
        <f t="shared" si="66" ref="L31">SUM(L29,L30)</f>
        <v>5.18</v>
      </c>
      <c r="M31" s="74">
        <f t="shared" si="67" ref="M31:N31">SUM(M29,M30)</f>
        <v>46.62</v>
      </c>
      <c r="N31" s="75">
        <f t="shared" si="67"/>
        <v>4.6619999999999999</v>
      </c>
    </row>
    <row r="32" spans="1:14" s="5" customFormat="1" ht="21">
      <c r="A32" s="8"/>
      <c r="B32" s="51" t="s">
        <v>200</v>
      </c>
      <c r="M32" s="9"/>
      <c r="N32" s="16"/>
    </row>
    <row r="33" spans="1:14" s="5" customFormat="1" ht="15.75" customHeight="1">
      <c r="A33" s="8"/>
      <c r="B33" s="42" t="s">
        <v>8</v>
      </c>
      <c r="C33" s="43">
        <f>ROUND(((('PD Full Details'!C35)/(1000000))),2)</f>
        <v>0.070000000000000007</v>
      </c>
      <c r="D33" s="43">
        <f>ROUND(((('PD Full Details'!E35)/(1000000))),2)</f>
        <v>0.40</v>
      </c>
      <c r="E33" s="43">
        <f>ROUND(((('PD Full Details'!G35)/(1000000))),2)</f>
        <v>0.60</v>
      </c>
      <c r="F33" s="43">
        <f>ROUND(((('PD Full Details'!I35)/(1000000))),2)</f>
        <v>0.60</v>
      </c>
      <c r="G33" s="43">
        <f>ROUND(((('PD Full Details'!K35)/(1000000))),2)</f>
        <v>0.60</v>
      </c>
      <c r="H33" s="43">
        <f>ROUND(((('PD Full Details'!M35)/(1000000))),2)</f>
        <v>0.60</v>
      </c>
      <c r="I33" s="43">
        <f>ROUND(((('PD Full Details'!O35)/(1000000))),2)</f>
        <v>0.60</v>
      </c>
      <c r="J33" s="43">
        <f>ROUND(((('PD Full Details'!Q35)/(1000000))),2)</f>
        <v>0.60</v>
      </c>
      <c r="K33" s="43">
        <f>ROUND(((('PD Full Details'!S35)/(1000000))),2)</f>
        <v>0.60</v>
      </c>
      <c r="L33" s="43">
        <f>ROUND(((('PD Full Details'!U35)/(1000000))),2)</f>
        <v>0.60</v>
      </c>
      <c r="M33" s="43">
        <f>SUM(C33,D33,E33,F33,G33,H33,I33,J33,K33,L33)</f>
        <v>5.27</v>
      </c>
      <c r="N33" s="44">
        <f>AVERAGE(C33:L33)</f>
        <v>0.52699999999999991</v>
      </c>
    </row>
    <row r="34" spans="2:14" ht="15.5">
      <c r="B34" s="45" t="s">
        <v>9</v>
      </c>
      <c r="C34" s="46">
        <f>ROUND(((('PD Full Details'!B35)/(1000000))),2)</f>
        <v>3.50</v>
      </c>
      <c r="D34" s="46">
        <f>ROUND(((('PD Full Details'!D35)/(1000000))),2)</f>
        <v>19.60</v>
      </c>
      <c r="E34" s="46">
        <f>ROUND(((('PD Full Details'!F35)/(1000000))),2)</f>
        <v>29.40</v>
      </c>
      <c r="F34" s="46">
        <f>ROUND(((('PD Full Details'!H35)/(1000000))),2)</f>
        <v>29.40</v>
      </c>
      <c r="G34" s="46">
        <f>ROUND(((('PD Full Details'!J35)/(1000000))),2)</f>
        <v>29.40</v>
      </c>
      <c r="H34" s="46">
        <f>ROUND(((('PD Full Details'!L35)/(1000000))),2)</f>
        <v>29.40</v>
      </c>
      <c r="I34" s="46">
        <f>ROUND(((('PD Full Details'!N35)/(1000000))),2)</f>
        <v>29.40</v>
      </c>
      <c r="J34" s="46">
        <f>ROUND(((('PD Full Details'!P35)/(1000000))),2)</f>
        <v>29.40</v>
      </c>
      <c r="K34" s="46">
        <f>ROUND(((('PD Full Details'!R35)/(1000000))),2)</f>
        <v>29.40</v>
      </c>
      <c r="L34" s="46">
        <f>ROUND(((('PD Full Details'!T35)/(1000000))),2)</f>
        <v>29.40</v>
      </c>
      <c r="M34" s="46">
        <f>SUM(C34,D34,E34,F34,G34,H34,I34,J34,K34,L34)</f>
        <v>258.30</v>
      </c>
      <c r="N34" s="47">
        <f>AVERAGE(C34:L34)</f>
        <v>25.83</v>
      </c>
    </row>
    <row r="35" spans="1:14" ht="20.15" customHeight="1">
      <c r="A35" s="8"/>
      <c r="B35" s="48" t="s">
        <v>16</v>
      </c>
      <c r="C35" s="74">
        <f t="shared" si="68" ref="C35">SUM(C33,C34)</f>
        <v>3.57</v>
      </c>
      <c r="D35" s="74">
        <f t="shared" si="69" ref="D35">SUM(D33,D34)</f>
        <v>20</v>
      </c>
      <c r="E35" s="74">
        <f t="shared" si="70" ref="E35">SUM(E33,E34)</f>
        <v>30</v>
      </c>
      <c r="F35" s="74">
        <f t="shared" si="71" ref="F35">SUM(F33,F34)</f>
        <v>30</v>
      </c>
      <c r="G35" s="74">
        <f t="shared" si="72" ref="G35">SUM(G33,G34)</f>
        <v>30</v>
      </c>
      <c r="H35" s="74">
        <f t="shared" si="73" ref="H35">SUM(H33,H34)</f>
        <v>30</v>
      </c>
      <c r="I35" s="74">
        <f t="shared" si="74" ref="I35">SUM(I33,I34)</f>
        <v>30</v>
      </c>
      <c r="J35" s="74">
        <f t="shared" si="75" ref="J35">SUM(J33,J34)</f>
        <v>30</v>
      </c>
      <c r="K35" s="74">
        <f t="shared" si="76" ref="K35">SUM(K33,K34)</f>
        <v>30</v>
      </c>
      <c r="L35" s="74">
        <f t="shared" si="77" ref="L35">SUM(L33,L34)</f>
        <v>30</v>
      </c>
      <c r="M35" s="74">
        <f t="shared" si="78" ref="M35:N35">SUM(M33,M34)</f>
        <v>263.57</v>
      </c>
      <c r="N35" s="75">
        <f t="shared" si="78"/>
        <v>26.357000000000003</v>
      </c>
    </row>
    <row r="36" spans="1:14" s="5" customFormat="1" ht="21">
      <c r="A36" s="8"/>
      <c r="B36" s="51" t="s">
        <v>201</v>
      </c>
      <c r="M36" s="9"/>
      <c r="N36" s="16"/>
    </row>
    <row r="37" spans="1:14" s="5" customFormat="1" ht="15.75" customHeight="1">
      <c r="A37" s="8"/>
      <c r="B37" s="42" t="s">
        <v>8</v>
      </c>
      <c r="C37" s="43">
        <f>ROUND(((('PD Full Details'!C39)/(1000000))),2)</f>
        <v>0</v>
      </c>
      <c r="D37" s="43">
        <f>ROUND(((('PD Full Details'!E39)/(1000000))),2)</f>
        <v>0</v>
      </c>
      <c r="E37" s="43">
        <f>ROUND(((('PD Full Details'!G39)/(1000000))),2)</f>
        <v>0</v>
      </c>
      <c r="F37" s="43">
        <f>ROUND(((('PD Full Details'!I39)/(1000000))),2)</f>
        <v>0</v>
      </c>
      <c r="G37" s="43">
        <f>ROUND(((('PD Full Details'!K39)/(1000000))),2)</f>
        <v>0</v>
      </c>
      <c r="H37" s="43">
        <f>ROUND(((('PD Full Details'!M39)/(1000000))),2)</f>
        <v>0</v>
      </c>
      <c r="I37" s="43">
        <f>ROUND(((('PD Full Details'!O39)/(1000000))),2)</f>
        <v>0</v>
      </c>
      <c r="J37" s="43">
        <f>ROUND(((('PD Full Details'!Q39)/(1000000))),2)</f>
        <v>0</v>
      </c>
      <c r="K37" s="43">
        <f>ROUND(((('PD Full Details'!S39)/(1000000))),2)</f>
        <v>0</v>
      </c>
      <c r="L37" s="43">
        <f>ROUND(((('PD Full Details'!U39)/(1000000))),2)</f>
        <v>0</v>
      </c>
      <c r="M37" s="43">
        <f>SUM(C37,D37,E37,F37,G37,H37,I37,J37,K37,L37)</f>
        <v>0</v>
      </c>
      <c r="N37" s="44">
        <f>AVERAGE(C37:L37)</f>
        <v>0</v>
      </c>
    </row>
    <row r="38" spans="2:14" ht="15.5">
      <c r="B38" s="45" t="s">
        <v>9</v>
      </c>
      <c r="C38" s="46">
        <f>ROUND(((('PD Full Details'!B39)/(1000000))),2)</f>
        <v>1</v>
      </c>
      <c r="D38" s="46">
        <f>ROUND(((('PD Full Details'!D39)/(1000000))),2)</f>
        <v>1</v>
      </c>
      <c r="E38" s="46">
        <f>ROUND(((('PD Full Details'!F39)/(1000000))),2)</f>
        <v>1</v>
      </c>
      <c r="F38" s="46">
        <f>ROUND(((('PD Full Details'!H39)/(1000000))),2)</f>
        <v>1</v>
      </c>
      <c r="G38" s="46">
        <f>ROUND(((('PD Full Details'!J39)/(1000000))),2)</f>
        <v>0</v>
      </c>
      <c r="H38" s="46">
        <f>ROUND(((('PD Full Details'!L39)/(1000000))),2)</f>
        <v>0</v>
      </c>
      <c r="I38" s="46">
        <f>ROUND(((('PD Full Details'!N39)/(1000000))),2)</f>
        <v>0</v>
      </c>
      <c r="J38" s="46">
        <f>ROUND(((('PD Full Details'!P39)/(1000000))),2)</f>
        <v>0</v>
      </c>
      <c r="K38" s="46">
        <f>ROUND(((('PD Full Details'!R39)/(1000000))),2)</f>
        <v>0</v>
      </c>
      <c r="L38" s="46">
        <f>ROUND(((('PD Full Details'!T39)/(1000000))),2)</f>
        <v>0</v>
      </c>
      <c r="M38" s="46">
        <f>SUM(C38,D38,E38,F38,G38,H38,I38,J38,K38,L38)</f>
        <v>4</v>
      </c>
      <c r="N38" s="47">
        <f>AVERAGE(C38:L38)</f>
        <v>0.40</v>
      </c>
    </row>
    <row r="39" spans="1:14" ht="20.15" customHeight="1">
      <c r="A39" s="8"/>
      <c r="B39" s="48" t="s">
        <v>16</v>
      </c>
      <c r="C39" s="74">
        <f t="shared" si="79" ref="C39">SUM(C37,C38)</f>
        <v>1</v>
      </c>
      <c r="D39" s="74">
        <f t="shared" si="80" ref="D39">SUM(D37,D38)</f>
        <v>1</v>
      </c>
      <c r="E39" s="74">
        <f t="shared" si="81" ref="E39">SUM(E37,E38)</f>
        <v>1</v>
      </c>
      <c r="F39" s="74">
        <f t="shared" si="82" ref="F39">SUM(F37,F38)</f>
        <v>1</v>
      </c>
      <c r="G39" s="74">
        <f t="shared" si="83" ref="G39">SUM(G37,G38)</f>
        <v>0</v>
      </c>
      <c r="H39" s="74">
        <f t="shared" si="84" ref="H39">SUM(H37,H38)</f>
        <v>0</v>
      </c>
      <c r="I39" s="74">
        <f t="shared" si="85" ref="I39">SUM(I37,I38)</f>
        <v>0</v>
      </c>
      <c r="J39" s="74">
        <f t="shared" si="86" ref="J39">SUM(J37,J38)</f>
        <v>0</v>
      </c>
      <c r="K39" s="74">
        <f t="shared" si="87" ref="K39">SUM(K37,K38)</f>
        <v>0</v>
      </c>
      <c r="L39" s="74">
        <f t="shared" si="88" ref="L39">SUM(L37,L38)</f>
        <v>0</v>
      </c>
      <c r="M39" s="74">
        <f t="shared" si="89" ref="M39:N39">SUM(M37,M38)</f>
        <v>4</v>
      </c>
      <c r="N39" s="75">
        <f t="shared" si="89"/>
        <v>0.40</v>
      </c>
    </row>
    <row r="40" spans="1:14" s="5" customFormat="1" ht="21">
      <c r="A40" s="8"/>
      <c r="B40" s="51" t="s">
        <v>202</v>
      </c>
      <c r="M40" s="9"/>
      <c r="N40" s="16"/>
    </row>
    <row r="41" spans="1:14" s="5" customFormat="1" ht="15.75" customHeight="1">
      <c r="A41" s="8"/>
      <c r="B41" s="42" t="s">
        <v>8</v>
      </c>
      <c r="C41" s="43">
        <f>ROUND(((('PD Full Details'!C43)/(1000000))),2)</f>
        <v>0</v>
      </c>
      <c r="D41" s="43">
        <f>ROUND(((('PD Full Details'!E43)/(1000000))),2)</f>
        <v>0</v>
      </c>
      <c r="E41" s="43">
        <f>ROUND(((('PD Full Details'!G43)/(1000000))),2)</f>
        <v>0</v>
      </c>
      <c r="F41" s="43">
        <f>ROUND(((('PD Full Details'!I43)/(1000000))),2)</f>
        <v>0</v>
      </c>
      <c r="G41" s="43">
        <f>ROUND(((('PD Full Details'!K43)/(1000000))),2)</f>
        <v>0</v>
      </c>
      <c r="H41" s="43">
        <f>ROUND(((('PD Full Details'!M43)/(1000000))),2)</f>
        <v>0</v>
      </c>
      <c r="I41" s="43">
        <f>ROUND(((('PD Full Details'!O43)/(1000000))),2)</f>
        <v>0</v>
      </c>
      <c r="J41" s="43">
        <f>ROUND(((('PD Full Details'!Q43)/(1000000))),2)</f>
        <v>0</v>
      </c>
      <c r="K41" s="43">
        <f>ROUND(((('PD Full Details'!S43)/(1000000))),2)</f>
        <v>0</v>
      </c>
      <c r="L41" s="43">
        <f>ROUND(((('PD Full Details'!U43)/(1000000))),2)</f>
        <v>0</v>
      </c>
      <c r="M41" s="43">
        <f>SUM(C41,D41,E41,F41,G41,H41,I41,J41,K41,L41)</f>
        <v>0</v>
      </c>
      <c r="N41" s="44">
        <f>AVERAGE(C41:L41)</f>
        <v>0</v>
      </c>
    </row>
    <row r="42" spans="2:14" ht="15.5">
      <c r="B42" s="45" t="s">
        <v>9</v>
      </c>
      <c r="C42" s="46">
        <f>ROUND(((('PD Full Details'!B43)/(1000000))),2)</f>
        <v>0.72</v>
      </c>
      <c r="D42" s="46">
        <f>ROUND(((('PD Full Details'!D43)/(1000000))),2)</f>
        <v>24.50</v>
      </c>
      <c r="E42" s="46">
        <f>ROUND(((('PD Full Details'!F43)/(1000000))),2)</f>
        <v>24.50</v>
      </c>
      <c r="F42" s="46">
        <f>ROUND(((('PD Full Details'!H43)/(1000000))),2)</f>
        <v>24.50</v>
      </c>
      <c r="G42" s="46">
        <f>ROUND(((('PD Full Details'!J43)/(1000000))),2)</f>
        <v>24.50</v>
      </c>
      <c r="H42" s="46">
        <f>ROUND(((('PD Full Details'!L43)/(1000000))),2)</f>
        <v>24.50</v>
      </c>
      <c r="I42" s="46">
        <f>ROUND(((('PD Full Details'!N43)/(1000000))),2)</f>
        <v>24.50</v>
      </c>
      <c r="J42" s="46">
        <f>ROUND(((('PD Full Details'!P43)/(1000000))),2)</f>
        <v>24.50</v>
      </c>
      <c r="K42" s="46">
        <f>ROUND(((('PD Full Details'!R43)/(1000000))),2)</f>
        <v>24.50</v>
      </c>
      <c r="L42" s="46">
        <f>ROUND(((('PD Full Details'!T43)/(1000000))),2)</f>
        <v>24.50</v>
      </c>
      <c r="M42" s="46">
        <f>SUM(C42,D42,E42,F42,G42,H42,I42,J42,K42,L42)</f>
        <v>221.22</v>
      </c>
      <c r="N42" s="47">
        <f>AVERAGE(C42:L42)</f>
        <v>22.122</v>
      </c>
    </row>
    <row r="43" spans="1:14" ht="20.15" customHeight="1">
      <c r="A43" s="8"/>
      <c r="B43" s="48" t="s">
        <v>16</v>
      </c>
      <c r="C43" s="74">
        <f t="shared" si="90" ref="C43">SUM(C41,C42)</f>
        <v>0.72</v>
      </c>
      <c r="D43" s="74">
        <f t="shared" si="91" ref="D43">SUM(D41,D42)</f>
        <v>24.50</v>
      </c>
      <c r="E43" s="74">
        <f t="shared" si="92" ref="E43">SUM(E41,E42)</f>
        <v>24.50</v>
      </c>
      <c r="F43" s="74">
        <f t="shared" si="93" ref="F43">SUM(F41,F42)</f>
        <v>24.50</v>
      </c>
      <c r="G43" s="74">
        <f t="shared" si="94" ref="G43">SUM(G41,G42)</f>
        <v>24.50</v>
      </c>
      <c r="H43" s="74">
        <f t="shared" si="95" ref="H43">SUM(H41,H42)</f>
        <v>24.50</v>
      </c>
      <c r="I43" s="74">
        <f t="shared" si="96" ref="I43">SUM(I41,I42)</f>
        <v>24.50</v>
      </c>
      <c r="J43" s="74">
        <f t="shared" si="97" ref="J43">SUM(J41,J42)</f>
        <v>24.50</v>
      </c>
      <c r="K43" s="74">
        <f t="shared" si="98" ref="K43">SUM(K41,K42)</f>
        <v>24.50</v>
      </c>
      <c r="L43" s="74">
        <f t="shared" si="99" ref="L43">SUM(L41,L42)</f>
        <v>24.50</v>
      </c>
      <c r="M43" s="74">
        <f t="shared" si="100" ref="M43:N43">SUM(M41,M42)</f>
        <v>221.22</v>
      </c>
      <c r="N43" s="75">
        <f t="shared" si="100"/>
        <v>22.122</v>
      </c>
    </row>
    <row r="44" spans="1:14" s="5" customFormat="1" ht="21">
      <c r="A44" s="8"/>
      <c r="B44" s="51" t="s">
        <v>195</v>
      </c>
      <c r="M44" s="9"/>
      <c r="N44" s="16"/>
    </row>
    <row r="45" spans="1:14" s="5" customFormat="1" ht="15.75" customHeight="1">
      <c r="A45" s="8"/>
      <c r="B45" s="42" t="s">
        <v>8</v>
      </c>
      <c r="C45" s="43">
        <f>ROUND(((('PD Full Details'!C47)/(1000000))),2)</f>
        <v>5.03</v>
      </c>
      <c r="D45" s="43">
        <f>ROUND(((('PD Full Details'!E47)/(1000000))),2)</f>
        <v>4.68</v>
      </c>
      <c r="E45" s="43">
        <f>ROUND(((('PD Full Details'!G47)/(1000000))),2)</f>
        <v>4.6900000000000004</v>
      </c>
      <c r="F45" s="43">
        <f>ROUND(((('PD Full Details'!I47)/(1000000))),2)</f>
        <v>4.70</v>
      </c>
      <c r="G45" s="43">
        <f>ROUND(((('PD Full Details'!K47)/(1000000))),2)</f>
        <v>4.70</v>
      </c>
      <c r="H45" s="43">
        <f>ROUND(((('PD Full Details'!M47)/(1000000))),2)</f>
        <v>4.71</v>
      </c>
      <c r="I45" s="43">
        <f>ROUND(((('PD Full Details'!O47)/(1000000))),2)</f>
        <v>4.71</v>
      </c>
      <c r="J45" s="43">
        <f>ROUND(((('PD Full Details'!Q47)/(1000000))),2)</f>
        <v>4.71</v>
      </c>
      <c r="K45" s="43">
        <f>ROUND(((('PD Full Details'!S47)/(1000000))),2)</f>
        <v>4.71</v>
      </c>
      <c r="L45" s="43">
        <f>ROUND(((('PD Full Details'!U47)/(1000000))),2)</f>
        <v>4.71</v>
      </c>
      <c r="M45" s="43">
        <f>SUM(C45,D45,E45,F45,G45,H45,I45,J45,K45,L45)</f>
        <v>47.35</v>
      </c>
      <c r="N45" s="44">
        <f>AVERAGE(C45:L45)</f>
        <v>4.7350000000000003</v>
      </c>
    </row>
    <row r="46" spans="2:14" ht="15.5">
      <c r="B46" s="45" t="s">
        <v>9</v>
      </c>
      <c r="C46" s="46">
        <f>ROUND(((('PD Full Details'!B47)/(1000000))),2)</f>
        <v>0</v>
      </c>
      <c r="D46" s="46">
        <f>ROUND(((('PD Full Details'!D47)/(1000000))),2)</f>
        <v>0</v>
      </c>
      <c r="E46" s="46">
        <f>ROUND(((('PD Full Details'!F47)/(1000000))),2)</f>
        <v>0</v>
      </c>
      <c r="F46" s="46">
        <f>ROUND(((('PD Full Details'!H47)/(1000000))),2)</f>
        <v>0</v>
      </c>
      <c r="G46" s="46">
        <f>ROUND(((('PD Full Details'!J47)/(1000000))),2)</f>
        <v>0</v>
      </c>
      <c r="H46" s="46">
        <f>ROUND(((('PD Full Details'!L47)/(1000000))),2)</f>
        <v>0</v>
      </c>
      <c r="I46" s="46">
        <f>ROUND(((('PD Full Details'!N47)/(1000000))),2)</f>
        <v>0</v>
      </c>
      <c r="J46" s="46">
        <f>ROUND(((('PD Full Details'!P47)/(1000000))),2)</f>
        <v>0</v>
      </c>
      <c r="K46" s="46">
        <f>ROUND(((('PD Full Details'!R47)/(1000000))),2)</f>
        <v>0</v>
      </c>
      <c r="L46" s="46">
        <f>ROUND(((('PD Full Details'!T47)/(1000000))),2)</f>
        <v>0</v>
      </c>
      <c r="M46" s="46">
        <f>SUM(C46,D46,E46,F46,G46,H46,I46,J46,K46,L46)</f>
        <v>0</v>
      </c>
      <c r="N46" s="47">
        <f>AVERAGE(C46:L46)</f>
        <v>0</v>
      </c>
    </row>
    <row r="47" spans="1:14" ht="20.15" customHeight="1">
      <c r="A47" s="8"/>
      <c r="B47" s="48" t="s">
        <v>16</v>
      </c>
      <c r="C47" s="74">
        <f t="shared" si="101" ref="C47">SUM(C45,C46)</f>
        <v>5.03</v>
      </c>
      <c r="D47" s="74">
        <f t="shared" si="102" ref="D47">SUM(D45,D46)</f>
        <v>4.68</v>
      </c>
      <c r="E47" s="74">
        <f t="shared" si="103" ref="E47">SUM(E45,E46)</f>
        <v>4.6900000000000004</v>
      </c>
      <c r="F47" s="74">
        <f t="shared" si="104" ref="F47">SUM(F45,F46)</f>
        <v>4.70</v>
      </c>
      <c r="G47" s="74">
        <f t="shared" si="105" ref="G47">SUM(G45,G46)</f>
        <v>4.70</v>
      </c>
      <c r="H47" s="74">
        <f t="shared" si="106" ref="H47">SUM(H45,H46)</f>
        <v>4.71</v>
      </c>
      <c r="I47" s="74">
        <f t="shared" si="107" ref="I47">SUM(I45,I46)</f>
        <v>4.71</v>
      </c>
      <c r="J47" s="74">
        <f t="shared" si="108" ref="J47">SUM(J45,J46)</f>
        <v>4.71</v>
      </c>
      <c r="K47" s="74">
        <f t="shared" si="109" ref="K47">SUM(K45,K46)</f>
        <v>4.71</v>
      </c>
      <c r="L47" s="74">
        <f t="shared" si="110" ref="L47">SUM(L45,L46)</f>
        <v>4.71</v>
      </c>
      <c r="M47" s="74">
        <f t="shared" si="111" ref="M47:N47">SUM(M45,M46)</f>
        <v>47.35</v>
      </c>
      <c r="N47" s="75">
        <f t="shared" si="111"/>
        <v>4.7350000000000003</v>
      </c>
    </row>
    <row r="48" spans="1:14" s="5" customFormat="1" ht="21">
      <c r="A48" s="8"/>
      <c r="B48" s="51" t="s">
        <v>196</v>
      </c>
      <c r="M48" s="9"/>
      <c r="N48" s="16"/>
    </row>
    <row r="49" spans="1:14" s="5" customFormat="1" ht="15.75" customHeight="1">
      <c r="A49" s="8"/>
      <c r="B49" s="42" t="s">
        <v>8</v>
      </c>
      <c r="C49" s="43">
        <f>ROUND(((('PD Full Details'!C51)/(1000000))),2)</f>
        <v>2.50</v>
      </c>
      <c r="D49" s="43">
        <f>ROUND(((('PD Full Details'!E51)/(1000000))),2)</f>
        <v>2.87</v>
      </c>
      <c r="E49" s="43">
        <f>ROUND(((('PD Full Details'!G51)/(1000000))),2)</f>
        <v>2.87</v>
      </c>
      <c r="F49" s="43">
        <f>ROUND(((('PD Full Details'!I51)/(1000000))),2)</f>
        <v>2.87</v>
      </c>
      <c r="G49" s="43">
        <f>ROUND(((('PD Full Details'!K51)/(1000000))),2)</f>
        <v>2.87</v>
      </c>
      <c r="H49" s="43">
        <f>ROUND(((('PD Full Details'!M51)/(1000000))),2)</f>
        <v>2.87</v>
      </c>
      <c r="I49" s="43">
        <f>ROUND(((('PD Full Details'!O51)/(1000000))),2)</f>
        <v>2.87</v>
      </c>
      <c r="J49" s="43">
        <f>ROUND(((('PD Full Details'!Q51)/(1000000))),2)</f>
        <v>2.87</v>
      </c>
      <c r="K49" s="43">
        <f>ROUND(((('PD Full Details'!S51)/(1000000))),2)</f>
        <v>2.87</v>
      </c>
      <c r="L49" s="43">
        <f>ROUND(((('PD Full Details'!U51)/(1000000))),2)</f>
        <v>2.87</v>
      </c>
      <c r="M49" s="43">
        <f>SUM(C49,D49,E49,F49,G49,H49,I49,J49,K49,L49)</f>
        <v>28.330000000000005</v>
      </c>
      <c r="N49" s="44">
        <f>AVERAGE(C49:L49)</f>
        <v>2.8330000000000006</v>
      </c>
    </row>
    <row r="50" spans="2:14" ht="15.5">
      <c r="B50" s="45" t="s">
        <v>9</v>
      </c>
      <c r="C50" s="46">
        <f>ROUND(((('PD Full Details'!B51)/(1000000))),2)</f>
        <v>0</v>
      </c>
      <c r="D50" s="46">
        <f>ROUND(((('PD Full Details'!D51)/(1000000))),2)</f>
        <v>0</v>
      </c>
      <c r="E50" s="46">
        <f>ROUND(((('PD Full Details'!F51)/(1000000))),2)</f>
        <v>0</v>
      </c>
      <c r="F50" s="46">
        <f>ROUND(((('PD Full Details'!H51)/(1000000))),2)</f>
        <v>0</v>
      </c>
      <c r="G50" s="46">
        <f>ROUND(((('PD Full Details'!J51)/(1000000))),2)</f>
        <v>0</v>
      </c>
      <c r="H50" s="46">
        <f>ROUND(((('PD Full Details'!L51)/(1000000))),2)</f>
        <v>0</v>
      </c>
      <c r="I50" s="46">
        <f>ROUND(((('PD Full Details'!N51)/(1000000))),2)</f>
        <v>0</v>
      </c>
      <c r="J50" s="46">
        <f>ROUND(((('PD Full Details'!P51)/(1000000))),2)</f>
        <v>0</v>
      </c>
      <c r="K50" s="46">
        <f>ROUND(((('PD Full Details'!R51)/(1000000))),2)</f>
        <v>0</v>
      </c>
      <c r="L50" s="46">
        <f>ROUND(((('PD Full Details'!T51)/(1000000))),2)</f>
        <v>0</v>
      </c>
      <c r="M50" s="46">
        <f>SUM(C50,D50,E50,F50,G50,H50,I50,J50,K50,L50)</f>
        <v>0</v>
      </c>
      <c r="N50" s="47">
        <f>AVERAGE(C50:L50)</f>
        <v>0</v>
      </c>
    </row>
    <row r="51" spans="1:14" ht="20.15" customHeight="1">
      <c r="A51" s="8"/>
      <c r="B51" s="48" t="s">
        <v>16</v>
      </c>
      <c r="C51" s="74">
        <f t="shared" si="112" ref="C51">SUM(C49,C50)</f>
        <v>2.50</v>
      </c>
      <c r="D51" s="74">
        <f t="shared" si="113" ref="D51">SUM(D49,D50)</f>
        <v>2.87</v>
      </c>
      <c r="E51" s="74">
        <f t="shared" si="114" ref="E51">SUM(E49,E50)</f>
        <v>2.87</v>
      </c>
      <c r="F51" s="74">
        <f t="shared" si="115" ref="F51">SUM(F49,F50)</f>
        <v>2.87</v>
      </c>
      <c r="G51" s="74">
        <f t="shared" si="116" ref="G51">SUM(G49,G50)</f>
        <v>2.87</v>
      </c>
      <c r="H51" s="74">
        <f t="shared" si="117" ref="H51">SUM(H49,H50)</f>
        <v>2.87</v>
      </c>
      <c r="I51" s="74">
        <f t="shared" si="118" ref="I51">SUM(I49,I50)</f>
        <v>2.87</v>
      </c>
      <c r="J51" s="74">
        <f t="shared" si="119" ref="J51">SUM(J49,J50)</f>
        <v>2.87</v>
      </c>
      <c r="K51" s="74">
        <f t="shared" si="120" ref="K51">SUM(K49,K50)</f>
        <v>2.87</v>
      </c>
      <c r="L51" s="74">
        <f t="shared" si="121" ref="L51">SUM(L49,L50)</f>
        <v>2.87</v>
      </c>
      <c r="M51" s="74">
        <f t="shared" si="122" ref="M51:N51">SUM(M49,M50)</f>
        <v>28.330000000000005</v>
      </c>
      <c r="N51" s="75">
        <f t="shared" si="122"/>
        <v>2.8330000000000006</v>
      </c>
    </row>
    <row r="52" spans="1:14" s="5" customFormat="1" ht="21">
      <c r="A52" s="8"/>
      <c r="B52" s="51" t="s">
        <v>6</v>
      </c>
      <c r="M52" s="9"/>
      <c r="N52" s="16"/>
    </row>
    <row r="53" spans="1:14" ht="15.75" customHeight="1">
      <c r="A53" s="8"/>
      <c r="B53" s="42" t="s">
        <v>8</v>
      </c>
      <c r="C53" s="73">
        <f t="shared" si="123" ref="C53:L53">SUM(C5,C9,C13,C17,C21,C25,C29,C33,C37,C41,C45,C49)</f>
        <v>9.66</v>
      </c>
      <c r="D53" s="73">
        <f t="shared" si="123"/>
        <v>11.97</v>
      </c>
      <c r="E53" s="73">
        <f t="shared" si="123"/>
        <v>12.10</v>
      </c>
      <c r="F53" s="73">
        <f t="shared" si="123"/>
        <v>11.970000000000002</v>
      </c>
      <c r="G53" s="73">
        <f t="shared" si="123"/>
        <v>11.970000000000002</v>
      </c>
      <c r="H53" s="73">
        <f t="shared" si="123"/>
        <v>11.98</v>
      </c>
      <c r="I53" s="73">
        <f t="shared" si="123"/>
        <v>11.98</v>
      </c>
      <c r="J53" s="73">
        <f t="shared" si="123"/>
        <v>11.98</v>
      </c>
      <c r="K53" s="73">
        <f t="shared" si="123"/>
        <v>11.98</v>
      </c>
      <c r="L53" s="73">
        <f t="shared" si="123"/>
        <v>11.98</v>
      </c>
      <c r="M53" s="43">
        <f>SUM(C53,D53,E53,F53,G53,H53,I53,J53,K53,L53)</f>
        <v>117.57000000000002</v>
      </c>
      <c r="N53" s="44">
        <f>AVERAGE(C53:L53)</f>
        <v>11.757000000000001</v>
      </c>
    </row>
    <row r="54" spans="2:14" ht="15.5">
      <c r="B54" s="45" t="s">
        <v>9</v>
      </c>
      <c r="C54" s="46">
        <f t="shared" si="124" ref="C54:L54">SUM(C6,C10,C14,C18,C22,C26,C30,C34,C38,C42,C46,C50)</f>
        <v>22.369999999999997</v>
      </c>
      <c r="D54" s="46">
        <f t="shared" si="124"/>
        <v>91.95</v>
      </c>
      <c r="E54" s="46">
        <f t="shared" si="124"/>
        <v>99.85</v>
      </c>
      <c r="F54" s="46">
        <f t="shared" si="124"/>
        <v>96.15</v>
      </c>
      <c r="G54" s="46">
        <f t="shared" si="124"/>
        <v>95.15</v>
      </c>
      <c r="H54" s="46">
        <f t="shared" si="124"/>
        <v>95.15</v>
      </c>
      <c r="I54" s="46">
        <f t="shared" si="124"/>
        <v>95.15</v>
      </c>
      <c r="J54" s="46">
        <f t="shared" si="124"/>
        <v>95.15</v>
      </c>
      <c r="K54" s="46">
        <f t="shared" si="124"/>
        <v>95.15</v>
      </c>
      <c r="L54" s="46">
        <f t="shared" si="124"/>
        <v>95.15</v>
      </c>
      <c r="M54" s="46">
        <f>SUM(C54,D54,E54,F54,G54,H54,I54,J54,K54,L54)</f>
        <v>881.21999999999991</v>
      </c>
      <c r="N54" s="47">
        <f>AVERAGE(C54:L54)</f>
        <v>88.121999999999986</v>
      </c>
    </row>
    <row r="55" spans="1:14" ht="20.15" customHeight="1" thickBot="1">
      <c r="A55" s="8"/>
      <c r="B55" s="52" t="s">
        <v>16</v>
      </c>
      <c r="C55" s="49">
        <f t="shared" si="125" ref="C55">SUM(C53,C54)</f>
        <v>32.03</v>
      </c>
      <c r="D55" s="49">
        <f t="shared" si="126" ref="D55">SUM(D53,D54)</f>
        <v>103.92</v>
      </c>
      <c r="E55" s="49">
        <f t="shared" si="127" ref="E55">SUM(E53,E54)</f>
        <v>111.94999999999999</v>
      </c>
      <c r="F55" s="49">
        <f t="shared" si="128" ref="F55">SUM(F53,F54)</f>
        <v>108.12</v>
      </c>
      <c r="G55" s="49">
        <f t="shared" si="129" ref="G55">SUM(G53,G54)</f>
        <v>107.12</v>
      </c>
      <c r="H55" s="49">
        <f t="shared" si="130" ref="H55">SUM(H53,H54)</f>
        <v>107.13000000000001</v>
      </c>
      <c r="I55" s="49">
        <f t="shared" si="131" ref="I55">SUM(I53,I54)</f>
        <v>107.13000000000001</v>
      </c>
      <c r="J55" s="49">
        <f t="shared" si="132" ref="J55">SUM(J53,J54)</f>
        <v>107.13000000000001</v>
      </c>
      <c r="K55" s="49">
        <f t="shared" si="133" ref="K55">SUM(K53,K54)</f>
        <v>107.13000000000001</v>
      </c>
      <c r="L55" s="49">
        <f t="shared" si="134" ref="L55">SUM(L53,L54)</f>
        <v>107.13000000000001</v>
      </c>
      <c r="M55" s="53">
        <f t="shared" si="135" ref="M55:N55">SUM(M53,M54)</f>
        <v>998.79</v>
      </c>
      <c r="N55" s="54">
        <f t="shared" si="135"/>
        <v>99.878999999999991</v>
      </c>
    </row>
    <row r="56" spans="2:14" ht="15" thickBot="1"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</row>
    <row r="57" spans="2:14" ht="21" customHeight="1">
      <c r="B57" s="55" t="s">
        <v>204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7"/>
    </row>
    <row r="58" spans="2:14" ht="15.5">
      <c r="B58" s="57" t="s">
        <v>19</v>
      </c>
      <c r="C58" s="43">
        <v>0.48</v>
      </c>
      <c r="D58" s="43">
        <v>0.48</v>
      </c>
      <c r="E58" s="43">
        <v>0.48</v>
      </c>
      <c r="F58" s="43">
        <v>0.48</v>
      </c>
      <c r="G58" s="43">
        <v>0.48</v>
      </c>
      <c r="H58" s="43">
        <v>0.48</v>
      </c>
      <c r="I58" s="43">
        <v>0.48</v>
      </c>
      <c r="J58" s="43">
        <v>0.48</v>
      </c>
      <c r="K58" s="43">
        <v>0.48</v>
      </c>
      <c r="L58" s="43">
        <v>0.48</v>
      </c>
      <c r="M58" s="43">
        <f>SUM(C58,D58,E58,F58,G58,H58,I58,J58,K58,L58)</f>
        <v>4.8000000000000007</v>
      </c>
      <c r="N58" s="58">
        <f>AVERAGE(C58:L58)</f>
        <v>0.48000000000000009</v>
      </c>
    </row>
    <row r="59" spans="2:14" ht="15.5">
      <c r="B59" s="45" t="s">
        <v>20</v>
      </c>
      <c r="C59" s="46">
        <v>1.9166666666666667</v>
      </c>
      <c r="D59" s="46">
        <v>1.9166666666666667</v>
      </c>
      <c r="E59" s="46">
        <v>1.9166666666666667</v>
      </c>
      <c r="F59" s="46">
        <v>1.9166666666666667</v>
      </c>
      <c r="G59" s="46">
        <v>1.9166666666666667</v>
      </c>
      <c r="H59" s="46">
        <v>1.9166666666666667</v>
      </c>
      <c r="I59" s="46">
        <v>1.9166666666666667</v>
      </c>
      <c r="J59" s="46">
        <v>1.9166666666666667</v>
      </c>
      <c r="K59" s="46">
        <v>1.9166666666666667</v>
      </c>
      <c r="L59" s="46">
        <v>1.9166666666666667</v>
      </c>
      <c r="M59" s="46">
        <f>SUM(C59,D59,E59,F59,G59,H59,I59,J59,K59,L59)</f>
        <v>19.166666666666668</v>
      </c>
      <c r="N59" s="47">
        <f>AVERAGE(C59:L59)</f>
        <v>1.9166666666666667</v>
      </c>
    </row>
    <row r="60" spans="2:14" ht="17">
      <c r="B60" s="59" t="s">
        <v>23</v>
      </c>
      <c r="C60" s="49">
        <f t="shared" si="136" ref="C60:N60">SUM(C58,C59)</f>
        <v>2.3966666666666665</v>
      </c>
      <c r="D60" s="49">
        <f t="shared" si="136"/>
        <v>2.3966666666666665</v>
      </c>
      <c r="E60" s="49">
        <f t="shared" si="136"/>
        <v>2.3966666666666665</v>
      </c>
      <c r="F60" s="49">
        <f t="shared" si="136"/>
        <v>2.3966666666666665</v>
      </c>
      <c r="G60" s="49">
        <f t="shared" si="136"/>
        <v>2.3966666666666665</v>
      </c>
      <c r="H60" s="49">
        <f t="shared" si="136"/>
        <v>2.3966666666666665</v>
      </c>
      <c r="I60" s="49">
        <f t="shared" si="136"/>
        <v>2.3966666666666665</v>
      </c>
      <c r="J60" s="49">
        <f t="shared" si="136"/>
        <v>2.3966666666666665</v>
      </c>
      <c r="K60" s="49">
        <f t="shared" si="136"/>
        <v>2.3966666666666665</v>
      </c>
      <c r="L60" s="49">
        <f t="shared" si="136"/>
        <v>2.3966666666666665</v>
      </c>
      <c r="M60" s="49">
        <f t="shared" si="136"/>
        <v>23.966666666666669</v>
      </c>
      <c r="N60" s="72">
        <f t="shared" si="136"/>
        <v>2.3966666666666669</v>
      </c>
    </row>
    <row r="61" spans="2:14" ht="21" customHeight="1">
      <c r="B61" s="56" t="s">
        <v>205</v>
      </c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9"/>
    </row>
    <row r="62" spans="2:14" ht="15.5">
      <c r="B62" s="57" t="s">
        <v>19</v>
      </c>
      <c r="C62" s="43">
        <v>0.21</v>
      </c>
      <c r="D62" s="43">
        <v>0.21</v>
      </c>
      <c r="E62" s="43">
        <v>0.21</v>
      </c>
      <c r="F62" s="43">
        <v>0.21</v>
      </c>
      <c r="G62" s="43">
        <v>0.21</v>
      </c>
      <c r="H62" s="43">
        <v>0.21</v>
      </c>
      <c r="I62" s="43">
        <v>0.21</v>
      </c>
      <c r="J62" s="43">
        <v>0.21</v>
      </c>
      <c r="K62" s="43">
        <v>0.21</v>
      </c>
      <c r="L62" s="43">
        <v>0.21</v>
      </c>
      <c r="M62" s="43">
        <f>SUM(C62,D62,E62,F62,G62,H62,I62,J62,K62,L62)</f>
        <v>2.10</v>
      </c>
      <c r="N62" s="58">
        <f>AVERAGE(C62:L62)</f>
        <v>0.21000000000000002</v>
      </c>
    </row>
    <row r="63" spans="2:14" ht="15.5">
      <c r="B63" s="45" t="s">
        <v>20</v>
      </c>
      <c r="C63" s="46">
        <v>1.2737113402061855</v>
      </c>
      <c r="D63" s="46">
        <v>1.2737113402061855</v>
      </c>
      <c r="E63" s="46">
        <v>1.2737113402061855</v>
      </c>
      <c r="F63" s="46">
        <v>1.2737113402061855</v>
      </c>
      <c r="G63" s="46">
        <v>1.2737113402061855</v>
      </c>
      <c r="H63" s="46">
        <v>1.2737113402061855</v>
      </c>
      <c r="I63" s="46">
        <v>1.2737113402061855</v>
      </c>
      <c r="J63" s="46">
        <v>1.2737113402061855</v>
      </c>
      <c r="K63" s="46">
        <v>1.2737113402061855</v>
      </c>
      <c r="L63" s="46">
        <v>1.2737113402061855</v>
      </c>
      <c r="M63" s="46">
        <f>SUM(C63,D63,E63,F63,G63,H63,I63,J63,K63,L63)</f>
        <v>12.737113402061855</v>
      </c>
      <c r="N63" s="47">
        <f>AVERAGE(C63:L63)</f>
        <v>1.2737113402061855</v>
      </c>
    </row>
    <row r="64" spans="2:14" ht="17">
      <c r="B64" s="59" t="s">
        <v>23</v>
      </c>
      <c r="C64" s="49">
        <f t="shared" si="137" ref="C64:N64">SUM(C62,C63)</f>
        <v>1.4837113402061855</v>
      </c>
      <c r="D64" s="49">
        <f t="shared" si="137"/>
        <v>1.4837113402061855</v>
      </c>
      <c r="E64" s="49">
        <f t="shared" si="137"/>
        <v>1.4837113402061855</v>
      </c>
      <c r="F64" s="49">
        <f t="shared" si="137"/>
        <v>1.4837113402061855</v>
      </c>
      <c r="G64" s="49">
        <f t="shared" si="137"/>
        <v>1.4837113402061855</v>
      </c>
      <c r="H64" s="49">
        <f t="shared" si="137"/>
        <v>1.4837113402061855</v>
      </c>
      <c r="I64" s="49">
        <f t="shared" si="137"/>
        <v>1.4837113402061855</v>
      </c>
      <c r="J64" s="49">
        <f t="shared" si="137"/>
        <v>1.4837113402061855</v>
      </c>
      <c r="K64" s="49">
        <f t="shared" si="137"/>
        <v>1.4837113402061855</v>
      </c>
      <c r="L64" s="49">
        <f t="shared" si="137"/>
        <v>1.4837113402061855</v>
      </c>
      <c r="M64" s="49">
        <f t="shared" si="137"/>
        <v>14.837113402061855</v>
      </c>
      <c r="N64" s="72">
        <f t="shared" si="137"/>
        <v>1.4837113402061855</v>
      </c>
    </row>
    <row r="65" spans="2:14" ht="21" customHeight="1">
      <c r="B65" s="56" t="s">
        <v>206</v>
      </c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9"/>
    </row>
    <row r="66" spans="2:14" ht="15.5">
      <c r="B66" s="57" t="s">
        <v>19</v>
      </c>
      <c r="C66" s="43">
        <v>0.016126482213438736</v>
      </c>
      <c r="D66" s="43">
        <v>0.016126482213438736</v>
      </c>
      <c r="E66" s="43">
        <v>0.016126482213438736</v>
      </c>
      <c r="F66" s="43">
        <v>0.016126482213438736</v>
      </c>
      <c r="G66" s="43">
        <v>0.016126482213438736</v>
      </c>
      <c r="H66" s="43">
        <v>0.016126482213438736</v>
      </c>
      <c r="I66" s="43">
        <v>0.016126482213438736</v>
      </c>
      <c r="J66" s="43">
        <v>0.016126482213438736</v>
      </c>
      <c r="K66" s="43">
        <v>0.016126482213438736</v>
      </c>
      <c r="L66" s="43">
        <v>0.016126482213438736</v>
      </c>
      <c r="M66" s="43">
        <f>SUM(C66,D66,E66,F66,G66,H66,I66,J66,K66,L66)</f>
        <v>0.16126482213438736</v>
      </c>
      <c r="N66" s="58">
        <f>AVERAGE(C66:L66)</f>
        <v>0.016126482213438736</v>
      </c>
    </row>
    <row r="67" spans="2:14" ht="15.5">
      <c r="B67" s="45" t="s">
        <v>20</v>
      </c>
      <c r="C67" s="46">
        <v>2.0722529644268777</v>
      </c>
      <c r="D67" s="46">
        <v>2.0722529644268777</v>
      </c>
      <c r="E67" s="46">
        <v>2.0722529644268777</v>
      </c>
      <c r="F67" s="46">
        <v>2.0722529644268777</v>
      </c>
      <c r="G67" s="46">
        <v>2.0722529644268777</v>
      </c>
      <c r="H67" s="46">
        <v>2.0722529644268777</v>
      </c>
      <c r="I67" s="46">
        <v>2.0722529644268777</v>
      </c>
      <c r="J67" s="46">
        <v>2.0722529644268777</v>
      </c>
      <c r="K67" s="46">
        <v>2.0722529644268777</v>
      </c>
      <c r="L67" s="46">
        <v>2.0722529644268777</v>
      </c>
      <c r="M67" s="46">
        <f>SUM(C67,D67,E67,F67,G67,H67,I67,J67,K67,L67)</f>
        <v>20.722529644268771</v>
      </c>
      <c r="N67" s="47">
        <f>AVERAGE(C67:L67)</f>
        <v>2.0722529644268772</v>
      </c>
    </row>
    <row r="68" spans="2:14" ht="17">
      <c r="B68" s="59" t="s">
        <v>23</v>
      </c>
      <c r="C68" s="49">
        <f t="shared" si="138" ref="C68:N68">SUM(C66,C67)</f>
        <v>2.0883794466403165</v>
      </c>
      <c r="D68" s="49">
        <f t="shared" si="138"/>
        <v>2.0883794466403165</v>
      </c>
      <c r="E68" s="49">
        <f t="shared" si="138"/>
        <v>2.0883794466403165</v>
      </c>
      <c r="F68" s="49">
        <f t="shared" si="138"/>
        <v>2.0883794466403165</v>
      </c>
      <c r="G68" s="49">
        <f t="shared" si="138"/>
        <v>2.0883794466403165</v>
      </c>
      <c r="H68" s="49">
        <f t="shared" si="138"/>
        <v>2.0883794466403165</v>
      </c>
      <c r="I68" s="49">
        <f t="shared" si="138"/>
        <v>2.0883794466403165</v>
      </c>
      <c r="J68" s="49">
        <f t="shared" si="138"/>
        <v>2.0883794466403165</v>
      </c>
      <c r="K68" s="49">
        <f t="shared" si="138"/>
        <v>2.0883794466403165</v>
      </c>
      <c r="L68" s="49">
        <f t="shared" si="138"/>
        <v>2.0883794466403165</v>
      </c>
      <c r="M68" s="49">
        <f t="shared" si="138"/>
        <v>20.88379446640316</v>
      </c>
      <c r="N68" s="72">
        <f t="shared" si="138"/>
        <v>2.0883794466403161</v>
      </c>
    </row>
    <row r="69" spans="2:14" ht="21" customHeight="1">
      <c r="B69" s="56" t="s">
        <v>203</v>
      </c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9"/>
    </row>
    <row r="70" spans="2:14" ht="15.5">
      <c r="B70" s="57" t="s">
        <v>19</v>
      </c>
      <c r="C70" s="43">
        <v>0.24</v>
      </c>
      <c r="D70" s="43">
        <v>0.24</v>
      </c>
      <c r="E70" s="43">
        <v>0.24</v>
      </c>
      <c r="F70" s="43">
        <v>0.24</v>
      </c>
      <c r="G70" s="43">
        <v>0.24</v>
      </c>
      <c r="H70" s="43">
        <v>0.24</v>
      </c>
      <c r="I70" s="43">
        <v>0.24</v>
      </c>
      <c r="J70" s="43">
        <v>0.24</v>
      </c>
      <c r="K70" s="43">
        <v>0.24</v>
      </c>
      <c r="L70" s="43">
        <v>0.24</v>
      </c>
      <c r="M70" s="43">
        <f>SUM(C70,D70,E70,F70,G70,H70,I70,J70,K70,L70)</f>
        <v>2.4000000000000004</v>
      </c>
      <c r="N70" s="58">
        <f>AVERAGE(C70:L70)</f>
        <v>0.24000000000000005</v>
      </c>
    </row>
    <row r="71" spans="2:14" ht="15.5">
      <c r="B71" s="45" t="s">
        <v>20</v>
      </c>
      <c r="C71" s="46">
        <v>5</v>
      </c>
      <c r="D71" s="46">
        <v>5</v>
      </c>
      <c r="E71" s="46">
        <v>5</v>
      </c>
      <c r="F71" s="46">
        <v>5</v>
      </c>
      <c r="G71" s="46">
        <v>5</v>
      </c>
      <c r="H71" s="46">
        <v>5</v>
      </c>
      <c r="I71" s="46">
        <v>5</v>
      </c>
      <c r="J71" s="46">
        <v>5</v>
      </c>
      <c r="K71" s="46">
        <v>5</v>
      </c>
      <c r="L71" s="46">
        <v>5</v>
      </c>
      <c r="M71" s="46">
        <f>SUM(C71,D71,E71,F71,G71,H71,I71,J71,K71,L71)</f>
        <v>50</v>
      </c>
      <c r="N71" s="47">
        <f>AVERAGE(C71:L71)</f>
        <v>5</v>
      </c>
    </row>
    <row r="72" spans="1:14" ht="20.15" customHeight="1">
      <c r="A72" s="8"/>
      <c r="B72" s="59" t="s">
        <v>23</v>
      </c>
      <c r="C72" s="49">
        <f t="shared" si="139" ref="C72:N72">SUM(C70,C71)</f>
        <v>5.24</v>
      </c>
      <c r="D72" s="49">
        <f t="shared" si="139"/>
        <v>5.24</v>
      </c>
      <c r="E72" s="49">
        <f t="shared" si="139"/>
        <v>5.24</v>
      </c>
      <c r="F72" s="49">
        <f t="shared" si="139"/>
        <v>5.24</v>
      </c>
      <c r="G72" s="49">
        <f t="shared" si="139"/>
        <v>5.24</v>
      </c>
      <c r="H72" s="49">
        <f t="shared" si="139"/>
        <v>5.24</v>
      </c>
      <c r="I72" s="49">
        <f t="shared" si="139"/>
        <v>5.24</v>
      </c>
      <c r="J72" s="49">
        <f t="shared" si="139"/>
        <v>5.24</v>
      </c>
      <c r="K72" s="49">
        <f t="shared" si="139"/>
        <v>5.24</v>
      </c>
      <c r="L72" s="49">
        <f t="shared" si="139"/>
        <v>5.24</v>
      </c>
      <c r="M72" s="49">
        <f t="shared" si="139"/>
        <v>52.40</v>
      </c>
      <c r="N72" s="72">
        <f t="shared" si="139"/>
        <v>5.24</v>
      </c>
    </row>
    <row r="73" spans="2:14" ht="21" customHeight="1">
      <c r="B73" s="56" t="s">
        <v>207</v>
      </c>
      <c r="C73" s="9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9"/>
    </row>
    <row r="74" spans="2:14" ht="15.5">
      <c r="B74" s="57" t="s">
        <v>19</v>
      </c>
      <c r="C74" s="43">
        <v>5.95</v>
      </c>
      <c r="D74" s="43">
        <v>5.95</v>
      </c>
      <c r="E74" s="43">
        <v>5.95</v>
      </c>
      <c r="F74" s="43">
        <v>5.95</v>
      </c>
      <c r="G74" s="43">
        <v>5.95</v>
      </c>
      <c r="H74" s="43">
        <v>5.95</v>
      </c>
      <c r="I74" s="43">
        <v>5.95</v>
      </c>
      <c r="J74" s="43">
        <v>5.95</v>
      </c>
      <c r="K74" s="43">
        <v>5.95</v>
      </c>
      <c r="L74" s="43">
        <v>5.95</v>
      </c>
      <c r="M74" s="43">
        <f>SUM(C74,D74,E74,F74,G74,H74,I74,J74,K74,L74)</f>
        <v>59.500000000000014</v>
      </c>
      <c r="N74" s="58">
        <f>AVERAGE(C74:L74)</f>
        <v>5.9500000000000011</v>
      </c>
    </row>
    <row r="75" spans="2:14" ht="15.5">
      <c r="B75" s="45" t="s">
        <v>20</v>
      </c>
      <c r="C75" s="46">
        <v>0.71</v>
      </c>
      <c r="D75" s="46">
        <v>0.71</v>
      </c>
      <c r="E75" s="46">
        <v>0.71</v>
      </c>
      <c r="F75" s="46">
        <v>0.71</v>
      </c>
      <c r="G75" s="46">
        <v>0.71</v>
      </c>
      <c r="H75" s="46">
        <v>0.71</v>
      </c>
      <c r="I75" s="46">
        <v>0.71</v>
      </c>
      <c r="J75" s="46">
        <v>0.71</v>
      </c>
      <c r="K75" s="46">
        <v>0.71</v>
      </c>
      <c r="L75" s="46">
        <v>0.71</v>
      </c>
      <c r="M75" s="46">
        <f>SUM(C75,D75,E75,F75,G75,H75,I75,J75,K75,L75)</f>
        <v>7.10</v>
      </c>
      <c r="N75" s="47">
        <f>AVERAGE(C75:L75)</f>
        <v>0.71</v>
      </c>
    </row>
    <row r="76" spans="1:14" ht="20.15" customHeight="1">
      <c r="A76" s="8"/>
      <c r="B76" s="59" t="s">
        <v>23</v>
      </c>
      <c r="C76" s="49">
        <f t="shared" si="140" ref="C76:N76">SUM(C74,C75)</f>
        <v>6.66</v>
      </c>
      <c r="D76" s="49">
        <f t="shared" si="140"/>
        <v>6.66</v>
      </c>
      <c r="E76" s="49">
        <f t="shared" si="140"/>
        <v>6.66</v>
      </c>
      <c r="F76" s="49">
        <f t="shared" si="140"/>
        <v>6.66</v>
      </c>
      <c r="G76" s="49">
        <f t="shared" si="140"/>
        <v>6.66</v>
      </c>
      <c r="H76" s="49">
        <f t="shared" si="140"/>
        <v>6.66</v>
      </c>
      <c r="I76" s="49">
        <f t="shared" si="140"/>
        <v>6.66</v>
      </c>
      <c r="J76" s="49">
        <f t="shared" si="140"/>
        <v>6.66</v>
      </c>
      <c r="K76" s="49">
        <f t="shared" si="140"/>
        <v>6.66</v>
      </c>
      <c r="L76" s="49">
        <f t="shared" si="140"/>
        <v>6.66</v>
      </c>
      <c r="M76" s="49">
        <f t="shared" si="140"/>
        <v>66.600000000000009</v>
      </c>
      <c r="N76" s="72">
        <f t="shared" si="140"/>
        <v>6.660000000000001</v>
      </c>
    </row>
    <row r="77" spans="2:14" ht="14.5">
      <c r="B77" s="38"/>
      <c r="C77" s="9"/>
      <c r="D77" s="9"/>
      <c r="E77" s="9"/>
      <c r="F77" s="9"/>
      <c r="G77" s="9"/>
      <c r="H77" s="9"/>
      <c r="I77" s="9"/>
      <c r="J77" s="9"/>
      <c r="K77" s="9"/>
      <c r="L77" s="9"/>
      <c r="M77" s="35"/>
      <c r="N77" s="39"/>
    </row>
    <row r="78" spans="2:14" ht="15.5">
      <c r="B78" s="57" t="s">
        <v>21</v>
      </c>
      <c r="C78" s="43">
        <v>6.8961264822134387</v>
      </c>
      <c r="D78" s="43">
        <v>6.8961264822134387</v>
      </c>
      <c r="E78" s="43">
        <v>6.8961264822134387</v>
      </c>
      <c r="F78" s="43">
        <v>6.8961264822134387</v>
      </c>
      <c r="G78" s="43">
        <v>6.8961264822134387</v>
      </c>
      <c r="H78" s="43">
        <v>6.8961264822134387</v>
      </c>
      <c r="I78" s="43">
        <v>6.8961264822134387</v>
      </c>
      <c r="J78" s="43">
        <v>6.8961264822134387</v>
      </c>
      <c r="K78" s="43">
        <v>6.8961264822134387</v>
      </c>
      <c r="L78" s="43">
        <v>6.8961264822134387</v>
      </c>
      <c r="M78" s="43">
        <f>SUM(C78,D78,E78,F78,G78,H78,I78,J78,K78,L78)</f>
        <v>68.961264822134382</v>
      </c>
      <c r="N78" s="58">
        <f>AVERAGE(C78:L78)</f>
        <v>6.8961264822134378</v>
      </c>
    </row>
    <row r="79" spans="2:14" ht="15.5">
      <c r="B79" s="45" t="s">
        <v>22</v>
      </c>
      <c r="C79" s="46">
        <v>10.972630971299729</v>
      </c>
      <c r="D79" s="46">
        <v>10.972630971299729</v>
      </c>
      <c r="E79" s="46">
        <v>10.972630971299729</v>
      </c>
      <c r="F79" s="46">
        <v>10.972630971299729</v>
      </c>
      <c r="G79" s="46">
        <v>10.972630971299729</v>
      </c>
      <c r="H79" s="46">
        <v>10.972630971299729</v>
      </c>
      <c r="I79" s="46">
        <v>10.972630971299729</v>
      </c>
      <c r="J79" s="46">
        <v>10.972630971299729</v>
      </c>
      <c r="K79" s="46">
        <v>10.972630971299729</v>
      </c>
      <c r="L79" s="46">
        <v>10.972630971299729</v>
      </c>
      <c r="M79" s="46">
        <f>SUM(C79,D79,E79,F79,G79,H79,I79,J79,K79,L79)</f>
        <v>109.72630971299731</v>
      </c>
      <c r="N79" s="47">
        <f>AVERAGE(C79:L79)</f>
        <v>10.972630971299731</v>
      </c>
    </row>
    <row r="80" spans="1:14" ht="20.15" customHeight="1" thickBot="1">
      <c r="A80" s="8"/>
      <c r="B80" s="60" t="s">
        <v>23</v>
      </c>
      <c r="C80" s="61">
        <f t="shared" si="141" ref="C80:N80">SUM(C78,C79)</f>
        <v>17.868757453513169</v>
      </c>
      <c r="D80" s="61">
        <f t="shared" si="141"/>
        <v>17.868757453513169</v>
      </c>
      <c r="E80" s="61">
        <f t="shared" si="141"/>
        <v>17.868757453513169</v>
      </c>
      <c r="F80" s="61">
        <f t="shared" si="141"/>
        <v>17.868757453513169</v>
      </c>
      <c r="G80" s="61">
        <f t="shared" si="141"/>
        <v>17.868757453513169</v>
      </c>
      <c r="H80" s="61">
        <f t="shared" si="141"/>
        <v>17.868757453513169</v>
      </c>
      <c r="I80" s="61">
        <f t="shared" si="141"/>
        <v>17.868757453513169</v>
      </c>
      <c r="J80" s="61">
        <f t="shared" si="141"/>
        <v>17.868757453513169</v>
      </c>
      <c r="K80" s="61">
        <f t="shared" si="141"/>
        <v>17.868757453513169</v>
      </c>
      <c r="L80" s="61">
        <f t="shared" si="141"/>
        <v>17.868757453513169</v>
      </c>
      <c r="M80" s="61">
        <f t="shared" si="141"/>
        <v>178.68757453513169</v>
      </c>
      <c r="N80" s="62">
        <f t="shared" si="141"/>
        <v>17.868757453513169</v>
      </c>
    </row>
    <row r="81" spans="2:14" ht="15" thickBot="1">
      <c r="B81" s="3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2:14" ht="15.5">
      <c r="B82" s="63" t="s">
        <v>26</v>
      </c>
      <c r="C82" s="64">
        <f>C53-C78</f>
        <v>2.7638735177865614</v>
      </c>
      <c r="D82" s="64">
        <f t="shared" si="142" ref="D82:N82">D53-D78</f>
        <v>5.0738735177865602</v>
      </c>
      <c r="E82" s="64">
        <f t="shared" si="142"/>
        <v>5.2038735177865627</v>
      </c>
      <c r="F82" s="64">
        <f t="shared" si="142"/>
        <v>5.0738735177865637</v>
      </c>
      <c r="G82" s="64">
        <f t="shared" si="142"/>
        <v>5.0738735177865637</v>
      </c>
      <c r="H82" s="64">
        <f t="shared" si="142"/>
        <v>5.0838735177865617</v>
      </c>
      <c r="I82" s="64">
        <f t="shared" si="142"/>
        <v>5.0838735177865617</v>
      </c>
      <c r="J82" s="64">
        <f t="shared" si="142"/>
        <v>5.0838735177865617</v>
      </c>
      <c r="K82" s="64">
        <f t="shared" si="142"/>
        <v>5.0838735177865617</v>
      </c>
      <c r="L82" s="64">
        <f t="shared" si="142"/>
        <v>5.0838735177865617</v>
      </c>
      <c r="M82" s="64">
        <f t="shared" si="142"/>
        <v>48.60873517786564</v>
      </c>
      <c r="N82" s="65">
        <f t="shared" si="142"/>
        <v>4.8608735177865636</v>
      </c>
    </row>
    <row r="83" spans="2:14" ht="15.5">
      <c r="B83" s="45" t="s">
        <v>27</v>
      </c>
      <c r="C83" s="46">
        <f t="shared" si="143" ref="C83:N83">C54-C79</f>
        <v>11.397369028700268</v>
      </c>
      <c r="D83" s="46">
        <f t="shared" si="143"/>
        <v>80.977369028700281</v>
      </c>
      <c r="E83" s="46">
        <f t="shared" si="143"/>
        <v>88.877369028700258</v>
      </c>
      <c r="F83" s="46">
        <f t="shared" si="143"/>
        <v>85.177369028700269</v>
      </c>
      <c r="G83" s="46">
        <f t="shared" si="143"/>
        <v>84.177369028700269</v>
      </c>
      <c r="H83" s="46">
        <f t="shared" si="143"/>
        <v>84.177369028700269</v>
      </c>
      <c r="I83" s="46">
        <f t="shared" si="143"/>
        <v>84.177369028700269</v>
      </c>
      <c r="J83" s="46">
        <f t="shared" si="143"/>
        <v>84.177369028700269</v>
      </c>
      <c r="K83" s="46">
        <f t="shared" si="143"/>
        <v>84.177369028700269</v>
      </c>
      <c r="L83" s="46">
        <f t="shared" si="143"/>
        <v>84.177369028700269</v>
      </c>
      <c r="M83" s="46">
        <f t="shared" si="143"/>
        <v>771.49369028700266</v>
      </c>
      <c r="N83" s="47">
        <f t="shared" si="143"/>
        <v>77.149369028700249</v>
      </c>
    </row>
    <row r="84" spans="1:14" ht="20.15" customHeight="1" thickBot="1">
      <c r="A84" s="8"/>
      <c r="B84" s="60" t="s">
        <v>24</v>
      </c>
      <c r="C84" s="61">
        <f t="shared" si="144" ref="C84:N84">SUM(C82,C83)</f>
        <v>14.161242546486829</v>
      </c>
      <c r="D84" s="61">
        <f t="shared" si="144"/>
        <v>86.051242546486847</v>
      </c>
      <c r="E84" s="61">
        <f t="shared" si="144"/>
        <v>94.08124254648682</v>
      </c>
      <c r="F84" s="61">
        <f t="shared" si="144"/>
        <v>90.251242546486836</v>
      </c>
      <c r="G84" s="61">
        <f t="shared" si="144"/>
        <v>89.251242546486836</v>
      </c>
      <c r="H84" s="61">
        <f t="shared" si="144"/>
        <v>89.261242546486827</v>
      </c>
      <c r="I84" s="61">
        <f t="shared" si="144"/>
        <v>89.261242546486827</v>
      </c>
      <c r="J84" s="61">
        <f t="shared" si="144"/>
        <v>89.261242546486827</v>
      </c>
      <c r="K84" s="61">
        <f t="shared" si="144"/>
        <v>89.261242546486827</v>
      </c>
      <c r="L84" s="61">
        <f t="shared" si="144"/>
        <v>89.261242546486827</v>
      </c>
      <c r="M84" s="61">
        <f t="shared" si="144"/>
        <v>820.10242546486825</v>
      </c>
      <c r="N84" s="62">
        <f t="shared" si="144"/>
        <v>82.010242546486808</v>
      </c>
    </row>
    <row r="85" spans="2:14" ht="14.5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</row>
    <row r="86" spans="2:14" ht="15.75" customHeight="1">
      <c r="B86" s="66" t="s">
        <v>14</v>
      </c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</row>
    <row r="87" spans="2:14" ht="15.75" customHeight="1">
      <c r="B87" s="66" t="s">
        <v>13</v>
      </c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</row>
  </sheetData>
  <printOptions horizontalCentered="1"/>
  <pageMargins left="0.5" right="0.5" top="0.5" bottom="0.5" header="0" footer="0"/>
  <pageSetup orientation="portrait" scale="1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B1:N16"/>
  <sheetViews>
    <sheetView zoomScale="90" zoomScaleNormal="90" workbookViewId="0" topLeftCell="B1">
      <selection pane="topLeft" activeCell="A1" sqref="A1"/>
    </sheetView>
  </sheetViews>
  <sheetFormatPr defaultColWidth="9.1796875" defaultRowHeight="15"/>
  <cols>
    <col min="1" max="1" width="3.28571428571429" style="1" customWidth="1"/>
    <col min="2" max="2" width="22.2857142857143" style="1" customWidth="1"/>
    <col min="3" max="3" width="10.4285714285714" style="1" customWidth="1"/>
    <col min="4" max="4" width="14.2857142857143" style="1" customWidth="1"/>
    <col min="5" max="5" width="7.57142857142857" style="1" customWidth="1"/>
    <col min="6" max="6" width="10.5714285714286" style="1" customWidth="1"/>
    <col min="7" max="7" width="43.4285714285714" style="1" customWidth="1"/>
    <col min="8" max="8" width="13.2857142857143" style="1" customWidth="1"/>
    <col min="9" max="14" width="15.7142857142857" style="1" customWidth="1"/>
    <col min="15" max="16384" width="9.14285714285714" style="1"/>
  </cols>
  <sheetData>
    <row r="1" ht="23">
      <c r="L1" s="356" t="s">
        <v>284</v>
      </c>
    </row>
    <row r="3" spans="2:14" ht="28.5">
      <c r="B3" s="399" t="s">
        <v>193</v>
      </c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17"/>
    </row>
    <row r="4" spans="2:14" ht="28.5">
      <c r="B4" s="399" t="s">
        <v>267</v>
      </c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17"/>
    </row>
    <row r="5" ht="15" thickBot="1"/>
    <row r="6" spans="2:13" ht="21" customHeight="1">
      <c r="B6" s="122"/>
      <c r="H6" s="400" t="s">
        <v>268</v>
      </c>
      <c r="I6" s="401"/>
      <c r="J6" s="400" t="s">
        <v>34</v>
      </c>
      <c r="K6" s="402"/>
      <c r="L6" s="400" t="s">
        <v>35</v>
      </c>
      <c r="M6" s="401"/>
    </row>
    <row r="7" spans="8:13" ht="21" customHeight="1" thickBot="1">
      <c r="H7" s="124" t="s">
        <v>1</v>
      </c>
      <c r="I7" s="125" t="s">
        <v>2</v>
      </c>
      <c r="J7" s="124" t="s">
        <v>1</v>
      </c>
      <c r="K7" s="126" t="s">
        <v>2</v>
      </c>
      <c r="L7" s="124" t="s">
        <v>1</v>
      </c>
      <c r="M7" s="125" t="s">
        <v>2</v>
      </c>
    </row>
    <row r="8" spans="8:13" ht="30" customHeight="1" thickBot="1">
      <c r="H8" s="308">
        <v>0</v>
      </c>
      <c r="I8" s="309">
        <v>0</v>
      </c>
      <c r="J8" s="309">
        <v>5000000</v>
      </c>
      <c r="K8" s="309">
        <v>180000</v>
      </c>
      <c r="L8" s="309">
        <v>5000000</v>
      </c>
      <c r="M8" s="310">
        <v>180000</v>
      </c>
    </row>
    <row r="9" spans="2:14" ht="15" thickBot="1">
      <c r="B9" s="94"/>
      <c r="C9" s="94"/>
      <c r="D9" s="94"/>
      <c r="E9" s="94"/>
      <c r="F9" s="94"/>
      <c r="G9" s="94"/>
      <c r="H9" s="95"/>
      <c r="I9" s="95"/>
      <c r="J9" s="94"/>
      <c r="K9" s="94"/>
      <c r="L9" s="96"/>
      <c r="M9" s="96"/>
      <c r="N9" s="94"/>
    </row>
    <row r="10" spans="2:14" ht="30" customHeight="1">
      <c r="B10" s="147" t="s">
        <v>78</v>
      </c>
      <c r="C10" s="148" t="s">
        <v>79</v>
      </c>
      <c r="D10" s="148"/>
      <c r="E10" s="148" t="s">
        <v>94</v>
      </c>
      <c r="F10" s="156"/>
      <c r="G10" s="157" t="s">
        <v>55</v>
      </c>
      <c r="H10" s="148" t="s">
        <v>81</v>
      </c>
      <c r="I10" s="158"/>
      <c r="J10" s="10"/>
      <c r="K10" s="10"/>
      <c r="L10" s="98"/>
      <c r="M10" s="98"/>
      <c r="N10" s="10"/>
    </row>
    <row r="11" spans="2:13" ht="47" thickBot="1">
      <c r="B11" s="144" t="s">
        <v>82</v>
      </c>
      <c r="C11" s="426" t="s">
        <v>119</v>
      </c>
      <c r="D11" s="415"/>
      <c r="E11" s="199" t="s">
        <v>120</v>
      </c>
      <c r="F11" s="160"/>
      <c r="G11" s="155" t="s">
        <v>270</v>
      </c>
      <c r="H11" s="159" t="s">
        <v>121</v>
      </c>
      <c r="I11" s="161"/>
      <c r="M11" s="97"/>
    </row>
    <row r="12" spans="2:13" ht="16" thickBot="1">
      <c r="B12" s="133"/>
      <c r="C12" s="425"/>
      <c r="D12" s="425"/>
      <c r="E12" s="133"/>
      <c r="F12" s="133"/>
      <c r="G12" s="133"/>
      <c r="H12" s="162"/>
      <c r="I12" s="133"/>
      <c r="L12" s="97"/>
      <c r="M12" s="97"/>
    </row>
    <row r="13" spans="2:14" ht="30" customHeight="1">
      <c r="B13" s="147" t="s">
        <v>85</v>
      </c>
      <c r="C13" s="148" t="s">
        <v>79</v>
      </c>
      <c r="D13" s="148"/>
      <c r="E13" s="148" t="s">
        <v>94</v>
      </c>
      <c r="F13" s="156"/>
      <c r="G13" s="157" t="s">
        <v>55</v>
      </c>
      <c r="H13" s="148" t="s">
        <v>81</v>
      </c>
      <c r="I13" s="158"/>
      <c r="J13" s="10"/>
      <c r="K13" s="10"/>
      <c r="L13" s="98"/>
      <c r="M13" s="98"/>
      <c r="N13" s="10"/>
    </row>
    <row r="14" spans="2:13" ht="47" thickBot="1">
      <c r="B14" s="144" t="s">
        <v>82</v>
      </c>
      <c r="C14" s="426" t="s">
        <v>119</v>
      </c>
      <c r="D14" s="415"/>
      <c r="E14" s="199" t="s">
        <v>120</v>
      </c>
      <c r="F14" s="160"/>
      <c r="G14" s="155" t="s">
        <v>270</v>
      </c>
      <c r="H14" s="159" t="s">
        <v>121</v>
      </c>
      <c r="I14" s="161"/>
      <c r="L14" s="97"/>
      <c r="M14" s="97"/>
    </row>
    <row r="16" ht="15.5">
      <c r="B16" s="353" t="s">
        <v>269</v>
      </c>
    </row>
  </sheetData>
  <mergeCells count="8">
    <mergeCell ref="C12:D12"/>
    <mergeCell ref="C14:D14"/>
    <mergeCell ref="H6:I6"/>
    <mergeCell ref="B3:M3"/>
    <mergeCell ref="B4:M4"/>
    <mergeCell ref="J6:K6"/>
    <mergeCell ref="L6:M6"/>
    <mergeCell ref="C11:D11"/>
  </mergeCells>
  <printOptions horizontalCentered="1"/>
  <pageMargins left="0.5" right="0.5" top="0.5" bottom="0.5" header="0" footer="0"/>
  <pageSetup orientation="landscape" scale="10" r:id="rId1"/>
  <ignoredErrors>
    <ignoredError sqref="C11:D1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60"/>
  <sheetViews>
    <sheetView zoomScaleSheetLayoutView="80" workbookViewId="0" topLeftCell="B1">
      <pane ySplit="7" topLeftCell="A8" activePane="bottomLeft" state="frozen"/>
      <selection pane="topLeft" activeCell="A1" sqref="A1:G14"/>
      <selection pane="bottomLeft" activeCell="G1" sqref="G1"/>
    </sheetView>
  </sheetViews>
  <sheetFormatPr defaultColWidth="9.1796875" defaultRowHeight="15"/>
  <cols>
    <col min="1" max="1" width="63.5714285714286" style="1" bestFit="1" customWidth="1"/>
    <col min="2" max="2" width="15.7142857142857" style="1" customWidth="1"/>
    <col min="3" max="3" width="20.7142857142857" style="1" bestFit="1" customWidth="1"/>
    <col min="4" max="4" width="30.7142857142857" style="1" customWidth="1"/>
    <col min="5" max="5" width="56.2857142857143" style="1" customWidth="1"/>
    <col min="6" max="10" width="20.7142857142857" style="1" customWidth="1"/>
    <col min="11" max="11" width="20.2857142857143" style="1" customWidth="1"/>
    <col min="12" max="12" width="1.42857142857143" style="1" customWidth="1"/>
    <col min="13" max="16384" width="9.14285714285714" style="1"/>
  </cols>
  <sheetData>
    <row r="1" ht="14.5">
      <c r="G1" s="356" t="s">
        <v>285</v>
      </c>
    </row>
    <row r="2" ht="14.5">
      <c r="G2" s="356" t="s">
        <v>274</v>
      </c>
    </row>
    <row r="3" spans="1:11" ht="28.5">
      <c r="A3" s="182" t="s">
        <v>194</v>
      </c>
      <c r="B3" s="81"/>
      <c r="C3" s="81"/>
      <c r="D3" s="81"/>
      <c r="E3" s="81"/>
      <c r="F3" s="81"/>
      <c r="G3" s="81"/>
      <c r="H3" s="81"/>
      <c r="I3" s="81"/>
      <c r="J3" s="17"/>
      <c r="K3" s="17"/>
    </row>
    <row r="4" spans="1:11" ht="28.5">
      <c r="A4" s="182" t="s">
        <v>111</v>
      </c>
      <c r="B4" s="81"/>
      <c r="C4" s="81"/>
      <c r="D4" s="81"/>
      <c r="E4" s="81"/>
      <c r="F4" s="81"/>
      <c r="G4" s="81"/>
      <c r="H4" s="81"/>
      <c r="I4" s="81"/>
      <c r="J4" s="17"/>
      <c r="K4" s="17"/>
    </row>
    <row r="5" spans="5:7" ht="15" thickBot="1">
      <c r="E5" s="116"/>
      <c r="F5" s="116"/>
      <c r="G5" s="116"/>
    </row>
    <row r="6" spans="6:11" ht="21" customHeight="1">
      <c r="F6" s="384" t="s">
        <v>33</v>
      </c>
      <c r="G6" s="385"/>
      <c r="H6" s="384" t="s">
        <v>34</v>
      </c>
      <c r="I6" s="386"/>
      <c r="J6" s="384" t="s">
        <v>35</v>
      </c>
      <c r="K6" s="385"/>
    </row>
    <row r="7" spans="6:11" ht="21" customHeight="1" thickBot="1">
      <c r="F7" s="67" t="s">
        <v>1</v>
      </c>
      <c r="G7" s="68" t="s">
        <v>2</v>
      </c>
      <c r="H7" s="67" t="s">
        <v>1</v>
      </c>
      <c r="I7" s="69" t="s">
        <v>2</v>
      </c>
      <c r="J7" s="67" t="s">
        <v>1</v>
      </c>
      <c r="K7" s="68" t="s">
        <v>2</v>
      </c>
    </row>
    <row r="8" spans="5:11" ht="30" customHeight="1" thickBot="1">
      <c r="E8" s="21"/>
      <c r="F8" s="191">
        <f>SUM(F21,F37,F52)</f>
        <v>5220000</v>
      </c>
      <c r="G8" s="191">
        <f>SUM(G21,G37,G52)</f>
        <v>70000</v>
      </c>
      <c r="H8" s="192">
        <v>45100000</v>
      </c>
      <c r="I8" s="192">
        <v>400000</v>
      </c>
      <c r="J8" s="192">
        <v>54900000</v>
      </c>
      <c r="K8" s="193">
        <v>600000</v>
      </c>
    </row>
    <row r="9" spans="5:7" ht="14.5">
      <c r="E9" s="116"/>
      <c r="F9" s="116"/>
      <c r="G9" s="116"/>
    </row>
    <row r="10" spans="1:7" ht="21.5" thickBot="1">
      <c r="A10" s="70" t="s">
        <v>265</v>
      </c>
      <c r="B10" s="19"/>
      <c r="C10" s="19"/>
      <c r="D10" s="19"/>
      <c r="E10" s="19"/>
      <c r="F10" s="19"/>
      <c r="G10" s="19"/>
    </row>
    <row r="11" spans="1:11" ht="15.5">
      <c r="A11" s="175"/>
      <c r="B11" s="240"/>
      <c r="C11" s="240" t="s">
        <v>0</v>
      </c>
      <c r="D11" s="177"/>
      <c r="E11" s="179"/>
      <c r="F11" s="400" t="s">
        <v>81</v>
      </c>
      <c r="G11" s="401"/>
      <c r="H11" s="238" t="s">
        <v>87</v>
      </c>
      <c r="I11" s="237" t="s">
        <v>87</v>
      </c>
      <c r="J11" s="257" t="s">
        <v>88</v>
      </c>
      <c r="K11" s="152"/>
    </row>
    <row r="12" spans="1:11" ht="15" thickBot="1">
      <c r="A12" s="176" t="s">
        <v>51</v>
      </c>
      <c r="B12" s="169" t="s">
        <v>52</v>
      </c>
      <c r="C12" s="169" t="s">
        <v>114</v>
      </c>
      <c r="D12" s="178" t="s">
        <v>55</v>
      </c>
      <c r="E12" s="180"/>
      <c r="F12" s="303" t="s">
        <v>17</v>
      </c>
      <c r="G12" s="302" t="s">
        <v>18</v>
      </c>
      <c r="H12" s="304" t="s">
        <v>89</v>
      </c>
      <c r="I12" s="302" t="s">
        <v>90</v>
      </c>
      <c r="J12" s="301" t="s">
        <v>91</v>
      </c>
      <c r="K12" s="302" t="s">
        <v>246</v>
      </c>
    </row>
    <row r="13" spans="1:11" ht="22" customHeight="1">
      <c r="A13" s="172" t="s">
        <v>251</v>
      </c>
      <c r="B13" s="170" t="s">
        <v>232</v>
      </c>
      <c r="C13" s="170" t="s">
        <v>225</v>
      </c>
      <c r="D13" s="442" t="s">
        <v>235</v>
      </c>
      <c r="E13" s="443"/>
      <c r="F13" s="171">
        <v>300000</v>
      </c>
      <c r="G13" s="171">
        <v>0</v>
      </c>
      <c r="H13" s="243" t="s">
        <v>102</v>
      </c>
      <c r="I13" s="243" t="s">
        <v>236</v>
      </c>
      <c r="J13" s="291">
        <v>4827</v>
      </c>
      <c r="K13" s="292">
        <v>378</v>
      </c>
    </row>
    <row r="14" spans="1:11" ht="22" customHeight="1">
      <c r="A14" s="173" t="s">
        <v>252</v>
      </c>
      <c r="B14" s="107" t="s">
        <v>232</v>
      </c>
      <c r="C14" s="107" t="s">
        <v>226</v>
      </c>
      <c r="D14" s="440" t="s">
        <v>247</v>
      </c>
      <c r="E14" s="441"/>
      <c r="F14" s="83">
        <v>300000</v>
      </c>
      <c r="G14" s="83">
        <v>0</v>
      </c>
      <c r="H14" s="242" t="s">
        <v>236</v>
      </c>
      <c r="I14" s="242" t="s">
        <v>93</v>
      </c>
      <c r="J14" s="293">
        <v>6054</v>
      </c>
      <c r="K14" s="294">
        <v>348</v>
      </c>
    </row>
    <row r="15" spans="1:11" ht="22" customHeight="1">
      <c r="A15" s="173" t="s">
        <v>253</v>
      </c>
      <c r="B15" s="107" t="s">
        <v>232</v>
      </c>
      <c r="C15" s="107" t="s">
        <v>227</v>
      </c>
      <c r="D15" s="440" t="s">
        <v>235</v>
      </c>
      <c r="E15" s="441"/>
      <c r="F15" s="83">
        <v>300000</v>
      </c>
      <c r="G15" s="83">
        <v>0</v>
      </c>
      <c r="H15" s="242" t="s">
        <v>236</v>
      </c>
      <c r="I15" s="242" t="s">
        <v>93</v>
      </c>
      <c r="J15" s="293">
        <v>5122</v>
      </c>
      <c r="K15" s="294">
        <v>462</v>
      </c>
    </row>
    <row r="16" spans="1:11" ht="22" customHeight="1">
      <c r="A16" s="267" t="s">
        <v>254</v>
      </c>
      <c r="B16" s="107" t="s">
        <v>233</v>
      </c>
      <c r="C16" s="107" t="s">
        <v>228</v>
      </c>
      <c r="D16" s="440" t="s">
        <v>250</v>
      </c>
      <c r="E16" s="441"/>
      <c r="F16" s="83">
        <v>20000</v>
      </c>
      <c r="G16" s="83">
        <v>0</v>
      </c>
      <c r="H16" s="242" t="s">
        <v>236</v>
      </c>
      <c r="I16" s="242" t="s">
        <v>93</v>
      </c>
      <c r="J16" s="293">
        <v>0</v>
      </c>
      <c r="K16" s="294">
        <v>1</v>
      </c>
    </row>
    <row r="17" spans="1:11" ht="22" customHeight="1">
      <c r="A17" s="267" t="s">
        <v>255</v>
      </c>
      <c r="B17" s="107" t="s">
        <v>233</v>
      </c>
      <c r="C17" s="107" t="s">
        <v>229</v>
      </c>
      <c r="D17" s="440" t="s">
        <v>250</v>
      </c>
      <c r="E17" s="441"/>
      <c r="F17" s="83">
        <v>20000</v>
      </c>
      <c r="G17" s="83">
        <v>0</v>
      </c>
      <c r="H17" s="242" t="s">
        <v>236</v>
      </c>
      <c r="I17" s="242" t="s">
        <v>93</v>
      </c>
      <c r="J17" s="293">
        <v>0</v>
      </c>
      <c r="K17" s="294">
        <v>2</v>
      </c>
    </row>
    <row r="18" spans="1:11" ht="22" customHeight="1">
      <c r="A18" s="173" t="s">
        <v>256</v>
      </c>
      <c r="B18" s="107" t="s">
        <v>234</v>
      </c>
      <c r="C18" s="107" t="s">
        <v>230</v>
      </c>
      <c r="D18" s="436" t="s">
        <v>249</v>
      </c>
      <c r="E18" s="437"/>
      <c r="F18" s="83">
        <v>20000</v>
      </c>
      <c r="G18" s="83">
        <v>0</v>
      </c>
      <c r="H18" s="242" t="s">
        <v>236</v>
      </c>
      <c r="I18" s="242" t="s">
        <v>93</v>
      </c>
      <c r="J18" s="293">
        <v>0</v>
      </c>
      <c r="K18" s="294">
        <v>25</v>
      </c>
    </row>
    <row r="19" spans="1:11" ht="22" customHeight="1">
      <c r="A19" s="173" t="s">
        <v>257</v>
      </c>
      <c r="B19" s="107" t="s">
        <v>234</v>
      </c>
      <c r="C19" s="107" t="s">
        <v>231</v>
      </c>
      <c r="D19" s="436" t="s">
        <v>249</v>
      </c>
      <c r="E19" s="437"/>
      <c r="F19" s="83">
        <v>20000</v>
      </c>
      <c r="G19" s="83">
        <v>0</v>
      </c>
      <c r="H19" s="242" t="s">
        <v>236</v>
      </c>
      <c r="I19" s="242" t="s">
        <v>93</v>
      </c>
      <c r="J19" s="293">
        <v>0</v>
      </c>
      <c r="K19" s="294">
        <v>2</v>
      </c>
    </row>
    <row r="20" spans="1:11" ht="22" customHeight="1" thickBot="1">
      <c r="A20" s="174" t="s">
        <v>258</v>
      </c>
      <c r="B20" s="115" t="s">
        <v>233</v>
      </c>
      <c r="C20" s="115" t="s">
        <v>237</v>
      </c>
      <c r="D20" s="438" t="s">
        <v>249</v>
      </c>
      <c r="E20" s="439"/>
      <c r="F20" s="83">
        <v>20000</v>
      </c>
      <c r="G20" s="83">
        <v>0</v>
      </c>
      <c r="H20" s="241" t="s">
        <v>236</v>
      </c>
      <c r="I20" s="241" t="s">
        <v>93</v>
      </c>
      <c r="J20" s="295">
        <v>1255</v>
      </c>
      <c r="K20" s="296">
        <v>534</v>
      </c>
    </row>
    <row r="21" spans="1:11" ht="22" customHeight="1" thickBot="1">
      <c r="A21" s="262"/>
      <c r="B21" s="263"/>
      <c r="C21" s="263"/>
      <c r="D21" s="264"/>
      <c r="E21" s="34" t="s">
        <v>103</v>
      </c>
      <c r="F21" s="100">
        <f>SUM(F13:F20)</f>
        <v>1000000</v>
      </c>
      <c r="G21" s="101">
        <f>SUM(G13:G20)</f>
        <v>0</v>
      </c>
      <c r="H21" s="266"/>
      <c r="I21" s="265"/>
      <c r="J21" s="266"/>
      <c r="K21" s="265"/>
    </row>
    <row r="22" spans="1:7" ht="15" customHeight="1" thickBot="1">
      <c r="A22" s="70"/>
      <c r="B22" s="19"/>
      <c r="C22" s="19"/>
      <c r="D22" s="19"/>
      <c r="E22" s="19"/>
      <c r="F22" s="19"/>
      <c r="G22" s="19"/>
    </row>
    <row r="23" spans="1:12" ht="15.5">
      <c r="A23" s="183"/>
      <c r="B23" s="240" t="s">
        <v>87</v>
      </c>
      <c r="C23" s="240"/>
      <c r="D23" s="235"/>
      <c r="E23" s="236"/>
      <c r="F23" s="400" t="s">
        <v>81</v>
      </c>
      <c r="G23" s="401"/>
      <c r="I23" s="212"/>
      <c r="J23" s="212"/>
      <c r="K23" s="428"/>
      <c r="L23" s="428"/>
    </row>
    <row r="24" spans="1:12" ht="15.75" customHeight="1" thickBot="1">
      <c r="A24" s="169" t="s">
        <v>78</v>
      </c>
      <c r="B24" s="169" t="s">
        <v>104</v>
      </c>
      <c r="C24" s="169" t="s">
        <v>114</v>
      </c>
      <c r="D24" s="178" t="s">
        <v>55</v>
      </c>
      <c r="E24" s="185"/>
      <c r="F24" s="124" t="s">
        <v>17</v>
      </c>
      <c r="G24" s="125" t="s">
        <v>18</v>
      </c>
      <c r="I24" s="258"/>
      <c r="J24" s="258"/>
      <c r="K24" s="258"/>
      <c r="L24" s="259"/>
    </row>
    <row r="25" spans="1:12" ht="22" customHeight="1" thickBot="1">
      <c r="A25" s="184" t="s">
        <v>82</v>
      </c>
      <c r="B25" s="244">
        <v>3</v>
      </c>
      <c r="C25" s="244">
        <v>3</v>
      </c>
      <c r="D25" s="430" t="s">
        <v>235</v>
      </c>
      <c r="E25" s="430"/>
      <c r="F25" s="271">
        <v>1000000</v>
      </c>
      <c r="G25" s="272">
        <v>0</v>
      </c>
      <c r="I25" s="429"/>
      <c r="J25" s="429"/>
      <c r="K25" s="270"/>
      <c r="L25" s="259"/>
    </row>
    <row r="26" spans="2:12" ht="15" thickBot="1">
      <c r="B26" s="3"/>
      <c r="C26" s="3"/>
      <c r="I26" s="4"/>
      <c r="J26" s="4"/>
      <c r="K26" s="4"/>
      <c r="L26" s="4"/>
    </row>
    <row r="27" spans="1:12" ht="15.5">
      <c r="A27" s="183"/>
      <c r="B27" s="240" t="s">
        <v>87</v>
      </c>
      <c r="C27" s="240"/>
      <c r="D27" s="235"/>
      <c r="E27" s="236"/>
      <c r="F27" s="400" t="s">
        <v>81</v>
      </c>
      <c r="G27" s="401"/>
      <c r="I27" s="212"/>
      <c r="J27" s="212"/>
      <c r="K27" s="428"/>
      <c r="L27" s="428"/>
    </row>
    <row r="28" spans="1:12" ht="16" thickBot="1">
      <c r="A28" s="169" t="s">
        <v>85</v>
      </c>
      <c r="B28" s="169" t="s">
        <v>104</v>
      </c>
      <c r="C28" s="169" t="s">
        <v>114</v>
      </c>
      <c r="D28" s="178" t="s">
        <v>55</v>
      </c>
      <c r="E28" s="185"/>
      <c r="F28" s="124" t="s">
        <v>17</v>
      </c>
      <c r="G28" s="125" t="s">
        <v>18</v>
      </c>
      <c r="I28" s="258"/>
      <c r="J28" s="258"/>
      <c r="K28" s="258"/>
      <c r="L28" s="259"/>
    </row>
    <row r="29" spans="1:12" ht="22" customHeight="1" thickBot="1">
      <c r="A29" s="184" t="s">
        <v>82</v>
      </c>
      <c r="B29" s="244">
        <v>3</v>
      </c>
      <c r="C29" s="244">
        <v>3</v>
      </c>
      <c r="D29" s="430" t="s">
        <v>235</v>
      </c>
      <c r="E29" s="430"/>
      <c r="F29" s="271">
        <v>1000000</v>
      </c>
      <c r="G29" s="272">
        <v>0</v>
      </c>
      <c r="I29" s="429"/>
      <c r="J29" s="429"/>
      <c r="K29" s="270"/>
      <c r="L29" s="259"/>
    </row>
    <row r="30" spans="1:7" ht="21">
      <c r="A30" s="70"/>
      <c r="B30" s="19"/>
      <c r="C30" s="19"/>
      <c r="D30" s="19"/>
      <c r="E30" s="19"/>
      <c r="F30" s="19"/>
      <c r="G30" s="19"/>
    </row>
    <row r="31" ht="21.5" thickBot="1">
      <c r="A31" s="70" t="s">
        <v>117</v>
      </c>
    </row>
    <row r="32" spans="1:11" ht="21" customHeight="1">
      <c r="A32" s="175"/>
      <c r="B32" s="240"/>
      <c r="C32" s="240" t="s">
        <v>224</v>
      </c>
      <c r="D32" s="320"/>
      <c r="E32" s="261"/>
      <c r="F32" s="400" t="s">
        <v>81</v>
      </c>
      <c r="G32" s="401"/>
      <c r="H32" s="322" t="s">
        <v>87</v>
      </c>
      <c r="I32" s="321" t="s">
        <v>87</v>
      </c>
      <c r="J32" s="257" t="s">
        <v>88</v>
      </c>
      <c r="K32" s="152"/>
    </row>
    <row r="33" spans="1:11" ht="21" customHeight="1" thickBot="1">
      <c r="A33" s="176" t="s">
        <v>51</v>
      </c>
      <c r="B33" s="169" t="s">
        <v>52</v>
      </c>
      <c r="C33" s="169" t="s">
        <v>114</v>
      </c>
      <c r="D33" s="178" t="s">
        <v>55</v>
      </c>
      <c r="E33" s="180"/>
      <c r="F33" s="303" t="s">
        <v>17</v>
      </c>
      <c r="G33" s="304" t="s">
        <v>18</v>
      </c>
      <c r="H33" s="303" t="s">
        <v>89</v>
      </c>
      <c r="I33" s="302" t="s">
        <v>90</v>
      </c>
      <c r="J33" s="301" t="s">
        <v>91</v>
      </c>
      <c r="K33" s="302" t="s">
        <v>246</v>
      </c>
    </row>
    <row r="34" spans="1:11" ht="22" customHeight="1">
      <c r="A34" s="173" t="s">
        <v>238</v>
      </c>
      <c r="B34" s="107" t="s">
        <v>68</v>
      </c>
      <c r="C34" s="107" t="s">
        <v>0</v>
      </c>
      <c r="D34" s="440" t="s">
        <v>248</v>
      </c>
      <c r="E34" s="441"/>
      <c r="F34" s="83">
        <v>75000</v>
      </c>
      <c r="G34" s="83">
        <v>0</v>
      </c>
      <c r="H34" s="323" t="s">
        <v>102</v>
      </c>
      <c r="I34" s="323" t="s">
        <v>108</v>
      </c>
      <c r="J34" s="293">
        <v>5245</v>
      </c>
      <c r="K34" s="294">
        <v>863</v>
      </c>
    </row>
    <row r="35" spans="1:11" ht="22" customHeight="1">
      <c r="A35" s="173" t="s">
        <v>239</v>
      </c>
      <c r="B35" s="107" t="s">
        <v>68</v>
      </c>
      <c r="C35" s="107" t="s">
        <v>0</v>
      </c>
      <c r="D35" s="440" t="s">
        <v>248</v>
      </c>
      <c r="E35" s="441"/>
      <c r="F35" s="83">
        <v>75000</v>
      </c>
      <c r="G35" s="83">
        <v>0</v>
      </c>
      <c r="H35" s="323" t="s">
        <v>102</v>
      </c>
      <c r="I35" s="323" t="s">
        <v>108</v>
      </c>
      <c r="J35" s="293">
        <v>5923</v>
      </c>
      <c r="K35" s="294">
        <v>1191</v>
      </c>
    </row>
    <row r="36" spans="1:11" ht="22" customHeight="1" thickBot="1">
      <c r="A36" s="174" t="s">
        <v>240</v>
      </c>
      <c r="B36" s="115" t="s">
        <v>68</v>
      </c>
      <c r="C36" s="115" t="s">
        <v>0</v>
      </c>
      <c r="D36" s="434" t="s">
        <v>248</v>
      </c>
      <c r="E36" s="435"/>
      <c r="F36" s="83">
        <v>570000</v>
      </c>
      <c r="G36" s="83">
        <v>0</v>
      </c>
      <c r="H36" s="324" t="s">
        <v>102</v>
      </c>
      <c r="I36" s="324" t="s">
        <v>108</v>
      </c>
      <c r="J36" s="295">
        <v>6054</v>
      </c>
      <c r="K36" s="296">
        <v>348</v>
      </c>
    </row>
    <row r="37" spans="2:9" ht="22" customHeight="1" thickBot="1">
      <c r="B37" s="109"/>
      <c r="C37" s="102"/>
      <c r="D37" s="102"/>
      <c r="E37" s="34" t="s">
        <v>103</v>
      </c>
      <c r="F37" s="100">
        <f>SUM(F34:F36)</f>
        <v>720000</v>
      </c>
      <c r="G37" s="101">
        <f>SUM(G34:G36)</f>
        <v>0</v>
      </c>
      <c r="H37" s="102"/>
      <c r="I37" s="110"/>
    </row>
    <row r="38" spans="2:9" ht="15" thickBot="1">
      <c r="B38" s="109"/>
      <c r="C38" s="102"/>
      <c r="D38" s="102"/>
      <c r="E38" s="111"/>
      <c r="F38" s="112"/>
      <c r="G38" s="112"/>
      <c r="H38" s="102"/>
      <c r="I38" s="110"/>
    </row>
    <row r="39" spans="1:7" ht="15.5">
      <c r="A39" s="183"/>
      <c r="B39" s="240" t="s">
        <v>87</v>
      </c>
      <c r="C39" s="240"/>
      <c r="D39" s="113"/>
      <c r="E39" s="114"/>
      <c r="F39" s="400" t="s">
        <v>81</v>
      </c>
      <c r="G39" s="401"/>
    </row>
    <row r="40" spans="1:7" ht="16" thickBot="1">
      <c r="A40" s="169" t="s">
        <v>78</v>
      </c>
      <c r="B40" s="169" t="s">
        <v>104</v>
      </c>
      <c r="C40" s="169" t="s">
        <v>114</v>
      </c>
      <c r="D40" s="178" t="s">
        <v>55</v>
      </c>
      <c r="E40" s="185"/>
      <c r="F40" s="124" t="s">
        <v>17</v>
      </c>
      <c r="G40" s="125" t="s">
        <v>18</v>
      </c>
    </row>
    <row r="41" spans="1:7" ht="22" customHeight="1" thickBot="1">
      <c r="A41" s="347" t="s">
        <v>82</v>
      </c>
      <c r="B41" s="348">
        <v>20</v>
      </c>
      <c r="C41" s="348">
        <v>18</v>
      </c>
      <c r="D41" s="349" t="s">
        <v>266</v>
      </c>
      <c r="E41" s="349"/>
      <c r="F41" s="350">
        <v>24500000</v>
      </c>
      <c r="G41" s="351">
        <v>0</v>
      </c>
    </row>
    <row r="42" spans="2:7" ht="15" thickBot="1">
      <c r="B42" s="116"/>
      <c r="C42" s="116"/>
      <c r="D42" s="116"/>
      <c r="F42" s="116"/>
      <c r="G42" s="116"/>
    </row>
    <row r="43" spans="1:7" ht="15.5">
      <c r="A43" s="183"/>
      <c r="B43" s="240" t="s">
        <v>87</v>
      </c>
      <c r="C43" s="240"/>
      <c r="D43" s="113"/>
      <c r="E43" s="114"/>
      <c r="F43" s="400" t="s">
        <v>81</v>
      </c>
      <c r="G43" s="401"/>
    </row>
    <row r="44" spans="1:7" ht="16" thickBot="1">
      <c r="A44" s="169" t="s">
        <v>85</v>
      </c>
      <c r="B44" s="169" t="s">
        <v>104</v>
      </c>
      <c r="C44" s="169" t="s">
        <v>114</v>
      </c>
      <c r="D44" s="178" t="s">
        <v>55</v>
      </c>
      <c r="E44" s="185"/>
      <c r="F44" s="124" t="s">
        <v>17</v>
      </c>
      <c r="G44" s="125" t="s">
        <v>18</v>
      </c>
    </row>
    <row r="45" spans="1:7" ht="22" customHeight="1" thickBot="1">
      <c r="A45" s="347" t="s">
        <v>82</v>
      </c>
      <c r="B45" s="348">
        <v>20</v>
      </c>
      <c r="C45" s="348">
        <v>20</v>
      </c>
      <c r="D45" s="349" t="s">
        <v>266</v>
      </c>
      <c r="E45" s="349"/>
      <c r="F45" s="350">
        <v>24500000</v>
      </c>
      <c r="G45" s="351">
        <v>0</v>
      </c>
    </row>
    <row r="46" spans="1:7" ht="22" customHeight="1">
      <c r="A46" s="342"/>
      <c r="B46" s="342"/>
      <c r="C46" s="342"/>
      <c r="D46" s="258"/>
      <c r="E46" s="258"/>
      <c r="F46" s="345"/>
      <c r="G46" s="346"/>
    </row>
    <row r="47" spans="1:7" ht="19" thickBot="1">
      <c r="A47" s="186" t="s">
        <v>116</v>
      </c>
      <c r="E47" s="94"/>
      <c r="F47" s="94"/>
      <c r="G47" s="94"/>
    </row>
    <row r="48" spans="1:11" ht="15.5">
      <c r="A48" s="99"/>
      <c r="B48" s="240"/>
      <c r="C48" s="240" t="s">
        <v>95</v>
      </c>
      <c r="D48" s="326"/>
      <c r="E48" s="327"/>
      <c r="F48" s="360" t="s">
        <v>81</v>
      </c>
      <c r="G48" s="360"/>
      <c r="H48" s="92" t="s">
        <v>87</v>
      </c>
      <c r="I48" s="93"/>
      <c r="J48" s="257" t="s">
        <v>88</v>
      </c>
      <c r="K48" s="152"/>
    </row>
    <row r="49" spans="1:11" ht="15" thickBot="1">
      <c r="A49" s="163" t="s">
        <v>51</v>
      </c>
      <c r="B49" s="169" t="s">
        <v>52</v>
      </c>
      <c r="C49" s="169" t="s">
        <v>97</v>
      </c>
      <c r="D49" s="178" t="s">
        <v>96</v>
      </c>
      <c r="E49" s="185"/>
      <c r="F49" s="305" t="s">
        <v>17</v>
      </c>
      <c r="G49" s="306" t="s">
        <v>18</v>
      </c>
      <c r="H49" s="307" t="s">
        <v>89</v>
      </c>
      <c r="I49" s="302" t="s">
        <v>90</v>
      </c>
      <c r="J49" s="301" t="s">
        <v>91</v>
      </c>
      <c r="K49" s="302" t="s">
        <v>246</v>
      </c>
    </row>
    <row r="50" spans="1:11" ht="22" customHeight="1">
      <c r="A50" s="106" t="s">
        <v>241</v>
      </c>
      <c r="B50" s="328" t="s">
        <v>68</v>
      </c>
      <c r="C50" s="107">
        <v>30</v>
      </c>
      <c r="D50" s="432" t="s">
        <v>99</v>
      </c>
      <c r="E50" s="433"/>
      <c r="F50" s="83">
        <v>1500000</v>
      </c>
      <c r="G50" s="83">
        <v>30000</v>
      </c>
      <c r="H50" s="108" t="s">
        <v>98</v>
      </c>
      <c r="I50" s="108" t="s">
        <v>100</v>
      </c>
      <c r="J50" s="297" t="s">
        <v>245</v>
      </c>
      <c r="K50" s="298"/>
    </row>
    <row r="51" spans="1:11" ht="22" customHeight="1" thickBot="1">
      <c r="A51" s="338" t="s">
        <v>242</v>
      </c>
      <c r="B51" s="329" t="s">
        <v>68</v>
      </c>
      <c r="C51" s="115">
        <v>40</v>
      </c>
      <c r="D51" s="434" t="s">
        <v>101</v>
      </c>
      <c r="E51" s="435"/>
      <c r="F51" s="260">
        <v>2000000</v>
      </c>
      <c r="G51" s="260">
        <v>40000</v>
      </c>
      <c r="H51" s="339" t="s">
        <v>102</v>
      </c>
      <c r="I51" s="339" t="s">
        <v>93</v>
      </c>
      <c r="J51" s="340" t="s">
        <v>245</v>
      </c>
      <c r="K51" s="341"/>
    </row>
    <row r="52" spans="1:8" ht="22" customHeight="1" thickBot="1">
      <c r="A52" s="94"/>
      <c r="B52" s="94"/>
      <c r="D52" s="116"/>
      <c r="E52" s="34" t="s">
        <v>103</v>
      </c>
      <c r="F52" s="268">
        <f>SUM(F50:F51)</f>
        <v>3500000</v>
      </c>
      <c r="G52" s="269">
        <f>SUM(G50:G51)</f>
        <v>70000</v>
      </c>
      <c r="H52" s="102"/>
    </row>
    <row r="53" spans="1:10" ht="15" thickBot="1">
      <c r="A53" s="94"/>
      <c r="B53" s="94"/>
      <c r="F53" s="94"/>
      <c r="G53" s="94"/>
      <c r="H53" s="94"/>
      <c r="I53" s="94"/>
      <c r="J53" s="2"/>
    </row>
    <row r="54" spans="1:7" ht="14.5">
      <c r="A54" s="99"/>
      <c r="B54" s="240" t="s">
        <v>87</v>
      </c>
      <c r="C54" s="117" t="s">
        <v>95</v>
      </c>
      <c r="D54" s="181" t="s">
        <v>115</v>
      </c>
      <c r="E54" s="179"/>
      <c r="F54" s="360"/>
      <c r="G54" s="361"/>
    </row>
    <row r="55" spans="1:7" ht="15" thickBot="1">
      <c r="A55" s="163" t="s">
        <v>78</v>
      </c>
      <c r="B55" s="169" t="s">
        <v>104</v>
      </c>
      <c r="C55" s="164" t="s">
        <v>97</v>
      </c>
      <c r="D55" s="178" t="s">
        <v>105</v>
      </c>
      <c r="E55" s="180"/>
      <c r="F55" s="165" t="s">
        <v>81</v>
      </c>
      <c r="G55" s="168"/>
    </row>
    <row r="56" spans="1:7" ht="22" customHeight="1" thickBot="1">
      <c r="A56" s="184" t="s">
        <v>82</v>
      </c>
      <c r="B56" s="244">
        <v>20</v>
      </c>
      <c r="C56" s="273">
        <v>400</v>
      </c>
      <c r="D56" s="430">
        <v>6</v>
      </c>
      <c r="E56" s="431"/>
      <c r="F56" s="274" t="s">
        <v>106</v>
      </c>
      <c r="G56" s="275"/>
    </row>
    <row r="57" spans="2:7" ht="15" thickBot="1">
      <c r="B57" s="116"/>
      <c r="C57" s="94"/>
      <c r="D57" s="116"/>
      <c r="F57" s="94"/>
      <c r="G57" s="94"/>
    </row>
    <row r="58" spans="1:7" ht="14.5">
      <c r="A58" s="99"/>
      <c r="B58" s="240" t="s">
        <v>87</v>
      </c>
      <c r="C58" s="117" t="s">
        <v>95</v>
      </c>
      <c r="D58" s="181" t="s">
        <v>115</v>
      </c>
      <c r="E58" s="179"/>
      <c r="F58" s="360"/>
      <c r="G58" s="361"/>
    </row>
    <row r="59" spans="1:7" ht="15" thickBot="1">
      <c r="A59" s="163" t="s">
        <v>78</v>
      </c>
      <c r="B59" s="169" t="s">
        <v>104</v>
      </c>
      <c r="C59" s="164" t="s">
        <v>97</v>
      </c>
      <c r="D59" s="178" t="s">
        <v>105</v>
      </c>
      <c r="E59" s="180"/>
      <c r="F59" s="165" t="s">
        <v>81</v>
      </c>
      <c r="G59" s="168"/>
    </row>
    <row r="60" spans="1:7" ht="22" customHeight="1" thickBot="1">
      <c r="A60" s="184" t="s">
        <v>82</v>
      </c>
      <c r="B60" s="244">
        <v>30</v>
      </c>
      <c r="C60" s="273">
        <v>600</v>
      </c>
      <c r="D60" s="430">
        <v>10</v>
      </c>
      <c r="E60" s="431"/>
      <c r="F60" s="274" t="s">
        <v>107</v>
      </c>
      <c r="G60" s="275"/>
    </row>
  </sheetData>
  <mergeCells count="33">
    <mergeCell ref="F54:G54"/>
    <mergeCell ref="F58:G58"/>
    <mergeCell ref="D35:E35"/>
    <mergeCell ref="D36:E36"/>
    <mergeCell ref="D56:E56"/>
    <mergeCell ref="F43:G43"/>
    <mergeCell ref="F39:G39"/>
    <mergeCell ref="D60:E60"/>
    <mergeCell ref="D50:E50"/>
    <mergeCell ref="D51:E51"/>
    <mergeCell ref="F6:G6"/>
    <mergeCell ref="D18:E18"/>
    <mergeCell ref="D19:E19"/>
    <mergeCell ref="D20:E20"/>
    <mergeCell ref="D25:E25"/>
    <mergeCell ref="D29:E29"/>
    <mergeCell ref="D34:E34"/>
    <mergeCell ref="D13:E13"/>
    <mergeCell ref="D14:E14"/>
    <mergeCell ref="D15:E15"/>
    <mergeCell ref="D16:E16"/>
    <mergeCell ref="D17:E17"/>
    <mergeCell ref="F48:G48"/>
    <mergeCell ref="H6:I6"/>
    <mergeCell ref="J6:K6"/>
    <mergeCell ref="F32:G32"/>
    <mergeCell ref="F11:G11"/>
    <mergeCell ref="K23:L23"/>
    <mergeCell ref="K27:L27"/>
    <mergeCell ref="I29:J29"/>
    <mergeCell ref="F23:G23"/>
    <mergeCell ref="F27:G27"/>
    <mergeCell ref="I25:J25"/>
  </mergeCells>
  <printOptions horizontalCentered="1"/>
  <pageMargins left="0.25" right="0.25" top="0.25" bottom="0.25" header="0" footer="0"/>
  <pageSetup orientation="landscape" paperSize="17" scale="10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10"/>
  <sheetViews>
    <sheetView zoomScaleSheetLayoutView="100" workbookViewId="0" topLeftCell="A1">
      <selection pane="topLeft" activeCell="A1" sqref="A1"/>
    </sheetView>
  </sheetViews>
  <sheetFormatPr defaultColWidth="9.1796875" defaultRowHeight="15"/>
  <cols>
    <col min="1" max="1" width="65.7142857142857" style="1" bestFit="1" customWidth="1"/>
    <col min="2" max="7" width="12" style="1" bestFit="1" customWidth="1"/>
    <col min="8" max="8" width="9.14285714285714" style="1"/>
    <col min="9" max="9" width="12.2857142857143" style="1" customWidth="1"/>
    <col min="10" max="16384" width="9.14285714285714" style="1"/>
  </cols>
  <sheetData>
    <row r="1" spans="1:9" ht="28.5">
      <c r="A1" s="200" t="s">
        <v>218</v>
      </c>
      <c r="B1" s="201"/>
      <c r="C1" s="201"/>
      <c r="D1" s="201"/>
      <c r="E1" s="201"/>
      <c r="F1" s="201"/>
      <c r="G1" s="202"/>
      <c r="I1" s="356" t="s">
        <v>286</v>
      </c>
    </row>
    <row r="2" spans="1:9" ht="28.5">
      <c r="A2" s="203" t="s">
        <v>111</v>
      </c>
      <c r="B2" s="204"/>
      <c r="C2" s="204"/>
      <c r="D2" s="204"/>
      <c r="E2" s="204"/>
      <c r="F2" s="204"/>
      <c r="G2" s="205"/>
      <c r="I2" s="357"/>
    </row>
    <row r="3" spans="1:7" ht="15" thickBot="1">
      <c r="A3" s="206"/>
      <c r="B3" s="4"/>
      <c r="C3" s="4"/>
      <c r="D3" s="4"/>
      <c r="E3" s="4"/>
      <c r="F3" s="4"/>
      <c r="G3" s="207"/>
    </row>
    <row r="4" spans="1:7" ht="15.5">
      <c r="A4" s="103"/>
      <c r="B4" s="402" t="s">
        <v>33</v>
      </c>
      <c r="C4" s="402"/>
      <c r="D4" s="444" t="s">
        <v>34</v>
      </c>
      <c r="E4" s="445"/>
      <c r="F4" s="402" t="s">
        <v>35</v>
      </c>
      <c r="G4" s="401"/>
    </row>
    <row r="5" spans="1:7" ht="18.5">
      <c r="A5" s="104" t="s">
        <v>195</v>
      </c>
      <c r="B5" s="187" t="s">
        <v>1</v>
      </c>
      <c r="C5" s="187" t="s">
        <v>2</v>
      </c>
      <c r="D5" s="188" t="s">
        <v>1</v>
      </c>
      <c r="E5" s="153" t="s">
        <v>2</v>
      </c>
      <c r="F5" s="187" t="s">
        <v>1</v>
      </c>
      <c r="G5" s="154" t="s">
        <v>2</v>
      </c>
    </row>
    <row r="6" spans="1:7" ht="30" customHeight="1" thickBot="1">
      <c r="A6" s="105" t="s">
        <v>195</v>
      </c>
      <c r="B6" s="325">
        <v>0</v>
      </c>
      <c r="C6" s="189">
        <v>5030881.2465663999</v>
      </c>
      <c r="D6" s="325">
        <v>0</v>
      </c>
      <c r="E6" s="189">
        <v>4678345.9676644001</v>
      </c>
      <c r="F6" s="325">
        <v>0</v>
      </c>
      <c r="G6" s="190">
        <v>4685488.9859324004</v>
      </c>
    </row>
    <row r="7" spans="1:7" ht="16" thickBot="1">
      <c r="A7" s="206"/>
      <c r="B7" s="208"/>
      <c r="C7" s="208"/>
      <c r="D7" s="208"/>
      <c r="E7" s="208"/>
      <c r="F7" s="208"/>
      <c r="G7" s="209"/>
    </row>
    <row r="8" spans="1:7" ht="15.5">
      <c r="A8" s="103"/>
      <c r="B8" s="402" t="s">
        <v>33</v>
      </c>
      <c r="C8" s="402"/>
      <c r="D8" s="444" t="s">
        <v>34</v>
      </c>
      <c r="E8" s="445"/>
      <c r="F8" s="402" t="s">
        <v>35</v>
      </c>
      <c r="G8" s="401"/>
    </row>
    <row r="9" spans="1:7" ht="18.5">
      <c r="A9" s="104" t="s">
        <v>196</v>
      </c>
      <c r="B9" s="187" t="s">
        <v>1</v>
      </c>
      <c r="C9" s="187" t="s">
        <v>2</v>
      </c>
      <c r="D9" s="188" t="s">
        <v>1</v>
      </c>
      <c r="E9" s="153" t="s">
        <v>2</v>
      </c>
      <c r="F9" s="187" t="s">
        <v>1</v>
      </c>
      <c r="G9" s="154" t="s">
        <v>2</v>
      </c>
    </row>
    <row r="10" spans="1:7" ht="30" customHeight="1" thickBot="1">
      <c r="A10" s="105" t="s">
        <v>196</v>
      </c>
      <c r="B10" s="325">
        <v>0</v>
      </c>
      <c r="C10" s="189">
        <v>2502932.3999998998</v>
      </c>
      <c r="D10" s="325">
        <v>0</v>
      </c>
      <c r="E10" s="189">
        <v>2872936.40</v>
      </c>
      <c r="F10" s="325">
        <v>0</v>
      </c>
      <c r="G10" s="190">
        <v>2872936.40</v>
      </c>
    </row>
  </sheetData>
  <mergeCells count="6">
    <mergeCell ref="B4:C4"/>
    <mergeCell ref="D4:E4"/>
    <mergeCell ref="F4:G4"/>
    <mergeCell ref="B8:C8"/>
    <mergeCell ref="D8:E8"/>
    <mergeCell ref="F8:G8"/>
  </mergeCells>
  <printOptions horizontalCentered="1"/>
  <pageMargins left="0.25" right="0.25" top="0.25" bottom="0.25" header="0" footer="0"/>
  <pageSetup orientation="landscape" scale="75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1"/>
  <sheetViews>
    <sheetView workbookViewId="0" topLeftCell="A1">
      <selection pane="topLeft" activeCell="A1" sqref="A1"/>
    </sheetView>
  </sheetViews>
  <sheetFormatPr defaultColWidth="9.14285714285714" defaultRowHeight="15"/>
  <cols>
    <col min="1" max="1" width="10.8571428571429" customWidth="1"/>
  </cols>
  <sheetData>
    <row r="1" ht="23" thickBot="1">
      <c r="A1" s="356" t="s">
        <v>287</v>
      </c>
    </row>
  </sheetData>
  <pageMargins left="0.7" right="0.7" top="0.75" bottom="0.75" header="0.3" footer="0.3"/>
  <pageSetup orientation="portrait" r:id="rId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1"/>
  <sheetViews>
    <sheetView tabSelected="1" workbookViewId="0" topLeftCell="A1">
      <selection pane="topLeft" activeCell="A1" sqref="A1"/>
    </sheetView>
  </sheetViews>
  <sheetFormatPr defaultColWidth="9.14285714285714" defaultRowHeight="15"/>
  <cols>
    <col min="1" max="1" width="12.5714285714286" customWidth="1"/>
  </cols>
  <sheetData>
    <row r="1" ht="23">
      <c r="A1" s="356" t="s">
        <v>288</v>
      </c>
    </row>
  </sheetData>
  <pageMargins left="0.7" right="0.7" top="0.75" bottom="0.75" header="0.3" footer="0.3"/>
  <pageSetup orientation="portrait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9"/>
  <sheetViews>
    <sheetView workbookViewId="0" topLeftCell="A1">
      <pane ySplit="3" topLeftCell="A22" activePane="bottomLeft" state="frozen"/>
      <selection pane="topLeft" activeCell="A1" sqref="A1"/>
      <selection pane="bottomLeft" activeCell="K1" sqref="K1"/>
    </sheetView>
  </sheetViews>
  <sheetFormatPr defaultColWidth="9.1796875" defaultRowHeight="15"/>
  <cols>
    <col min="1" max="1" width="3.71428571428571" style="4" customWidth="1"/>
    <col min="2" max="2" width="39.8571428571429" style="4" customWidth="1"/>
    <col min="3" max="12" width="10.7142857142857" style="6" customWidth="1"/>
    <col min="13" max="13" width="13.5714285714286" style="6" bestFit="1" customWidth="1"/>
    <col min="14" max="14" width="10.8571428571429" style="6" bestFit="1" customWidth="1"/>
    <col min="15" max="16384" width="9.14285714285714" style="4"/>
  </cols>
  <sheetData>
    <row r="1" spans="2:10" ht="30" customHeight="1">
      <c r="B1" s="40" t="s">
        <v>109</v>
      </c>
      <c r="J1" s="356" t="s">
        <v>276</v>
      </c>
    </row>
    <row r="2" spans="2:14" ht="15.75" customHeight="1" thickBot="1">
      <c r="B2" s="31"/>
      <c r="C2" s="11" t="s">
        <v>11</v>
      </c>
      <c r="D2" s="12"/>
      <c r="E2" s="12"/>
      <c r="F2" s="41"/>
      <c r="G2" s="41"/>
      <c r="H2" s="41"/>
      <c r="I2" s="41"/>
      <c r="J2" s="41"/>
      <c r="K2" s="41"/>
      <c r="L2" s="41"/>
      <c r="M2" s="41"/>
      <c r="N2" s="41"/>
    </row>
    <row r="3" spans="1:14" s="5" customFormat="1" ht="56.25" customHeight="1" thickBot="1">
      <c r="A3" s="8"/>
      <c r="B3" s="13" t="s">
        <v>15</v>
      </c>
      <c r="C3" s="14">
        <v>2020</v>
      </c>
      <c r="D3" s="14">
        <v>2021</v>
      </c>
      <c r="E3" s="14">
        <v>2022</v>
      </c>
      <c r="F3" s="14">
        <v>2023</v>
      </c>
      <c r="G3" s="14">
        <v>2024</v>
      </c>
      <c r="H3" s="14">
        <v>2025</v>
      </c>
      <c r="I3" s="14">
        <v>2026</v>
      </c>
      <c r="J3" s="14">
        <v>2027</v>
      </c>
      <c r="K3" s="14">
        <v>2028</v>
      </c>
      <c r="L3" s="14">
        <v>2029</v>
      </c>
      <c r="M3" s="15" t="s">
        <v>7</v>
      </c>
      <c r="N3" s="15" t="s">
        <v>32</v>
      </c>
    </row>
    <row r="4" spans="1:14" s="5" customFormat="1" ht="21" customHeight="1">
      <c r="A4" s="8"/>
      <c r="B4" s="50" t="s">
        <v>190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 s="5" customFormat="1" ht="15.75" customHeight="1">
      <c r="A5" s="8"/>
      <c r="B5" s="42" t="s">
        <v>8</v>
      </c>
      <c r="C5" s="43">
        <f>ROUND(((('PD Full Details'!C7)/(1000000))),2)+ROUND(((('PD Full Details'!C11)/(1000000))),2)</f>
        <v>0.93</v>
      </c>
      <c r="D5" s="43">
        <f>ROUND(((('PD Full Details'!E7)/(1000000))),2)+ROUND(((('PD Full Details'!E11)/(1000000))),2)</f>
        <v>0.98</v>
      </c>
      <c r="E5" s="43">
        <f>ROUND(((('PD Full Details'!G7)/(1000000))),2)+ROUND(((('PD Full Details'!G11)/(1000000))),2)</f>
        <v>0.98</v>
      </c>
      <c r="F5" s="43">
        <f>ROUND(((('PD Full Details'!I7)/(1000000))),2)+ROUND(((('PD Full Details'!I11)/(1000000))),2)</f>
        <v>0.98</v>
      </c>
      <c r="G5" s="43">
        <f>ROUND(((('PD Full Details'!K7)/(1000000))),2)+ROUND(((('PD Full Details'!K11)/(1000000))),2)</f>
        <v>0.98</v>
      </c>
      <c r="H5" s="43">
        <f>ROUND(((('PD Full Details'!M7)/(1000000))),2)+ROUND(((('PD Full Details'!M11)/(1000000))),2)</f>
        <v>0.98</v>
      </c>
      <c r="I5" s="43">
        <f>ROUND(((('PD Full Details'!O7)/(1000000))),2)+ROUND(((('PD Full Details'!O11)/(1000000))),2)</f>
        <v>0.98</v>
      </c>
      <c r="J5" s="43">
        <f>ROUND(((('PD Full Details'!Q7)/(1000000))),2)+ROUND(((('PD Full Details'!Q11)/(1000000))),2)</f>
        <v>0.98</v>
      </c>
      <c r="K5" s="43">
        <f>ROUND(((('PD Full Details'!S7)/(1000000))),2)+ROUND(((('PD Full Details'!S11)/(1000000))),2)</f>
        <v>0.98</v>
      </c>
      <c r="L5" s="43">
        <f>ROUND(((('PD Full Details'!U7)/(1000000))),2)+ROUND(((('PD Full Details'!U11)/(1000000))),2)</f>
        <v>0.98</v>
      </c>
      <c r="M5" s="43">
        <f>SUM(C5,D5,E5,F5,G5,H5,I5,J5,K5,L5)</f>
        <v>9.7500000000000018</v>
      </c>
      <c r="N5" s="44">
        <f>AVERAGE(C5:L5)</f>
        <v>0.9750000000000002</v>
      </c>
    </row>
    <row r="6" spans="2:14" ht="15.5">
      <c r="B6" s="118" t="s">
        <v>9</v>
      </c>
      <c r="C6" s="46">
        <f>ROUND(((('PD Full Details'!B7)/(1000000))),2)+ROUND(((('PD Full Details'!B11)/(1000000))),2)</f>
        <v>2.50</v>
      </c>
      <c r="D6" s="46">
        <f>ROUND(((('PD Full Details'!D7)/(1000000))),2)+ROUND(((('PD Full Details'!D11)/(1000000))),2)</f>
        <v>2.80</v>
      </c>
      <c r="E6" s="46">
        <f>ROUND(((('PD Full Details'!F7)/(1000000))),2)+ROUND(((('PD Full Details'!F11)/(1000000))),2)</f>
        <v>2.80</v>
      </c>
      <c r="F6" s="46">
        <f>ROUND(((('PD Full Details'!H7)/(1000000))),2)+ROUND(((('PD Full Details'!H11)/(1000000))),2)</f>
        <v>2.80</v>
      </c>
      <c r="G6" s="46">
        <f>ROUND(((('PD Full Details'!J7)/(1000000))),2)+ROUND(((('PD Full Details'!J11)/(1000000))),2)</f>
        <v>2.80</v>
      </c>
      <c r="H6" s="46">
        <f>ROUND(((('PD Full Details'!L7)/(1000000))),2)+ROUND(((('PD Full Details'!L11)/(1000000))),2)</f>
        <v>2.80</v>
      </c>
      <c r="I6" s="46">
        <f>ROUND(((('PD Full Details'!N7)/(1000000))),2)+ROUND(((('PD Full Details'!N11)/(1000000))),2)</f>
        <v>2.80</v>
      </c>
      <c r="J6" s="46">
        <f>ROUND(((('PD Full Details'!P7)/(1000000))),2)+ROUND(((('PD Full Details'!P11)/(1000000))),2)</f>
        <v>2.80</v>
      </c>
      <c r="K6" s="46">
        <f>ROUND(((('PD Full Details'!R7)/(1000000))),2)+ROUND(((('PD Full Details'!R11)/(1000000))),2)</f>
        <v>2.80</v>
      </c>
      <c r="L6" s="46">
        <f>ROUND(((('PD Full Details'!T7)/(1000000))),2)+ROUND(((('PD Full Details'!T11)/(1000000))),2)</f>
        <v>2.80</v>
      </c>
      <c r="M6" s="46">
        <f>SUM(C6,D6,E6,F6,G6,H6,I6,J6,K6,L6)</f>
        <v>27.700000000000003</v>
      </c>
      <c r="N6" s="119">
        <f>AVERAGE(C6:L6)</f>
        <v>2.7700000000000005</v>
      </c>
    </row>
    <row r="7" spans="1:14" ht="20.15" customHeight="1">
      <c r="A7" s="8"/>
      <c r="B7" s="48" t="s">
        <v>16</v>
      </c>
      <c r="C7" s="74">
        <f t="shared" si="0" ref="C7:N7">SUM(C5,C6)</f>
        <v>3.43</v>
      </c>
      <c r="D7" s="74">
        <f t="shared" si="0"/>
        <v>3.78</v>
      </c>
      <c r="E7" s="74">
        <f t="shared" si="0"/>
        <v>3.78</v>
      </c>
      <c r="F7" s="74">
        <f t="shared" si="0"/>
        <v>3.78</v>
      </c>
      <c r="G7" s="74">
        <f t="shared" si="0"/>
        <v>3.78</v>
      </c>
      <c r="H7" s="74">
        <f t="shared" si="0"/>
        <v>3.78</v>
      </c>
      <c r="I7" s="74">
        <f t="shared" si="0"/>
        <v>3.78</v>
      </c>
      <c r="J7" s="74">
        <f t="shared" si="0"/>
        <v>3.78</v>
      </c>
      <c r="K7" s="74">
        <f t="shared" si="0"/>
        <v>3.78</v>
      </c>
      <c r="L7" s="74">
        <f t="shared" si="0"/>
        <v>3.78</v>
      </c>
      <c r="M7" s="74">
        <f t="shared" si="0"/>
        <v>37.450000000000003</v>
      </c>
      <c r="N7" s="75">
        <f t="shared" si="0"/>
        <v>3.7450000000000006</v>
      </c>
    </row>
    <row r="8" spans="1:14" s="5" customFormat="1" ht="21" customHeight="1">
      <c r="A8" s="8"/>
      <c r="B8" s="51" t="s">
        <v>191</v>
      </c>
      <c r="M8" s="9"/>
      <c r="N8" s="16"/>
    </row>
    <row r="9" spans="1:14" s="5" customFormat="1" ht="15.75" customHeight="1">
      <c r="A9" s="8"/>
      <c r="B9" s="42" t="s">
        <v>8</v>
      </c>
      <c r="C9" s="43">
        <f>ROUND(((('PD Full Details'!C15)/(1000000))),2)+ROUND(((('PD Full Details'!C19)/(1000000))),2)</f>
        <v>0.35</v>
      </c>
      <c r="D9" s="43">
        <f>ROUND(((('PD Full Details'!E15)/(1000000))),2)+ROUND(((('PD Full Details'!E19)/(1000000))),2)</f>
        <v>0.35</v>
      </c>
      <c r="E9" s="43">
        <f>ROUND(((('PD Full Details'!G15)/(1000000))),2)+ROUND(((('PD Full Details'!G19)/(1000000))),2)</f>
        <v>0.35</v>
      </c>
      <c r="F9" s="43">
        <f>ROUND(((('PD Full Details'!I15)/(1000000))),2)+ROUND(((('PD Full Details'!I19)/(1000000))),2)</f>
        <v>0.35</v>
      </c>
      <c r="G9" s="43">
        <f>ROUND(((('PD Full Details'!K15)/(1000000))),2)+ROUND(((('PD Full Details'!K19)/(1000000))),2)</f>
        <v>0.35</v>
      </c>
      <c r="H9" s="43">
        <f>ROUND(((('PD Full Details'!M15)/(1000000))),2)+ROUND(((('PD Full Details'!M19)/(1000000))),2)</f>
        <v>0.35</v>
      </c>
      <c r="I9" s="43">
        <f>ROUND(((('PD Full Details'!O15)/(1000000))),2)+ROUND(((('PD Full Details'!O19)/(1000000))),2)</f>
        <v>0.35</v>
      </c>
      <c r="J9" s="43">
        <f>ROUND(((('PD Full Details'!Q15)/(1000000))),2)+ROUND(((('PD Full Details'!Q19)/(1000000))),2)</f>
        <v>0.35</v>
      </c>
      <c r="K9" s="43">
        <f>ROUND(((('PD Full Details'!S15)/(1000000))),2)+ROUND(((('PD Full Details'!S19)/(1000000))),2)</f>
        <v>0.35</v>
      </c>
      <c r="L9" s="43">
        <f>ROUND(((('PD Full Details'!U15)/(1000000))),2)+ROUND(((('PD Full Details'!U19)/(1000000))),2)</f>
        <v>0.35</v>
      </c>
      <c r="M9" s="43">
        <f>SUM(C9,D9,E9,F9,G9,H9,I9,J9,K9,L9)</f>
        <v>3.5000000000000004</v>
      </c>
      <c r="N9" s="44">
        <f>AVERAGE(C9:L9)</f>
        <v>0.35</v>
      </c>
    </row>
    <row r="10" spans="2:14" ht="15.5">
      <c r="B10" s="118" t="s">
        <v>9</v>
      </c>
      <c r="C10" s="46">
        <f>ROUND(((('PD Full Details'!B15)/(1000000))),2)+ROUND(((('PD Full Details'!B19)/(1000000))),2)</f>
        <v>3.15</v>
      </c>
      <c r="D10" s="46">
        <f>ROUND(((('PD Full Details'!D15)/(1000000))),2)+ROUND(((('PD Full Details'!D19)/(1000000))),2)</f>
        <v>3.15</v>
      </c>
      <c r="E10" s="46">
        <f>ROUND(((('PD Full Details'!F15)/(1000000))),2)+ROUND(((('PD Full Details'!F19)/(1000000))),2)</f>
        <v>3.15</v>
      </c>
      <c r="F10" s="46">
        <f>ROUND(((('PD Full Details'!H15)/(1000000))),2)+ROUND(((('PD Full Details'!H19)/(1000000))),2)</f>
        <v>3.15</v>
      </c>
      <c r="G10" s="46">
        <f>ROUND(((('PD Full Details'!J15)/(1000000))),2)+ROUND(((('PD Full Details'!J19)/(1000000))),2)</f>
        <v>3.15</v>
      </c>
      <c r="H10" s="46">
        <f>ROUND(((('PD Full Details'!L15)/(1000000))),2)+ROUND(((('PD Full Details'!L19)/(1000000))),2)</f>
        <v>3.15</v>
      </c>
      <c r="I10" s="46">
        <f>ROUND(((('PD Full Details'!N15)/(1000000))),2)+ROUND(((('PD Full Details'!N19)/(1000000))),2)</f>
        <v>3.15</v>
      </c>
      <c r="J10" s="46">
        <f>ROUND(((('PD Full Details'!P15)/(1000000))),2)+ROUND(((('PD Full Details'!P19)/(1000000))),2)</f>
        <v>3.15</v>
      </c>
      <c r="K10" s="46">
        <f>ROUND(((('PD Full Details'!R15)/(1000000))),2)+ROUND(((('PD Full Details'!R19)/(1000000))),2)</f>
        <v>3.15</v>
      </c>
      <c r="L10" s="46">
        <f>ROUND(((('PD Full Details'!T15)/(1000000))),2)+ROUND(((('PD Full Details'!T19)/(1000000))),2)</f>
        <v>3.15</v>
      </c>
      <c r="M10" s="46">
        <f>SUM(C10,D10,E10,F10,G10,H10,I10,J10,K10,L10)</f>
        <v>31.499999999999993</v>
      </c>
      <c r="N10" s="119">
        <f>AVERAGE(C10:L10)</f>
        <v>3.1499999999999995</v>
      </c>
    </row>
    <row r="11" spans="1:14" ht="20.15" customHeight="1">
      <c r="A11" s="8"/>
      <c r="B11" s="48" t="s">
        <v>16</v>
      </c>
      <c r="C11" s="74">
        <f t="shared" si="1" ref="C11:N11">SUM(C9,C10)</f>
        <v>3.50</v>
      </c>
      <c r="D11" s="74">
        <f t="shared" si="1"/>
        <v>3.50</v>
      </c>
      <c r="E11" s="74">
        <f t="shared" si="1"/>
        <v>3.50</v>
      </c>
      <c r="F11" s="74">
        <f t="shared" si="1"/>
        <v>3.50</v>
      </c>
      <c r="G11" s="74">
        <f t="shared" si="1"/>
        <v>3.50</v>
      </c>
      <c r="H11" s="74">
        <f t="shared" si="1"/>
        <v>3.50</v>
      </c>
      <c r="I11" s="74">
        <f t="shared" si="1"/>
        <v>3.50</v>
      </c>
      <c r="J11" s="74">
        <f t="shared" si="1"/>
        <v>3.50</v>
      </c>
      <c r="K11" s="74">
        <f t="shared" si="1"/>
        <v>3.50</v>
      </c>
      <c r="L11" s="74">
        <f t="shared" si="1"/>
        <v>3.50</v>
      </c>
      <c r="M11" s="74">
        <f t="shared" si="1"/>
        <v>34.999999999999993</v>
      </c>
      <c r="N11" s="75">
        <f t="shared" si="1"/>
        <v>3.4999999999999996</v>
      </c>
    </row>
    <row r="12" spans="1:14" s="5" customFormat="1" ht="21" customHeight="1">
      <c r="A12" s="8"/>
      <c r="B12" s="51" t="s">
        <v>192</v>
      </c>
      <c r="M12" s="9"/>
      <c r="N12" s="16"/>
    </row>
    <row r="13" spans="1:14" s="5" customFormat="1" ht="15.75" customHeight="1">
      <c r="A13" s="8"/>
      <c r="B13" s="42" t="s">
        <v>8</v>
      </c>
      <c r="C13" s="43">
        <f>ROUND(((('PD Full Details'!C23)/(1000000))),2)+ROUND(((('PD Full Details'!C27)/(1000000))),2)</f>
        <v>0.78</v>
      </c>
      <c r="D13" s="43">
        <f>ROUND(((('PD Full Details'!E23)/(1000000))),2)+ROUND(((('PD Full Details'!E27)/(1000000))),2)</f>
        <v>2.5099999999999998</v>
      </c>
      <c r="E13" s="43">
        <f>ROUND(((('PD Full Details'!G23)/(1000000))),2)+ROUND(((('PD Full Details'!G27)/(1000000))),2)</f>
        <v>2.4299999999999997</v>
      </c>
      <c r="F13" s="43">
        <f>ROUND(((('PD Full Details'!I23)/(1000000))),2)+ROUND(((('PD Full Details'!I27)/(1000000))),2)</f>
        <v>2.29</v>
      </c>
      <c r="G13" s="43">
        <f>ROUND(((('PD Full Details'!K23)/(1000000))),2)+ROUND(((('PD Full Details'!K27)/(1000000))),2)</f>
        <v>2.29</v>
      </c>
      <c r="H13" s="43">
        <f>ROUND(((('PD Full Details'!M23)/(1000000))),2)+ROUND(((('PD Full Details'!M27)/(1000000))),2)</f>
        <v>2.29</v>
      </c>
      <c r="I13" s="43">
        <f>ROUND(((('PD Full Details'!O23)/(1000000))),2)+ROUND(((('PD Full Details'!O27)/(1000000))),2)</f>
        <v>2.29</v>
      </c>
      <c r="J13" s="43">
        <f>ROUND(((('PD Full Details'!Q23)/(1000000))),2)+ROUND(((('PD Full Details'!Q27)/(1000000))),2)</f>
        <v>2.29</v>
      </c>
      <c r="K13" s="43">
        <f>ROUND(((('PD Full Details'!S23)/(1000000))),2)+ROUND(((('PD Full Details'!S27)/(1000000))),2)</f>
        <v>2.29</v>
      </c>
      <c r="L13" s="43">
        <f>ROUND(((('PD Full Details'!U23)/(1000000))),2)+ROUND(((('PD Full Details'!U27)/(1000000))),2)</f>
        <v>2.29</v>
      </c>
      <c r="M13" s="43">
        <f>SUM(C13,D13,E13,F13,G13,H13,I13,J13,K13,L13)</f>
        <v>21.749999999999996</v>
      </c>
      <c r="N13" s="44">
        <f>AVERAGE(C13:L13)</f>
        <v>2.1749999999999998</v>
      </c>
    </row>
    <row r="14" spans="2:14" ht="15.5">
      <c r="B14" s="118" t="s">
        <v>9</v>
      </c>
      <c r="C14" s="46">
        <f>ROUND(((('PD Full Details'!B23)/(1000000))),2)+ROUND(((('PD Full Details'!B27)/(1000000))),2)</f>
        <v>11.50</v>
      </c>
      <c r="D14" s="46">
        <f>ROUND(((('PD Full Details'!D23)/(1000000))),2)+ROUND(((('PD Full Details'!D27)/(1000000))),2)</f>
        <v>35.90</v>
      </c>
      <c r="E14" s="46">
        <f>ROUND(((('PD Full Details'!F23)/(1000000))),2)+ROUND(((('PD Full Details'!F27)/(1000000))),2)</f>
        <v>34</v>
      </c>
      <c r="F14" s="46">
        <f>ROUND(((('PD Full Details'!H23)/(1000000))),2)+ROUND(((('PD Full Details'!H27)/(1000000))),2)</f>
        <v>30.299999999999997</v>
      </c>
      <c r="G14" s="46">
        <f>ROUND(((('PD Full Details'!J23)/(1000000))),2)+ROUND(((('PD Full Details'!J27)/(1000000))),2)</f>
        <v>30.299999999999997</v>
      </c>
      <c r="H14" s="46">
        <f>ROUND(((('PD Full Details'!L23)/(1000000))),2)+ROUND(((('PD Full Details'!L27)/(1000000))),2)</f>
        <v>30.299999999999997</v>
      </c>
      <c r="I14" s="46">
        <f>ROUND(((('PD Full Details'!N23)/(1000000))),2)+ROUND(((('PD Full Details'!N27)/(1000000))),2)</f>
        <v>30.299999999999997</v>
      </c>
      <c r="J14" s="46">
        <f>ROUND(((('PD Full Details'!P23)/(1000000))),2)+ROUND(((('PD Full Details'!P27)/(1000000))),2)</f>
        <v>30.299999999999997</v>
      </c>
      <c r="K14" s="46">
        <f>ROUND(((('PD Full Details'!R23)/(1000000))),2)+ROUND(((('PD Full Details'!R27)/(1000000))),2)</f>
        <v>30.299999999999997</v>
      </c>
      <c r="L14" s="46">
        <f>ROUND(((('PD Full Details'!T23)/(1000000))),2)+ROUND(((('PD Full Details'!T27)/(1000000))),2)</f>
        <v>30.299999999999997</v>
      </c>
      <c r="M14" s="46">
        <f>SUM(C14,D14,E14,F14,G14,H14,I14,J14,K14,L14)</f>
        <v>293.50000000000006</v>
      </c>
      <c r="N14" s="119">
        <f>AVERAGE(C14:L14)</f>
        <v>29.350000000000005</v>
      </c>
    </row>
    <row r="15" spans="1:14" ht="20.15" customHeight="1">
      <c r="A15" s="8"/>
      <c r="B15" s="48" t="s">
        <v>16</v>
      </c>
      <c r="C15" s="74">
        <f t="shared" si="2" ref="C15:N15">SUM(C13,C14)</f>
        <v>12.28</v>
      </c>
      <c r="D15" s="74">
        <f t="shared" si="2"/>
        <v>38.409999999999997</v>
      </c>
      <c r="E15" s="74">
        <f t="shared" si="2"/>
        <v>36.43</v>
      </c>
      <c r="F15" s="74">
        <f t="shared" si="2"/>
        <v>32.589999999999996</v>
      </c>
      <c r="G15" s="74">
        <f t="shared" si="2"/>
        <v>32.589999999999996</v>
      </c>
      <c r="H15" s="74">
        <f t="shared" si="2"/>
        <v>32.589999999999996</v>
      </c>
      <c r="I15" s="74">
        <f t="shared" si="2"/>
        <v>32.589999999999996</v>
      </c>
      <c r="J15" s="74">
        <f t="shared" si="2"/>
        <v>32.589999999999996</v>
      </c>
      <c r="K15" s="74">
        <f t="shared" si="2"/>
        <v>32.589999999999996</v>
      </c>
      <c r="L15" s="74">
        <f t="shared" si="2"/>
        <v>32.589999999999996</v>
      </c>
      <c r="M15" s="74">
        <f t="shared" si="2"/>
        <v>315.25000000000006</v>
      </c>
      <c r="N15" s="75">
        <f t="shared" si="2"/>
        <v>31.525000000000006</v>
      </c>
    </row>
    <row r="16" spans="1:14" s="5" customFormat="1" ht="21" customHeight="1">
      <c r="A16" s="8"/>
      <c r="B16" s="51" t="s">
        <v>193</v>
      </c>
      <c r="M16" s="9"/>
      <c r="N16" s="16"/>
    </row>
    <row r="17" spans="1:14" s="5" customFormat="1" ht="15.75" customHeight="1">
      <c r="A17" s="8"/>
      <c r="B17" s="42" t="s">
        <v>8</v>
      </c>
      <c r="C17" s="43">
        <f>ROUND(((('PD Full Details'!C31)/(1000000))),2)</f>
        <v>0</v>
      </c>
      <c r="D17" s="43">
        <f>ROUND(((('PD Full Details'!E31)/(1000000))),2)</f>
        <v>0.18</v>
      </c>
      <c r="E17" s="43">
        <f>ROUND(((('PD Full Details'!G31)/(1000000))),2)</f>
        <v>0.18</v>
      </c>
      <c r="F17" s="43">
        <f>ROUND(((('PD Full Details'!I31)/(1000000))),2)</f>
        <v>0.18</v>
      </c>
      <c r="G17" s="43">
        <f>ROUND(((('PD Full Details'!K31)/(1000000))),2)</f>
        <v>0.18</v>
      </c>
      <c r="H17" s="43">
        <f>ROUND(((('PD Full Details'!M31)/(1000000))),2)</f>
        <v>0.18</v>
      </c>
      <c r="I17" s="43">
        <f>ROUND(((('PD Full Details'!O31)/(1000000))),2)</f>
        <v>0.18</v>
      </c>
      <c r="J17" s="43">
        <f>ROUND(((('PD Full Details'!Q31)/(1000000))),2)</f>
        <v>0.18</v>
      </c>
      <c r="K17" s="43">
        <f>ROUND(((('PD Full Details'!S31)/(1000000))),2)</f>
        <v>0.18</v>
      </c>
      <c r="L17" s="43">
        <f>ROUND(((('PD Full Details'!U31)/(1000000))),2)</f>
        <v>0.18</v>
      </c>
      <c r="M17" s="43">
        <f>SUM(C17,D17,E17,F17,G17,H17,I17,J17,K17,L17)</f>
        <v>1.6199999999999997</v>
      </c>
      <c r="N17" s="44">
        <f>AVERAGE(C17:L17)</f>
        <v>0.16199999999999998</v>
      </c>
    </row>
    <row r="18" spans="2:14" ht="15.5">
      <c r="B18" s="118" t="s">
        <v>9</v>
      </c>
      <c r="C18" s="46">
        <f>ROUND(((('PD Full Details'!B31)/(1000000))),2)</f>
        <v>0</v>
      </c>
      <c r="D18" s="46">
        <f>ROUND(((('PD Full Details'!D31)/(1000000))),2)</f>
        <v>5</v>
      </c>
      <c r="E18" s="46">
        <f>ROUND(((('PD Full Details'!F31)/(1000000))),2)</f>
        <v>5</v>
      </c>
      <c r="F18" s="46">
        <f>ROUND(((('PD Full Details'!H31)/(1000000))),2)</f>
        <v>5</v>
      </c>
      <c r="G18" s="46">
        <f>ROUND(((('PD Full Details'!J31)/(1000000))),2)</f>
        <v>5</v>
      </c>
      <c r="H18" s="46">
        <f>ROUND(((('PD Full Details'!L31)/(1000000))),2)</f>
        <v>5</v>
      </c>
      <c r="I18" s="46">
        <f>ROUND(((('PD Full Details'!N31)/(1000000))),2)</f>
        <v>5</v>
      </c>
      <c r="J18" s="46">
        <f>ROUND(((('PD Full Details'!P31)/(1000000))),2)</f>
        <v>5</v>
      </c>
      <c r="K18" s="46">
        <f>ROUND(((('PD Full Details'!R31)/(1000000))),2)</f>
        <v>5</v>
      </c>
      <c r="L18" s="46">
        <f>ROUND(((('PD Full Details'!T31)/(1000000))),2)</f>
        <v>5</v>
      </c>
      <c r="M18" s="46">
        <f>SUM(C18,D18,E18,F18,G18,H18,I18,J18,K18,L18)</f>
        <v>45</v>
      </c>
      <c r="N18" s="119">
        <f>AVERAGE(C18:L18)</f>
        <v>4.50</v>
      </c>
    </row>
    <row r="19" spans="1:14" ht="20.15" customHeight="1">
      <c r="A19" s="8"/>
      <c r="B19" s="48" t="s">
        <v>16</v>
      </c>
      <c r="C19" s="74">
        <f t="shared" si="3" ref="C19:N19">SUM(C17,C18)</f>
        <v>0</v>
      </c>
      <c r="D19" s="74">
        <f t="shared" si="3"/>
        <v>5.18</v>
      </c>
      <c r="E19" s="74">
        <f t="shared" si="3"/>
        <v>5.18</v>
      </c>
      <c r="F19" s="74">
        <f t="shared" si="3"/>
        <v>5.18</v>
      </c>
      <c r="G19" s="74">
        <f t="shared" si="3"/>
        <v>5.18</v>
      </c>
      <c r="H19" s="74">
        <f t="shared" si="3"/>
        <v>5.18</v>
      </c>
      <c r="I19" s="74">
        <f t="shared" si="3"/>
        <v>5.18</v>
      </c>
      <c r="J19" s="74">
        <f t="shared" si="3"/>
        <v>5.18</v>
      </c>
      <c r="K19" s="74">
        <f t="shared" si="3"/>
        <v>5.18</v>
      </c>
      <c r="L19" s="74">
        <f t="shared" si="3"/>
        <v>5.18</v>
      </c>
      <c r="M19" s="74">
        <f t="shared" si="3"/>
        <v>46.62</v>
      </c>
      <c r="N19" s="75">
        <f t="shared" si="3"/>
        <v>4.6619999999999999</v>
      </c>
    </row>
    <row r="20" spans="1:14" s="5" customFormat="1" ht="21" customHeight="1">
      <c r="A20" s="8"/>
      <c r="B20" s="51" t="s">
        <v>194</v>
      </c>
      <c r="M20" s="9"/>
      <c r="N20" s="16"/>
    </row>
    <row r="21" spans="1:14" s="5" customFormat="1" ht="15.75" customHeight="1">
      <c r="A21" s="8"/>
      <c r="B21" s="42" t="s">
        <v>8</v>
      </c>
      <c r="C21" s="43">
        <f>ROUND(((('PD Full Details'!C35)/(1000000))),2)</f>
        <v>0.070000000000000007</v>
      </c>
      <c r="D21" s="43">
        <f>ROUND(((('PD Full Details'!E35)/(1000000))),2)</f>
        <v>0.40</v>
      </c>
      <c r="E21" s="43">
        <f>ROUND(((('PD Full Details'!G35)/(1000000))),2)</f>
        <v>0.60</v>
      </c>
      <c r="F21" s="43">
        <f>ROUND(((('PD Full Details'!I35)/(1000000))),2)</f>
        <v>0.60</v>
      </c>
      <c r="G21" s="43">
        <f>ROUND(((('PD Full Details'!K35)/(1000000))),2)</f>
        <v>0.60</v>
      </c>
      <c r="H21" s="43">
        <f>ROUND(((('PD Full Details'!M35)/(1000000))),2)</f>
        <v>0.60</v>
      </c>
      <c r="I21" s="43">
        <f>ROUND(((('PD Full Details'!O35)/(1000000))),2)</f>
        <v>0.60</v>
      </c>
      <c r="J21" s="43">
        <f>ROUND(((('PD Full Details'!Q35)/(1000000))),2)</f>
        <v>0.60</v>
      </c>
      <c r="K21" s="43">
        <f>ROUND(((('PD Full Details'!S35)/(1000000))),2)</f>
        <v>0.60</v>
      </c>
      <c r="L21" s="43">
        <f>ROUND(((('PD Full Details'!U35)/(1000000))),2)</f>
        <v>0.60</v>
      </c>
      <c r="M21" s="43">
        <f>SUM(C21,D21,E21,F21,G21,H21,I21,J21,K21,L21)</f>
        <v>5.27</v>
      </c>
      <c r="N21" s="44">
        <f>AVERAGE(C21:L21)</f>
        <v>0.52699999999999991</v>
      </c>
    </row>
    <row r="22" spans="2:14" ht="15.5">
      <c r="B22" s="118" t="s">
        <v>9</v>
      </c>
      <c r="C22" s="46">
        <f>ROUND(((('PD Full Details'!B35)/(1000000))),2)+ROUND(((('PD Full Details'!B39)/(1000000))),2)+ROUND(((('PD Full Details'!B43)/(1000000))),2)</f>
        <v>5.22</v>
      </c>
      <c r="D22" s="46">
        <f>ROUND(((('PD Full Details'!D35)/(1000000))),2)+ROUND(((('PD Full Details'!D39)/(1000000))),2)+ROUND(((('PD Full Details'!D43)/(1000000))),2)</f>
        <v>45.10</v>
      </c>
      <c r="E22" s="46">
        <f>ROUND(((('PD Full Details'!F35)/(1000000))),2)+ROUND(((('PD Full Details'!F39)/(1000000))),2)+ROUND(((('PD Full Details'!F43)/(1000000))),2)</f>
        <v>54.90</v>
      </c>
      <c r="F22" s="46">
        <f>ROUND(((('PD Full Details'!H35)/(1000000))),2)+ROUND(((('PD Full Details'!H39)/(1000000))),2)+ROUND(((('PD Full Details'!H43)/(1000000))),2)</f>
        <v>54.90</v>
      </c>
      <c r="G22" s="46">
        <f>ROUND(((('PD Full Details'!J35)/(1000000))),2)+ROUND(((('PD Full Details'!J43)/(1000000))),2)</f>
        <v>53.90</v>
      </c>
      <c r="H22" s="46">
        <f>ROUND(((('PD Full Details'!L35)/(1000000))),2)+ROUND(((('PD Full Details'!L43)/(1000000))),2)</f>
        <v>53.90</v>
      </c>
      <c r="I22" s="46">
        <f>ROUND(((('PD Full Details'!N35)/(1000000))),2)+ROUND(((('PD Full Details'!N43)/(1000000))),2)</f>
        <v>53.90</v>
      </c>
      <c r="J22" s="46">
        <f>ROUND(((('PD Full Details'!P35)/(1000000))),2)+ROUND(((('PD Full Details'!P43)/(1000000))),2)</f>
        <v>53.90</v>
      </c>
      <c r="K22" s="46">
        <f>ROUND(((('PD Full Details'!R35)/(1000000))),2)+ROUND(((('PD Full Details'!R43)/(1000000))),2)</f>
        <v>53.90</v>
      </c>
      <c r="L22" s="46">
        <f>ROUND(((('PD Full Details'!T35)/(1000000))),2)+ROUND(((('PD Full Details'!T43)/(1000000))),2)</f>
        <v>53.90</v>
      </c>
      <c r="M22" s="46">
        <f>SUM(C22,D22,E22,F22,G22,H22,I22,J22,K22,L22)</f>
        <v>483.51999999999992</v>
      </c>
      <c r="N22" s="119">
        <f>AVERAGE(C22:L22)</f>
        <v>48.35199999999999</v>
      </c>
    </row>
    <row r="23" spans="1:14" ht="20.15" customHeight="1">
      <c r="A23" s="8"/>
      <c r="B23" s="48" t="s">
        <v>16</v>
      </c>
      <c r="C23" s="74">
        <f t="shared" si="4" ref="C23:N23">SUM(C21,C22)</f>
        <v>5.29</v>
      </c>
      <c r="D23" s="74">
        <f t="shared" si="4"/>
        <v>45.50</v>
      </c>
      <c r="E23" s="74">
        <f t="shared" si="4"/>
        <v>55.50</v>
      </c>
      <c r="F23" s="74">
        <f t="shared" si="4"/>
        <v>55.50</v>
      </c>
      <c r="G23" s="74">
        <f t="shared" si="4"/>
        <v>54.50</v>
      </c>
      <c r="H23" s="74">
        <f t="shared" si="4"/>
        <v>54.50</v>
      </c>
      <c r="I23" s="74">
        <f t="shared" si="4"/>
        <v>54.50</v>
      </c>
      <c r="J23" s="74">
        <f t="shared" si="4"/>
        <v>54.50</v>
      </c>
      <c r="K23" s="74">
        <f t="shared" si="4"/>
        <v>54.50</v>
      </c>
      <c r="L23" s="74">
        <f t="shared" si="4"/>
        <v>54.50</v>
      </c>
      <c r="M23" s="74">
        <f t="shared" si="4"/>
        <v>488.78999999999991</v>
      </c>
      <c r="N23" s="75">
        <f t="shared" si="4"/>
        <v>48.878999999999991</v>
      </c>
    </row>
    <row r="24" spans="1:14" s="5" customFormat="1" ht="21" customHeight="1">
      <c r="A24" s="8"/>
      <c r="B24" s="51" t="s">
        <v>195</v>
      </c>
      <c r="M24" s="9"/>
      <c r="N24" s="16"/>
    </row>
    <row r="25" spans="1:14" s="5" customFormat="1" ht="15.75" customHeight="1">
      <c r="A25" s="8"/>
      <c r="B25" s="42" t="s">
        <v>8</v>
      </c>
      <c r="C25" s="43">
        <f>ROUND(((('PD Full Details'!C47)/(1000000))),2)</f>
        <v>5.03</v>
      </c>
      <c r="D25" s="43">
        <f>ROUND(((('PD Full Details'!E47)/(1000000))),2)</f>
        <v>4.68</v>
      </c>
      <c r="E25" s="43">
        <f>ROUND(((('PD Full Details'!G47)/(1000000))),2)</f>
        <v>4.6900000000000004</v>
      </c>
      <c r="F25" s="43">
        <f>ROUND(((('PD Full Details'!I47)/(1000000))),2)</f>
        <v>4.70</v>
      </c>
      <c r="G25" s="43">
        <f>ROUND(((('PD Full Details'!K47)/(1000000))),2)</f>
        <v>4.70</v>
      </c>
      <c r="H25" s="43">
        <f>ROUND(((('PD Full Details'!M47)/(1000000))),2)</f>
        <v>4.71</v>
      </c>
      <c r="I25" s="43">
        <f>ROUND(((('PD Full Details'!O47)/(1000000))),2)</f>
        <v>4.71</v>
      </c>
      <c r="J25" s="43">
        <f>ROUND(((('PD Full Details'!Q47)/(1000000))),2)</f>
        <v>4.71</v>
      </c>
      <c r="K25" s="43">
        <f>ROUND(((('PD Full Details'!S47)/(1000000))),2)</f>
        <v>4.71</v>
      </c>
      <c r="L25" s="43">
        <f>ROUND(((('PD Full Details'!U47)/(1000000))),2)</f>
        <v>4.71</v>
      </c>
      <c r="M25" s="43">
        <f>SUM(C25,D25,E25,F25,G25,H25,I25,J25,K25,L25)</f>
        <v>47.35</v>
      </c>
      <c r="N25" s="44">
        <f>AVERAGE(C25:L25)</f>
        <v>4.7350000000000003</v>
      </c>
    </row>
    <row r="26" spans="2:14" ht="15.5">
      <c r="B26" s="118" t="s">
        <v>9</v>
      </c>
      <c r="C26" s="46">
        <f>ROUND(((('PD Full Details'!B47)/(1000000))),2)</f>
        <v>0</v>
      </c>
      <c r="D26" s="46">
        <f>ROUND(((('PD Full Details'!D47)/(1000000))),2)</f>
        <v>0</v>
      </c>
      <c r="E26" s="46">
        <f>ROUND(((('PD Full Details'!F47)/(1000000))),2)</f>
        <v>0</v>
      </c>
      <c r="F26" s="46">
        <f>ROUND(((('PD Full Details'!H47)/(1000000))),2)</f>
        <v>0</v>
      </c>
      <c r="G26" s="46">
        <f>ROUND(((('PD Full Details'!J47)/(1000000))),2)</f>
        <v>0</v>
      </c>
      <c r="H26" s="46">
        <f>ROUND(((('PD Full Details'!L47)/(1000000))),2)</f>
        <v>0</v>
      </c>
      <c r="I26" s="46">
        <f>ROUND(((('PD Full Details'!N47)/(1000000))),2)</f>
        <v>0</v>
      </c>
      <c r="J26" s="46">
        <f>ROUND(((('PD Full Details'!P47)/(1000000))),2)</f>
        <v>0</v>
      </c>
      <c r="K26" s="46">
        <f>ROUND(((('PD Full Details'!R47)/(1000000))),2)</f>
        <v>0</v>
      </c>
      <c r="L26" s="46">
        <f>ROUND(((('PD Full Details'!T47)/(1000000))),2)</f>
        <v>0</v>
      </c>
      <c r="M26" s="46">
        <f>SUM(C26,D26,E26,F26,G26,H26,I26,J26,K26,L26)</f>
        <v>0</v>
      </c>
      <c r="N26" s="119">
        <f>AVERAGE(C26:L26)</f>
        <v>0</v>
      </c>
    </row>
    <row r="27" spans="1:14" ht="20.15" customHeight="1">
      <c r="A27" s="8"/>
      <c r="B27" s="48" t="s">
        <v>16</v>
      </c>
      <c r="C27" s="74">
        <f t="shared" si="5" ref="C27:N27">SUM(C25,C26)</f>
        <v>5.03</v>
      </c>
      <c r="D27" s="74">
        <f t="shared" si="5"/>
        <v>4.68</v>
      </c>
      <c r="E27" s="74">
        <f t="shared" si="5"/>
        <v>4.6900000000000004</v>
      </c>
      <c r="F27" s="74">
        <f t="shared" si="5"/>
        <v>4.70</v>
      </c>
      <c r="G27" s="74">
        <f t="shared" si="5"/>
        <v>4.70</v>
      </c>
      <c r="H27" s="74">
        <f t="shared" si="5"/>
        <v>4.71</v>
      </c>
      <c r="I27" s="74">
        <f t="shared" si="5"/>
        <v>4.71</v>
      </c>
      <c r="J27" s="74">
        <f t="shared" si="5"/>
        <v>4.71</v>
      </c>
      <c r="K27" s="74">
        <f t="shared" si="5"/>
        <v>4.71</v>
      </c>
      <c r="L27" s="74">
        <f t="shared" si="5"/>
        <v>4.71</v>
      </c>
      <c r="M27" s="74">
        <f t="shared" si="5"/>
        <v>47.35</v>
      </c>
      <c r="N27" s="75">
        <f t="shared" si="5"/>
        <v>4.7350000000000003</v>
      </c>
    </row>
    <row r="28" spans="1:14" s="5" customFormat="1" ht="21" customHeight="1">
      <c r="A28" s="8"/>
      <c r="B28" s="51" t="s">
        <v>196</v>
      </c>
      <c r="M28" s="9"/>
      <c r="N28" s="16"/>
    </row>
    <row r="29" spans="1:14" s="5" customFormat="1" ht="15.75" customHeight="1">
      <c r="A29" s="8"/>
      <c r="B29" s="42" t="s">
        <v>8</v>
      </c>
      <c r="C29" s="43">
        <f>ROUND(((('PD Full Details'!C51)/(1000000))),2)</f>
        <v>2.50</v>
      </c>
      <c r="D29" s="43">
        <f>ROUND(((('PD Full Details'!E51)/(1000000))),2)</f>
        <v>2.87</v>
      </c>
      <c r="E29" s="43">
        <f>ROUND(((('PD Full Details'!G51)/(1000000))),2)</f>
        <v>2.87</v>
      </c>
      <c r="F29" s="43">
        <f>ROUND(((('PD Full Details'!I51)/(1000000))),2)</f>
        <v>2.87</v>
      </c>
      <c r="G29" s="43">
        <f>ROUND(((('PD Full Details'!K51)/(1000000))),2)</f>
        <v>2.87</v>
      </c>
      <c r="H29" s="43">
        <f>ROUND(((('PD Full Details'!M51)/(1000000))),2)</f>
        <v>2.87</v>
      </c>
      <c r="I29" s="43">
        <f>ROUND(((('PD Full Details'!O51)/(1000000))),2)</f>
        <v>2.87</v>
      </c>
      <c r="J29" s="43">
        <f>ROUND(((('PD Full Details'!Q51)/(1000000))),2)</f>
        <v>2.87</v>
      </c>
      <c r="K29" s="43">
        <f>ROUND(((('PD Full Details'!S51)/(1000000))),2)</f>
        <v>2.87</v>
      </c>
      <c r="L29" s="43">
        <f>ROUND(((('PD Full Details'!U51)/(1000000))),2)</f>
        <v>2.87</v>
      </c>
      <c r="M29" s="43">
        <f>SUM(C29,D29,E29,F29,G29,H29,I29,J29,K29,L29)</f>
        <v>28.330000000000005</v>
      </c>
      <c r="N29" s="44">
        <f>AVERAGE(C29:L29)</f>
        <v>2.8330000000000006</v>
      </c>
    </row>
    <row r="30" spans="2:14" ht="15.5">
      <c r="B30" s="118" t="s">
        <v>9</v>
      </c>
      <c r="C30" s="46">
        <f>ROUND(((('PD Full Details'!B51)/(1000000))),2)</f>
        <v>0</v>
      </c>
      <c r="D30" s="46">
        <f>ROUND(((('PD Full Details'!D51)/(1000000))),2)</f>
        <v>0</v>
      </c>
      <c r="E30" s="46">
        <f>ROUND(((('PD Full Details'!F51)/(1000000))),2)</f>
        <v>0</v>
      </c>
      <c r="F30" s="46">
        <f>ROUND(((('PD Full Details'!H51)/(1000000))),2)</f>
        <v>0</v>
      </c>
      <c r="G30" s="46">
        <f>ROUND(((('PD Full Details'!J51)/(1000000))),2)</f>
        <v>0</v>
      </c>
      <c r="H30" s="46">
        <f>ROUND(((('PD Full Details'!L51)/(1000000))),2)</f>
        <v>0</v>
      </c>
      <c r="I30" s="46">
        <f>ROUND(((('PD Full Details'!N51)/(1000000))),2)</f>
        <v>0</v>
      </c>
      <c r="J30" s="46">
        <f>ROUND(((('PD Full Details'!P51)/(1000000))),2)</f>
        <v>0</v>
      </c>
      <c r="K30" s="46">
        <f>ROUND(((('PD Full Details'!R51)/(1000000))),2)</f>
        <v>0</v>
      </c>
      <c r="L30" s="46">
        <f>ROUND(((('PD Full Details'!T51)/(1000000))),2)</f>
        <v>0</v>
      </c>
      <c r="M30" s="46">
        <f>SUM(C30,D30,E30,F30,G30,H30,I30,J30,K30,L30)</f>
        <v>0</v>
      </c>
      <c r="N30" s="119">
        <f>AVERAGE(C30:L30)</f>
        <v>0</v>
      </c>
    </row>
    <row r="31" spans="1:14" ht="20.15" customHeight="1">
      <c r="A31" s="8"/>
      <c r="B31" s="48" t="s">
        <v>16</v>
      </c>
      <c r="C31" s="74">
        <f t="shared" si="6" ref="C31:N31">SUM(C29,C30)</f>
        <v>2.50</v>
      </c>
      <c r="D31" s="74">
        <f t="shared" si="6"/>
        <v>2.87</v>
      </c>
      <c r="E31" s="74">
        <f t="shared" si="6"/>
        <v>2.87</v>
      </c>
      <c r="F31" s="74">
        <f t="shared" si="6"/>
        <v>2.87</v>
      </c>
      <c r="G31" s="74">
        <f t="shared" si="6"/>
        <v>2.87</v>
      </c>
      <c r="H31" s="74">
        <f t="shared" si="6"/>
        <v>2.87</v>
      </c>
      <c r="I31" s="74">
        <f t="shared" si="6"/>
        <v>2.87</v>
      </c>
      <c r="J31" s="74">
        <f t="shared" si="6"/>
        <v>2.87</v>
      </c>
      <c r="K31" s="74">
        <f t="shared" si="6"/>
        <v>2.87</v>
      </c>
      <c r="L31" s="74">
        <f t="shared" si="6"/>
        <v>2.87</v>
      </c>
      <c r="M31" s="74">
        <f t="shared" si="6"/>
        <v>28.330000000000005</v>
      </c>
      <c r="N31" s="75">
        <f t="shared" si="6"/>
        <v>2.8330000000000006</v>
      </c>
    </row>
    <row r="32" spans="1:14" s="5" customFormat="1" ht="21" customHeight="1">
      <c r="A32" s="8"/>
      <c r="B32" s="51" t="s">
        <v>6</v>
      </c>
      <c r="M32" s="9"/>
      <c r="N32" s="16"/>
    </row>
    <row r="33" spans="1:14" ht="15.75" customHeight="1">
      <c r="A33" s="8"/>
      <c r="B33" s="42" t="s">
        <v>8</v>
      </c>
      <c r="C33" s="43">
        <f>SUM(C5,C9,C13,C17,C21,C25,C29)</f>
        <v>9.66</v>
      </c>
      <c r="D33" s="43">
        <f t="shared" si="7" ref="D33:M33">SUM(D5,D9,D13,D17,D21,D25,D29)</f>
        <v>11.97</v>
      </c>
      <c r="E33" s="43">
        <f t="shared" si="7"/>
        <v>12.10</v>
      </c>
      <c r="F33" s="43">
        <f t="shared" si="7"/>
        <v>11.970000000000002</v>
      </c>
      <c r="G33" s="43">
        <f t="shared" si="7"/>
        <v>11.970000000000002</v>
      </c>
      <c r="H33" s="43">
        <f t="shared" si="7"/>
        <v>11.98</v>
      </c>
      <c r="I33" s="43">
        <f t="shared" si="7"/>
        <v>11.98</v>
      </c>
      <c r="J33" s="43">
        <f t="shared" si="7"/>
        <v>11.98</v>
      </c>
      <c r="K33" s="43">
        <f t="shared" si="7"/>
        <v>11.98</v>
      </c>
      <c r="L33" s="43">
        <f t="shared" si="7"/>
        <v>11.98</v>
      </c>
      <c r="M33" s="43">
        <f t="shared" si="7"/>
        <v>117.57000000000002</v>
      </c>
      <c r="N33" s="44">
        <f>AVERAGE(C33:L33)</f>
        <v>11.757000000000001</v>
      </c>
    </row>
    <row r="34" spans="2:14" ht="15.5">
      <c r="B34" s="118" t="s">
        <v>9</v>
      </c>
      <c r="C34" s="46">
        <f>SUM(C6,C10,C14,C18,C22,C26,C30)</f>
        <v>22.369999999999997</v>
      </c>
      <c r="D34" s="46">
        <f t="shared" si="8" ref="D34:M34">SUM(D6,D10,D14,D18,D22,D26,D30)</f>
        <v>91.949999999999989</v>
      </c>
      <c r="E34" s="46">
        <f t="shared" si="8"/>
        <v>99.85</v>
      </c>
      <c r="F34" s="46">
        <f t="shared" si="8"/>
        <v>96.15</v>
      </c>
      <c r="G34" s="46">
        <f t="shared" si="8"/>
        <v>95.15</v>
      </c>
      <c r="H34" s="46">
        <f t="shared" si="8"/>
        <v>95.15</v>
      </c>
      <c r="I34" s="46">
        <f t="shared" si="8"/>
        <v>95.15</v>
      </c>
      <c r="J34" s="46">
        <f t="shared" si="8"/>
        <v>95.15</v>
      </c>
      <c r="K34" s="46">
        <f t="shared" si="8"/>
        <v>95.15</v>
      </c>
      <c r="L34" s="46">
        <f t="shared" si="8"/>
        <v>95.15</v>
      </c>
      <c r="M34" s="46">
        <f t="shared" si="8"/>
        <v>881.22</v>
      </c>
      <c r="N34" s="119">
        <f>AVERAGE(C34:L34)</f>
        <v>88.121999999999986</v>
      </c>
    </row>
    <row r="35" spans="1:14" ht="20.15" customHeight="1" thickBot="1">
      <c r="A35" s="8"/>
      <c r="B35" s="52" t="s">
        <v>16</v>
      </c>
      <c r="C35" s="53">
        <f t="shared" si="9" ref="C35:N35">SUM(C33,C34)</f>
        <v>32.03</v>
      </c>
      <c r="D35" s="53">
        <f t="shared" si="9"/>
        <v>103.91999999999999</v>
      </c>
      <c r="E35" s="53">
        <f t="shared" si="9"/>
        <v>111.94999999999999</v>
      </c>
      <c r="F35" s="53">
        <f t="shared" si="9"/>
        <v>108.12</v>
      </c>
      <c r="G35" s="53">
        <f t="shared" si="9"/>
        <v>107.12</v>
      </c>
      <c r="H35" s="53">
        <f t="shared" si="9"/>
        <v>107.13000000000001</v>
      </c>
      <c r="I35" s="53">
        <f t="shared" si="9"/>
        <v>107.13000000000001</v>
      </c>
      <c r="J35" s="53">
        <f t="shared" si="9"/>
        <v>107.13000000000001</v>
      </c>
      <c r="K35" s="53">
        <f t="shared" si="9"/>
        <v>107.13000000000001</v>
      </c>
      <c r="L35" s="53">
        <f t="shared" si="9"/>
        <v>107.13000000000001</v>
      </c>
      <c r="M35" s="53">
        <f t="shared" si="9"/>
        <v>998.79000000000008</v>
      </c>
      <c r="N35" s="54">
        <f t="shared" si="9"/>
        <v>99.878999999999991</v>
      </c>
    </row>
    <row r="36" spans="2:14" ht="14.5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</row>
    <row r="37" spans="2:14" ht="14.5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</row>
    <row r="38" spans="2:14" ht="15.75" customHeight="1">
      <c r="B38" s="66" t="s">
        <v>14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</row>
    <row r="39" spans="2:14" ht="15.75" customHeight="1">
      <c r="B39" s="66" t="s">
        <v>13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</row>
  </sheetData>
  <printOptions horizontalCentered="1"/>
  <pageMargins left="0.5" right="0.5" top="0.5" bottom="0.5" header="0" footer="0"/>
  <pageSetup orientation="landscape" scale="1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19"/>
  <sheetViews>
    <sheetView workbookViewId="0" topLeftCell="A1">
      <pane ySplit="4" topLeftCell="A5" activePane="bottomLeft" state="frozen"/>
      <selection pane="topLeft" activeCell="A1" sqref="A1"/>
      <selection pane="bottomLeft" activeCell="G2" sqref="G2"/>
    </sheetView>
  </sheetViews>
  <sheetFormatPr defaultColWidth="9.1796875" defaultRowHeight="15"/>
  <cols>
    <col min="1" max="1" width="73.4285714285714" style="1" customWidth="1"/>
    <col min="2" max="7" width="15.7142857142857" style="18" customWidth="1"/>
    <col min="8" max="16384" width="9.14285714285714" style="1"/>
  </cols>
  <sheetData>
    <row r="1" spans="1:7" ht="26">
      <c r="A1" s="80" t="s">
        <v>45</v>
      </c>
      <c r="B1" s="79"/>
      <c r="C1" s="79"/>
      <c r="D1" s="79"/>
      <c r="E1" s="79"/>
      <c r="F1" s="356" t="s">
        <v>277</v>
      </c>
      <c r="G1" s="79"/>
    </row>
    <row r="2" ht="25" customHeight="1" thickBot="1">
      <c r="A2" s="76"/>
    </row>
    <row r="3" spans="1:7" s="3" customFormat="1" ht="14.5">
      <c r="A3" s="358" t="s">
        <v>118</v>
      </c>
      <c r="B3" s="360" t="s">
        <v>33</v>
      </c>
      <c r="C3" s="360"/>
      <c r="D3" s="360" t="s">
        <v>34</v>
      </c>
      <c r="E3" s="360"/>
      <c r="F3" s="360" t="s">
        <v>35</v>
      </c>
      <c r="G3" s="361"/>
    </row>
    <row r="4" spans="1:7" s="3" customFormat="1" ht="15" thickBot="1">
      <c r="A4" s="359"/>
      <c r="B4" s="166" t="s">
        <v>1</v>
      </c>
      <c r="C4" s="167" t="s">
        <v>2</v>
      </c>
      <c r="D4" s="166" t="s">
        <v>1</v>
      </c>
      <c r="E4" s="167" t="s">
        <v>2</v>
      </c>
      <c r="F4" s="166" t="s">
        <v>1</v>
      </c>
      <c r="G4" s="68" t="s">
        <v>2</v>
      </c>
    </row>
    <row r="5" spans="1:7" ht="25" customHeight="1">
      <c r="A5" s="194" t="s">
        <v>197</v>
      </c>
      <c r="B5" s="22">
        <f>'PD Full Details'!B7</f>
        <v>300000</v>
      </c>
      <c r="C5" s="22">
        <f>'PD Full Details'!C7</f>
        <v>163000</v>
      </c>
      <c r="D5" s="22">
        <f>'PD Full Details'!D7</f>
        <v>300000</v>
      </c>
      <c r="E5" s="22">
        <f>'PD Full Details'!E7</f>
        <v>163000</v>
      </c>
      <c r="F5" s="22">
        <f>'PD Full Details'!F7</f>
        <v>300000</v>
      </c>
      <c r="G5" s="23">
        <f>'PD Full Details'!G7</f>
        <v>163000</v>
      </c>
    </row>
    <row r="6" spans="1:7" ht="25" customHeight="1">
      <c r="A6" s="195" t="s">
        <v>208</v>
      </c>
      <c r="B6" s="24">
        <f>'PD Full Details'!B11</f>
        <v>2199999.821215</v>
      </c>
      <c r="C6" s="24">
        <f>'PD Full Details'!C11</f>
        <v>770000</v>
      </c>
      <c r="D6" s="24">
        <f>'PD Full Details'!D11</f>
        <v>2499999.9828650998</v>
      </c>
      <c r="E6" s="24">
        <f>'PD Full Details'!E11</f>
        <v>820000</v>
      </c>
      <c r="F6" s="24">
        <f>'PD Full Details'!F11</f>
        <v>2500000.0431820001</v>
      </c>
      <c r="G6" s="25">
        <f>'PD Full Details'!G11</f>
        <v>820000</v>
      </c>
    </row>
    <row r="7" spans="1:7" ht="25" customHeight="1">
      <c r="A7" s="195" t="s">
        <v>191</v>
      </c>
      <c r="B7" s="24">
        <f>'PD Full Details'!B15</f>
        <v>3000000</v>
      </c>
      <c r="C7" s="24">
        <f>'PD Full Details'!C15</f>
        <v>250000</v>
      </c>
      <c r="D7" s="24">
        <f>'PD Full Details'!D15</f>
        <v>3000000</v>
      </c>
      <c r="E7" s="24">
        <f>'PD Full Details'!E15</f>
        <v>250000</v>
      </c>
      <c r="F7" s="24">
        <f>'PD Full Details'!F15</f>
        <v>3000000</v>
      </c>
      <c r="G7" s="25">
        <f>'PD Full Details'!G15</f>
        <v>250000</v>
      </c>
    </row>
    <row r="8" spans="1:7" ht="25" customHeight="1">
      <c r="A8" s="195" t="s">
        <v>198</v>
      </c>
      <c r="B8" s="24">
        <f>'PD Full Details'!B19</f>
        <v>150000</v>
      </c>
      <c r="C8" s="24">
        <f>'PD Full Details'!C19</f>
        <v>100000</v>
      </c>
      <c r="D8" s="24">
        <f>'PD Full Details'!D19</f>
        <v>150000</v>
      </c>
      <c r="E8" s="24">
        <f>'PD Full Details'!E19</f>
        <v>100000</v>
      </c>
      <c r="F8" s="24">
        <f>'PD Full Details'!F19</f>
        <v>150000</v>
      </c>
      <c r="G8" s="25">
        <f>'PD Full Details'!G19</f>
        <v>100000</v>
      </c>
    </row>
    <row r="9" spans="1:7" ht="25" customHeight="1">
      <c r="A9" s="195" t="s">
        <v>192</v>
      </c>
      <c r="B9" s="24">
        <f>'PD Full Details'!B23</f>
        <v>6500000</v>
      </c>
      <c r="C9" s="24">
        <f>'PD Full Details'!C23</f>
        <v>580000</v>
      </c>
      <c r="D9" s="24">
        <f>'PD Full Details'!D23</f>
        <v>26400000</v>
      </c>
      <c r="E9" s="24">
        <f>'PD Full Details'!E23</f>
        <v>2127000</v>
      </c>
      <c r="F9" s="24">
        <f>'PD Full Details'!F23</f>
        <v>26400000</v>
      </c>
      <c r="G9" s="25">
        <f>'PD Full Details'!G23</f>
        <v>2127000</v>
      </c>
    </row>
    <row r="10" spans="1:7" ht="25" customHeight="1">
      <c r="A10" s="195" t="s">
        <v>199</v>
      </c>
      <c r="B10" s="24">
        <f>'PD Full Details'!B27</f>
        <v>5000000</v>
      </c>
      <c r="C10" s="24">
        <f>'PD Full Details'!C27</f>
        <v>199000</v>
      </c>
      <c r="D10" s="24">
        <f>'PD Full Details'!D27</f>
        <v>9495000</v>
      </c>
      <c r="E10" s="24">
        <f>'PD Full Details'!E27</f>
        <v>377000</v>
      </c>
      <c r="F10" s="24">
        <f>'PD Full Details'!F27</f>
        <v>7595000</v>
      </c>
      <c r="G10" s="25">
        <f>'PD Full Details'!G27</f>
        <v>301000</v>
      </c>
    </row>
    <row r="11" spans="1:7" ht="25" customHeight="1">
      <c r="A11" s="195" t="s">
        <v>193</v>
      </c>
      <c r="B11" s="24">
        <f>'PD Full Details'!B31</f>
        <v>0</v>
      </c>
      <c r="C11" s="24">
        <f>'PD Full Details'!C31</f>
        <v>0</v>
      </c>
      <c r="D11" s="24">
        <f>'PD Full Details'!D31</f>
        <v>5000000</v>
      </c>
      <c r="E11" s="24">
        <f>'PD Full Details'!E31</f>
        <v>180000</v>
      </c>
      <c r="F11" s="24">
        <f>'PD Full Details'!F31</f>
        <v>5000000</v>
      </c>
      <c r="G11" s="25">
        <f>'PD Full Details'!G31</f>
        <v>180000</v>
      </c>
    </row>
    <row r="12" spans="1:7" ht="25" customHeight="1">
      <c r="A12" s="195" t="s">
        <v>200</v>
      </c>
      <c r="B12" s="24">
        <f>'PD Full Details'!B35</f>
        <v>3500000</v>
      </c>
      <c r="C12" s="24">
        <f>'PD Full Details'!C35</f>
        <v>70000</v>
      </c>
      <c r="D12" s="24">
        <f>'PD Full Details'!D35</f>
        <v>19600000</v>
      </c>
      <c r="E12" s="24">
        <f>'PD Full Details'!E35</f>
        <v>400000</v>
      </c>
      <c r="F12" s="24">
        <f>'PD Full Details'!F35</f>
        <v>29400000</v>
      </c>
      <c r="G12" s="25">
        <f>'PD Full Details'!G35</f>
        <v>600000</v>
      </c>
    </row>
    <row r="13" spans="1:7" ht="25" customHeight="1">
      <c r="A13" s="195" t="s">
        <v>201</v>
      </c>
      <c r="B13" s="24">
        <f>'PD Full Details'!B39</f>
        <v>1000000</v>
      </c>
      <c r="C13" s="24">
        <f>'PD Full Details'!C39</f>
        <v>0</v>
      </c>
      <c r="D13" s="24">
        <f>'PD Full Details'!D39</f>
        <v>1000000</v>
      </c>
      <c r="E13" s="24">
        <f>'PD Full Details'!E39</f>
        <v>0</v>
      </c>
      <c r="F13" s="24">
        <f>'PD Full Details'!F39</f>
        <v>1000000</v>
      </c>
      <c r="G13" s="25">
        <f>'PD Full Details'!G39</f>
        <v>0</v>
      </c>
    </row>
    <row r="14" spans="1:7" ht="25" customHeight="1">
      <c r="A14" s="195" t="s">
        <v>202</v>
      </c>
      <c r="B14" s="24">
        <f>'PD Full Details'!B43</f>
        <v>720000</v>
      </c>
      <c r="C14" s="24">
        <f>'PD Full Details'!C43</f>
        <v>0</v>
      </c>
      <c r="D14" s="24">
        <f>'PD Full Details'!D43</f>
        <v>24500000</v>
      </c>
      <c r="E14" s="24">
        <f>'PD Full Details'!E43</f>
        <v>0</v>
      </c>
      <c r="F14" s="24">
        <f>'PD Full Details'!F43</f>
        <v>24500000</v>
      </c>
      <c r="G14" s="25">
        <f>'PD Full Details'!G43</f>
        <v>0</v>
      </c>
    </row>
    <row r="15" spans="1:7" ht="25" customHeight="1">
      <c r="A15" s="195" t="s">
        <v>195</v>
      </c>
      <c r="B15" s="24">
        <f>'PD Full Details'!B47</f>
        <v>0</v>
      </c>
      <c r="C15" s="24">
        <f>'PD Full Details'!C47</f>
        <v>5030881.2465663999</v>
      </c>
      <c r="D15" s="24">
        <f>'PD Full Details'!D47</f>
        <v>0</v>
      </c>
      <c r="E15" s="24">
        <f>'PD Full Details'!E47</f>
        <v>4678345.9676644001</v>
      </c>
      <c r="F15" s="24">
        <f>'PD Full Details'!F47</f>
        <v>0</v>
      </c>
      <c r="G15" s="25">
        <f>'PD Full Details'!G47</f>
        <v>4685488.9859324004</v>
      </c>
    </row>
    <row r="16" spans="1:7" ht="25" customHeight="1">
      <c r="A16" s="195" t="s">
        <v>196</v>
      </c>
      <c r="B16" s="24">
        <f>'PD Full Details'!B51</f>
        <v>0</v>
      </c>
      <c r="C16" s="24">
        <f>'PD Full Details'!C51</f>
        <v>2502932.3999998998</v>
      </c>
      <c r="D16" s="24">
        <f>'PD Full Details'!D51</f>
        <v>0</v>
      </c>
      <c r="E16" s="24">
        <f>'PD Full Details'!E51</f>
        <v>2872936.40</v>
      </c>
      <c r="F16" s="24">
        <f>'PD Full Details'!F51</f>
        <v>0</v>
      </c>
      <c r="G16" s="25">
        <f>'PD Full Details'!G51</f>
        <v>2872936.40</v>
      </c>
    </row>
    <row r="17" spans="1:7" ht="25" customHeight="1" thickBot="1">
      <c r="A17" s="196" t="s">
        <v>6</v>
      </c>
      <c r="B17" s="192">
        <f t="shared" si="0" ref="B17:G17">SUM(B9,B11,B12,B13,B14,B6,B5,B10,B7,B8,B15,B16)</f>
        <v>22369999.821215</v>
      </c>
      <c r="C17" s="192">
        <f t="shared" si="0"/>
        <v>9665813.6465662997</v>
      </c>
      <c r="D17" s="192">
        <f t="shared" si="0"/>
        <v>91944999.982865095</v>
      </c>
      <c r="E17" s="192">
        <f t="shared" si="0"/>
        <v>11968282.367664401</v>
      </c>
      <c r="F17" s="192">
        <f t="shared" si="0"/>
        <v>99845000.043182001</v>
      </c>
      <c r="G17" s="193">
        <f t="shared" si="0"/>
        <v>12099425.385932401</v>
      </c>
    </row>
    <row r="18" spans="1:7" ht="25" customHeight="1">
      <c r="A18" s="21"/>
      <c r="B18" s="365" t="str">
        <f>"Total Program Cost = "&amp;"$"&amp;TEXT((ROUND((((SUM(B17:C17))/1000000)),0)),"#,##0")&amp;"M"</f>
        <v>Total Program Cost = $32M</v>
      </c>
      <c r="C18" s="366"/>
      <c r="D18" s="367" t="str">
        <f t="shared" si="1" ref="D18">"Total Program Cost = "&amp;"$"&amp;TEXT((ROUND((((SUM(D17:E17))/1000000)),0)),"#,##0")&amp;"M"</f>
        <v>Total Program Cost = $104M</v>
      </c>
      <c r="E18" s="366"/>
      <c r="F18" s="367" t="str">
        <f t="shared" si="2" ref="F18">"Total Program Cost = "&amp;"$"&amp;TEXT((ROUND((((SUM(F17:G17))/1000000)),0)),"#,##0")&amp;"M"</f>
        <v>Total Program Cost = $112M</v>
      </c>
      <c r="G18" s="368"/>
    </row>
    <row r="19" spans="1:7" ht="25" customHeight="1" thickBot="1">
      <c r="A19" s="21"/>
      <c r="B19" s="362" t="str">
        <f>"Avg Annual Cost = "&amp;"$"&amp;TEXT((ROUND((((SUM(B17:C17))/1000000/10)),0)),"#,##0")&amp;"M"</f>
        <v>Avg Annual Cost = $3M</v>
      </c>
      <c r="C19" s="363"/>
      <c r="D19" s="363" t="str">
        <f t="shared" si="3" ref="D19">"Avg Annual Cost = "&amp;"$"&amp;TEXT((ROUND((((SUM(D17:E17))/1000000/10)),0)),"#,##0")&amp;"M"</f>
        <v>Avg Annual Cost = $10M</v>
      </c>
      <c r="E19" s="363"/>
      <c r="F19" s="363" t="str">
        <f t="shared" si="4" ref="F19">"Avg Annual Cost = "&amp;"$"&amp;TEXT((ROUND((((SUM(F17:G17))/1000000/10)),0)),"#,##0")&amp;"M"</f>
        <v>Avg Annual Cost = $11M</v>
      </c>
      <c r="G19" s="364"/>
    </row>
  </sheetData>
  <mergeCells count="10">
    <mergeCell ref="A3:A4"/>
    <mergeCell ref="B3:C3"/>
    <mergeCell ref="D3:E3"/>
    <mergeCell ref="F3:G3"/>
    <mergeCell ref="B19:C19"/>
    <mergeCell ref="D19:E19"/>
    <mergeCell ref="F19:G19"/>
    <mergeCell ref="B18:C18"/>
    <mergeCell ref="D18:E18"/>
    <mergeCell ref="F18:G18"/>
  </mergeCells>
  <printOptions horizontalCentered="1"/>
  <pageMargins left="0.5" right="0.5" top="0.5" bottom="0.5" header="0" footer="0"/>
  <pageSetup orientation="landscape" scale="1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N27"/>
  <sheetViews>
    <sheetView zoomScale="50" zoomScaleNormal="50" workbookViewId="0" topLeftCell="A1">
      <selection pane="topLeft" activeCell="A1" sqref="A1"/>
    </sheetView>
  </sheetViews>
  <sheetFormatPr defaultColWidth="9.1796875" defaultRowHeight="15"/>
  <cols>
    <col min="1" max="1" width="62.8571428571429" style="1" customWidth="1"/>
    <col min="2" max="2" width="14.2857142857143" style="18" bestFit="1" customWidth="1"/>
    <col min="3" max="3" width="13.4285714285714" style="18" bestFit="1" customWidth="1"/>
    <col min="4" max="4" width="2.71428571428571" style="18" customWidth="1"/>
    <col min="5" max="5" width="41" style="1" customWidth="1"/>
    <col min="6" max="6" width="63.5714285714286" style="1" customWidth="1"/>
    <col min="7" max="7" width="51.2857142857143" style="1" customWidth="1"/>
    <col min="8" max="8" width="39" style="1" customWidth="1"/>
    <col min="9" max="9" width="22.7142857142857" style="1" customWidth="1"/>
    <col min="10" max="10" width="23" style="1" bestFit="1" customWidth="1"/>
    <col min="11" max="11" width="22" style="1" bestFit="1" customWidth="1"/>
    <col min="12" max="12" width="18.8571428571429" style="1" customWidth="1"/>
    <col min="13" max="13" width="19.2857142857143" style="1" customWidth="1"/>
    <col min="14" max="14" width="15.8571428571429" style="1" customWidth="1"/>
    <col min="15" max="16384" width="9.14285714285714" style="1"/>
  </cols>
  <sheetData>
    <row r="1" ht="14.5">
      <c r="G1" s="356" t="s">
        <v>278</v>
      </c>
    </row>
    <row r="2" ht="14.5">
      <c r="G2" s="356" t="s">
        <v>274</v>
      </c>
    </row>
    <row r="3" spans="1:12" ht="25" customHeight="1">
      <c r="A3" s="20" t="s">
        <v>171</v>
      </c>
      <c r="E3" s="20" t="s">
        <v>222</v>
      </c>
      <c r="J3" s="210"/>
      <c r="K3" s="210"/>
      <c r="L3" s="210"/>
    </row>
    <row r="4" spans="1:14" s="3" customFormat="1" ht="37">
      <c r="A4" s="378" t="s">
        <v>123</v>
      </c>
      <c r="B4" s="380" t="s">
        <v>124</v>
      </c>
      <c r="C4" s="380"/>
      <c r="D4" s="212"/>
      <c r="E4" s="249" t="s">
        <v>184</v>
      </c>
      <c r="F4" s="249" t="s">
        <v>189</v>
      </c>
      <c r="G4" s="249" t="s">
        <v>183</v>
      </c>
      <c r="H4" s="250" t="s">
        <v>52</v>
      </c>
      <c r="I4" s="250" t="s">
        <v>125</v>
      </c>
      <c r="J4" s="251" t="s">
        <v>150</v>
      </c>
      <c r="K4" s="252" t="s">
        <v>187</v>
      </c>
      <c r="L4" s="253" t="s">
        <v>149</v>
      </c>
      <c r="M4" s="253" t="s">
        <v>219</v>
      </c>
      <c r="N4" s="253" t="s">
        <v>220</v>
      </c>
    </row>
    <row r="5" spans="1:14" s="3" customFormat="1" ht="25" customHeight="1">
      <c r="A5" s="379"/>
      <c r="B5" s="211" t="s">
        <v>188</v>
      </c>
      <c r="C5" s="211" t="s">
        <v>122</v>
      </c>
      <c r="D5" s="212"/>
      <c r="E5" s="218" t="s">
        <v>178</v>
      </c>
      <c r="F5" s="218" t="s">
        <v>126</v>
      </c>
      <c r="G5" s="219" t="s">
        <v>175</v>
      </c>
      <c r="H5" s="219" t="s">
        <v>127</v>
      </c>
      <c r="I5" s="219" t="s">
        <v>128</v>
      </c>
      <c r="J5" s="220">
        <v>339281.77</v>
      </c>
      <c r="K5" s="220">
        <v>278556.96937630797</v>
      </c>
      <c r="L5" s="245">
        <v>43703</v>
      </c>
      <c r="M5" s="245">
        <v>43706</v>
      </c>
      <c r="N5" s="254" t="s">
        <v>221</v>
      </c>
    </row>
    <row r="6" spans="1:14" ht="25" customHeight="1">
      <c r="A6" s="227" t="s">
        <v>190</v>
      </c>
      <c r="B6" s="24">
        <v>2227540</v>
      </c>
      <c r="C6" s="228">
        <f>K18</f>
        <v>397301.19</v>
      </c>
      <c r="D6" s="213"/>
      <c r="E6" s="246" t="s">
        <v>178</v>
      </c>
      <c r="F6" s="246" t="s">
        <v>129</v>
      </c>
      <c r="G6" s="142" t="s">
        <v>175</v>
      </c>
      <c r="H6" s="142" t="s">
        <v>127</v>
      </c>
      <c r="I6" s="142" t="s">
        <v>130</v>
      </c>
      <c r="J6" s="247">
        <v>739630.37</v>
      </c>
      <c r="K6" s="248">
        <v>607251.00062369206</v>
      </c>
      <c r="L6" s="375" t="s">
        <v>223</v>
      </c>
      <c r="M6" s="376"/>
      <c r="N6" s="377"/>
    </row>
    <row r="7" spans="1:14" ht="25" customHeight="1">
      <c r="A7" s="227" t="s">
        <v>191</v>
      </c>
      <c r="B7" s="24">
        <v>0</v>
      </c>
      <c r="C7" s="24">
        <v>0</v>
      </c>
      <c r="D7" s="213"/>
      <c r="E7" s="246" t="s">
        <v>156</v>
      </c>
      <c r="F7" s="246" t="s">
        <v>131</v>
      </c>
      <c r="G7" s="142" t="s">
        <v>175</v>
      </c>
      <c r="H7" s="142" t="s">
        <v>132</v>
      </c>
      <c r="I7" s="142" t="s">
        <v>133</v>
      </c>
      <c r="J7" s="247">
        <v>692621.55</v>
      </c>
      <c r="K7" s="247">
        <v>646114.92812496074</v>
      </c>
      <c r="L7" s="245">
        <v>43556</v>
      </c>
      <c r="M7" s="245">
        <v>43706</v>
      </c>
      <c r="N7" s="245">
        <v>43818</v>
      </c>
    </row>
    <row r="8" spans="1:14" ht="25" customHeight="1">
      <c r="A8" s="227" t="s">
        <v>192</v>
      </c>
      <c r="B8" s="24">
        <v>5202693</v>
      </c>
      <c r="C8" s="224">
        <f>SUM(K6,K10,K11,K12,K14)</f>
        <v>2302673.4014481623</v>
      </c>
      <c r="D8" s="213"/>
      <c r="E8" s="246" t="s">
        <v>156</v>
      </c>
      <c r="F8" s="246" t="s">
        <v>131</v>
      </c>
      <c r="G8" s="142" t="s">
        <v>175</v>
      </c>
      <c r="H8" s="142" t="s">
        <v>132</v>
      </c>
      <c r="I8" s="142" t="s">
        <v>134</v>
      </c>
      <c r="J8" s="247">
        <v>694195.97</v>
      </c>
      <c r="K8" s="247">
        <v>647583.63244861108</v>
      </c>
      <c r="L8" s="245">
        <v>43705</v>
      </c>
      <c r="M8" s="245">
        <v>43706</v>
      </c>
      <c r="N8" s="254" t="s">
        <v>221</v>
      </c>
    </row>
    <row r="9" spans="1:14" ht="25" customHeight="1">
      <c r="A9" s="227" t="s">
        <v>193</v>
      </c>
      <c r="B9" s="24">
        <v>0</v>
      </c>
      <c r="C9" s="24">
        <v>0</v>
      </c>
      <c r="D9" s="213"/>
      <c r="E9" s="246" t="s">
        <v>156</v>
      </c>
      <c r="F9" s="246" t="s">
        <v>135</v>
      </c>
      <c r="G9" s="142" t="s">
        <v>175</v>
      </c>
      <c r="H9" s="142" t="s">
        <v>132</v>
      </c>
      <c r="I9" s="142" t="s">
        <v>136</v>
      </c>
      <c r="J9" s="247">
        <v>467184.43</v>
      </c>
      <c r="K9" s="247">
        <v>435814.96188004938</v>
      </c>
      <c r="L9" s="245">
        <v>43770</v>
      </c>
      <c r="M9" s="256">
        <v>43896</v>
      </c>
      <c r="N9" s="254" t="s">
        <v>221</v>
      </c>
    </row>
    <row r="10" spans="1:14" ht="25" customHeight="1">
      <c r="A10" s="227" t="s">
        <v>194</v>
      </c>
      <c r="B10" s="24">
        <f>6904820+492503</f>
        <v>7397323</v>
      </c>
      <c r="C10" s="229">
        <f>SUM(K22,K26)</f>
        <v>4461845.74</v>
      </c>
      <c r="D10" s="213"/>
      <c r="E10" s="246" t="s">
        <v>176</v>
      </c>
      <c r="F10" s="246" t="s">
        <v>137</v>
      </c>
      <c r="G10" s="142" t="s">
        <v>177</v>
      </c>
      <c r="H10" s="142" t="s">
        <v>138</v>
      </c>
      <c r="I10" s="142" t="s">
        <v>139</v>
      </c>
      <c r="J10" s="247">
        <v>436824.62</v>
      </c>
      <c r="K10" s="248">
        <v>387290.51192984526</v>
      </c>
      <c r="L10" s="375" t="s">
        <v>223</v>
      </c>
      <c r="M10" s="376"/>
      <c r="N10" s="377"/>
    </row>
    <row r="11" spans="1:14" ht="25" customHeight="1">
      <c r="A11" s="227" t="s">
        <v>195</v>
      </c>
      <c r="B11" s="24">
        <v>0</v>
      </c>
      <c r="C11" s="24">
        <v>0</v>
      </c>
      <c r="D11" s="213"/>
      <c r="E11" s="246" t="s">
        <v>179</v>
      </c>
      <c r="F11" s="246" t="s">
        <v>140</v>
      </c>
      <c r="G11" s="142" t="s">
        <v>180</v>
      </c>
      <c r="H11" s="142" t="s">
        <v>127</v>
      </c>
      <c r="I11" s="142" t="s">
        <v>141</v>
      </c>
      <c r="J11" s="247">
        <v>402646.41</v>
      </c>
      <c r="K11" s="255">
        <v>352668.05872337456</v>
      </c>
      <c r="L11" s="256">
        <v>43893</v>
      </c>
      <c r="M11" s="254" t="s">
        <v>221</v>
      </c>
      <c r="N11" s="254" t="s">
        <v>221</v>
      </c>
    </row>
    <row r="12" spans="1:14" ht="25" customHeight="1">
      <c r="A12" s="227" t="s">
        <v>196</v>
      </c>
      <c r="B12" s="24">
        <f>'PD Full Details'!B51</f>
        <v>0</v>
      </c>
      <c r="C12" s="24">
        <v>0</v>
      </c>
      <c r="D12" s="213"/>
      <c r="E12" s="246" t="s">
        <v>179</v>
      </c>
      <c r="F12" s="246" t="s">
        <v>142</v>
      </c>
      <c r="G12" s="142" t="s">
        <v>180</v>
      </c>
      <c r="H12" s="142" t="s">
        <v>127</v>
      </c>
      <c r="I12" s="142" t="s">
        <v>143</v>
      </c>
      <c r="J12" s="247">
        <v>541877.19999999995</v>
      </c>
      <c r="K12" s="255">
        <v>474616.87337646395</v>
      </c>
      <c r="L12" s="256">
        <v>43893</v>
      </c>
      <c r="M12" s="254" t="s">
        <v>221</v>
      </c>
      <c r="N12" s="254" t="s">
        <v>221</v>
      </c>
    </row>
    <row r="13" spans="1:14" ht="25" customHeight="1">
      <c r="A13" s="225" t="s">
        <v>6</v>
      </c>
      <c r="B13" s="226">
        <f>SUM(B8,B9,B10,B6,B7,B11,B12)</f>
        <v>14827556</v>
      </c>
      <c r="C13" s="226">
        <f>SUM(C8,C9,C10,C6,C7,C11,C12)</f>
        <v>7161820.3314481629</v>
      </c>
      <c r="D13" s="214"/>
      <c r="E13" s="246" t="s">
        <v>179</v>
      </c>
      <c r="F13" s="246" t="s">
        <v>144</v>
      </c>
      <c r="G13" s="142" t="s">
        <v>181</v>
      </c>
      <c r="H13" s="142" t="s">
        <v>132</v>
      </c>
      <c r="I13" s="142" t="s">
        <v>145</v>
      </c>
      <c r="J13" s="247">
        <v>1006028.72</v>
      </c>
      <c r="K13" s="247">
        <v>891949.21747983666</v>
      </c>
      <c r="L13" s="245">
        <v>43804</v>
      </c>
      <c r="M13" s="254" t="s">
        <v>221</v>
      </c>
      <c r="N13" s="254" t="s">
        <v>221</v>
      </c>
    </row>
    <row r="14" spans="5:14" ht="25" customHeight="1">
      <c r="E14" s="246" t="s">
        <v>179</v>
      </c>
      <c r="F14" s="246" t="s">
        <v>146</v>
      </c>
      <c r="G14" s="142" t="s">
        <v>181</v>
      </c>
      <c r="H14" s="142" t="s">
        <v>132</v>
      </c>
      <c r="I14" s="142" t="s">
        <v>147</v>
      </c>
      <c r="J14" s="247">
        <v>542346.85</v>
      </c>
      <c r="K14" s="248">
        <v>480846.95679478644</v>
      </c>
      <c r="L14" s="375" t="s">
        <v>223</v>
      </c>
      <c r="M14" s="376"/>
      <c r="N14" s="377"/>
    </row>
    <row r="15" spans="5:12" ht="25" customHeight="1">
      <c r="E15" s="133"/>
      <c r="F15" s="133"/>
      <c r="G15" s="133"/>
      <c r="H15" s="133"/>
      <c r="I15" s="221" t="s">
        <v>148</v>
      </c>
      <c r="J15" s="222">
        <v>5862637.8899999997</v>
      </c>
      <c r="K15" s="222">
        <v>5202693.1107579283</v>
      </c>
      <c r="L15" s="133"/>
    </row>
    <row r="16" ht="26">
      <c r="E16" s="20" t="s">
        <v>25</v>
      </c>
    </row>
    <row r="17" spans="5:12" ht="39">
      <c r="E17" s="230" t="s">
        <v>182</v>
      </c>
      <c r="F17" s="230" t="s">
        <v>183</v>
      </c>
      <c r="G17" s="230" t="s">
        <v>184</v>
      </c>
      <c r="H17" s="230" t="s">
        <v>185</v>
      </c>
      <c r="I17" s="231" t="s">
        <v>186</v>
      </c>
      <c r="J17" s="230" t="s">
        <v>3</v>
      </c>
      <c r="K17" s="230" t="s">
        <v>122</v>
      </c>
      <c r="L17" s="232" t="s">
        <v>187</v>
      </c>
    </row>
    <row r="18" spans="5:12" ht="25" customHeight="1">
      <c r="E18" s="142" t="s">
        <v>151</v>
      </c>
      <c r="F18" s="142" t="s">
        <v>152</v>
      </c>
      <c r="G18" s="142" t="s">
        <v>153</v>
      </c>
      <c r="H18" s="142" t="s">
        <v>154</v>
      </c>
      <c r="I18" s="223">
        <v>321487.27</v>
      </c>
      <c r="J18" s="369" t="s">
        <v>172</v>
      </c>
      <c r="K18" s="374">
        <v>397301.19</v>
      </c>
      <c r="L18" s="372">
        <v>2227539.8000000003</v>
      </c>
    </row>
    <row r="19" spans="5:12" ht="25" customHeight="1">
      <c r="E19" s="142" t="s">
        <v>155</v>
      </c>
      <c r="F19" s="142" t="s">
        <v>152</v>
      </c>
      <c r="G19" s="142" t="s">
        <v>156</v>
      </c>
      <c r="H19" s="142" t="s">
        <v>157</v>
      </c>
      <c r="I19" s="223">
        <v>75813.92</v>
      </c>
      <c r="J19" s="370"/>
      <c r="K19" s="374"/>
      <c r="L19" s="373"/>
    </row>
    <row r="20" spans="5:12" ht="25" customHeight="1">
      <c r="E20" s="20" t="s">
        <v>116</v>
      </c>
      <c r="F20" s="215"/>
      <c r="G20" s="215"/>
      <c r="H20" s="215"/>
      <c r="I20" s="216"/>
      <c r="J20" s="215"/>
      <c r="K20" s="215"/>
      <c r="L20" s="217"/>
    </row>
    <row r="21" spans="5:12" ht="39">
      <c r="E21" s="230" t="s">
        <v>182</v>
      </c>
      <c r="F21" s="230" t="s">
        <v>183</v>
      </c>
      <c r="G21" s="230" t="s">
        <v>184</v>
      </c>
      <c r="H21" s="230" t="s">
        <v>185</v>
      </c>
      <c r="I21" s="231" t="s">
        <v>186</v>
      </c>
      <c r="J21" s="230" t="s">
        <v>3</v>
      </c>
      <c r="K21" s="230" t="s">
        <v>122</v>
      </c>
      <c r="L21" s="232" t="s">
        <v>187</v>
      </c>
    </row>
    <row r="22" spans="5:12" ht="25" customHeight="1">
      <c r="E22" s="142" t="s">
        <v>158</v>
      </c>
      <c r="F22" s="142" t="s">
        <v>159</v>
      </c>
      <c r="G22" s="142" t="s">
        <v>160</v>
      </c>
      <c r="H22" s="142" t="s">
        <v>161</v>
      </c>
      <c r="I22" s="223">
        <v>1797829.49</v>
      </c>
      <c r="J22" s="369" t="s">
        <v>173</v>
      </c>
      <c r="K22" s="371">
        <v>4126672.2300000004</v>
      </c>
      <c r="L22" s="372">
        <v>6904820.3200000003</v>
      </c>
    </row>
    <row r="23" spans="5:12" ht="25" customHeight="1">
      <c r="E23" s="142" t="s">
        <v>162</v>
      </c>
      <c r="F23" s="142" t="s">
        <v>159</v>
      </c>
      <c r="G23" s="142" t="s">
        <v>160</v>
      </c>
      <c r="H23" s="142" t="s">
        <v>163</v>
      </c>
      <c r="I23" s="223">
        <v>2328842.7400000002</v>
      </c>
      <c r="J23" s="370"/>
      <c r="K23" s="371"/>
      <c r="L23" s="373"/>
    </row>
    <row r="24" spans="5:12" ht="25" customHeight="1">
      <c r="E24" s="20" t="s">
        <v>117</v>
      </c>
      <c r="F24" s="215"/>
      <c r="G24" s="215"/>
      <c r="H24" s="215"/>
      <c r="I24" s="216"/>
      <c r="J24" s="215"/>
      <c r="K24" s="215"/>
      <c r="L24" s="217"/>
    </row>
    <row r="25" spans="5:12" ht="39">
      <c r="E25" s="230" t="s">
        <v>182</v>
      </c>
      <c r="F25" s="230" t="s">
        <v>183</v>
      </c>
      <c r="G25" s="230" t="s">
        <v>184</v>
      </c>
      <c r="H25" s="230" t="s">
        <v>185</v>
      </c>
      <c r="I25" s="231" t="s">
        <v>186</v>
      </c>
      <c r="J25" s="230" t="s">
        <v>3</v>
      </c>
      <c r="K25" s="230" t="s">
        <v>122</v>
      </c>
      <c r="L25" s="232" t="s">
        <v>187</v>
      </c>
    </row>
    <row r="26" spans="5:12" ht="25" customHeight="1">
      <c r="E26" s="142" t="s">
        <v>164</v>
      </c>
      <c r="F26" s="142" t="s">
        <v>165</v>
      </c>
      <c r="G26" s="142" t="s">
        <v>166</v>
      </c>
      <c r="H26" s="142" t="s">
        <v>167</v>
      </c>
      <c r="I26" s="223">
        <v>309852.93</v>
      </c>
      <c r="J26" s="369" t="s">
        <v>174</v>
      </c>
      <c r="K26" s="371">
        <v>335173.51</v>
      </c>
      <c r="L26" s="372">
        <v>492503.20</v>
      </c>
    </row>
    <row r="27" spans="5:12" ht="25" customHeight="1">
      <c r="E27" s="142" t="s">
        <v>168</v>
      </c>
      <c r="F27" s="142" t="s">
        <v>165</v>
      </c>
      <c r="G27" s="142" t="s">
        <v>169</v>
      </c>
      <c r="H27" s="142" t="s">
        <v>170</v>
      </c>
      <c r="I27" s="223">
        <v>25320.58</v>
      </c>
      <c r="J27" s="370"/>
      <c r="K27" s="371"/>
      <c r="L27" s="373"/>
    </row>
    <row r="32" ht="15" customHeight="1"/>
  </sheetData>
  <mergeCells count="14">
    <mergeCell ref="L6:N6"/>
    <mergeCell ref="L10:N10"/>
    <mergeCell ref="L14:N14"/>
    <mergeCell ref="A4:A5"/>
    <mergeCell ref="B4:C4"/>
    <mergeCell ref="J18:J19"/>
    <mergeCell ref="J26:J27"/>
    <mergeCell ref="K26:K27"/>
    <mergeCell ref="L26:L27"/>
    <mergeCell ref="K18:K19"/>
    <mergeCell ref="L18:L19"/>
    <mergeCell ref="J22:J23"/>
    <mergeCell ref="K22:K23"/>
    <mergeCell ref="L22:L2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14"/>
  <sheetViews>
    <sheetView workbookViewId="0" topLeftCell="A1">
      <selection pane="topLeft" activeCell="A1" sqref="A1"/>
    </sheetView>
  </sheetViews>
  <sheetFormatPr defaultColWidth="9.1796875" defaultRowHeight="15"/>
  <cols>
    <col min="1" max="1" width="73.4285714285714" style="1" customWidth="1"/>
    <col min="2" max="2" width="14.2857142857143" style="18" bestFit="1" customWidth="1"/>
    <col min="3" max="3" width="13.4285714285714" style="18" bestFit="1" customWidth="1"/>
    <col min="4" max="4" width="14.5714285714286" style="18" customWidth="1"/>
    <col min="5" max="5" width="13.8571428571429" style="18" bestFit="1" customWidth="1"/>
    <col min="6" max="6" width="15" style="18" bestFit="1" customWidth="1"/>
    <col min="7" max="7" width="13.8571428571429" style="18" bestFit="1" customWidth="1"/>
    <col min="8" max="16384" width="9.14285714285714" style="1"/>
  </cols>
  <sheetData>
    <row r="1" spans="1:7" ht="26">
      <c r="A1" s="80" t="s">
        <v>273</v>
      </c>
      <c r="B1" s="79"/>
      <c r="C1" s="79"/>
      <c r="D1" s="79"/>
      <c r="E1" s="79"/>
      <c r="F1" s="79"/>
      <c r="G1" s="356" t="s">
        <v>279</v>
      </c>
    </row>
    <row r="2" ht="25" customHeight="1" thickBot="1">
      <c r="A2" s="76"/>
    </row>
    <row r="3" spans="1:7" s="3" customFormat="1" ht="14.5">
      <c r="A3" s="358" t="s">
        <v>118</v>
      </c>
      <c r="B3" s="384" t="s">
        <v>33</v>
      </c>
      <c r="C3" s="385"/>
      <c r="D3" s="384" t="s">
        <v>34</v>
      </c>
      <c r="E3" s="386"/>
      <c r="F3" s="384" t="s">
        <v>35</v>
      </c>
      <c r="G3" s="385"/>
    </row>
    <row r="4" spans="1:7" s="3" customFormat="1" ht="15" thickBot="1">
      <c r="A4" s="359"/>
      <c r="B4" s="67" t="s">
        <v>1</v>
      </c>
      <c r="C4" s="68" t="s">
        <v>2</v>
      </c>
      <c r="D4" s="67" t="s">
        <v>1</v>
      </c>
      <c r="E4" s="69" t="s">
        <v>2</v>
      </c>
      <c r="F4" s="67" t="s">
        <v>1</v>
      </c>
      <c r="G4" s="68" t="s">
        <v>2</v>
      </c>
    </row>
    <row r="5" spans="1:7" ht="25" customHeight="1">
      <c r="A5" s="194" t="s">
        <v>190</v>
      </c>
      <c r="B5" s="22">
        <f>'PD Full Details'!B7+'PD Full Details'!B10</f>
        <v>2499999.821215</v>
      </c>
      <c r="C5" s="22">
        <f>'PD Full Details'!C7+'PD Full Details'!C10</f>
        <v>933000</v>
      </c>
      <c r="D5" s="22">
        <f>'PD Full Details'!D7+'PD Full Details'!D10</f>
        <v>2799999.9828650998</v>
      </c>
      <c r="E5" s="22">
        <f>'PD Full Details'!E7+'PD Full Details'!E10</f>
        <v>983000</v>
      </c>
      <c r="F5" s="22">
        <f>'PD Full Details'!F7+'PD Full Details'!F10</f>
        <v>2800000.0431820001</v>
      </c>
      <c r="G5" s="23">
        <f>'PD Full Details'!G7+'PD Full Details'!G10</f>
        <v>983000</v>
      </c>
    </row>
    <row r="6" spans="1:7" ht="25" customHeight="1">
      <c r="A6" s="195" t="s">
        <v>191</v>
      </c>
      <c r="B6" s="24">
        <f>'PD Full Details'!B15+'PD Full Details'!B19</f>
        <v>3150000</v>
      </c>
      <c r="C6" s="24">
        <f>'PD Full Details'!C15+'PD Full Details'!C19</f>
        <v>350000</v>
      </c>
      <c r="D6" s="24">
        <f>'PD Full Details'!D15+'PD Full Details'!D19</f>
        <v>3150000</v>
      </c>
      <c r="E6" s="24">
        <f>'PD Full Details'!E15+'PD Full Details'!E19</f>
        <v>350000</v>
      </c>
      <c r="F6" s="24">
        <f>'PD Full Details'!F15+'PD Full Details'!F19</f>
        <v>3150000</v>
      </c>
      <c r="G6" s="25">
        <f>'PD Full Details'!G15+'PD Full Details'!G19</f>
        <v>350000</v>
      </c>
    </row>
    <row r="7" spans="1:7" ht="25" customHeight="1">
      <c r="A7" s="195" t="s">
        <v>192</v>
      </c>
      <c r="B7" s="24">
        <f>'PD Full Details'!B23+'PD Full Details'!B27</f>
        <v>11500000</v>
      </c>
      <c r="C7" s="24">
        <f>'PD Full Details'!C23+'PD Full Details'!C27</f>
        <v>779000</v>
      </c>
      <c r="D7" s="24">
        <f>'PD Full Details'!D23+'PD Full Details'!D27</f>
        <v>35895000</v>
      </c>
      <c r="E7" s="24">
        <f>'PD Full Details'!E23+'PD Full Details'!E27</f>
        <v>2504000</v>
      </c>
      <c r="F7" s="24">
        <f>'PD Full Details'!F23+'PD Full Details'!F27</f>
        <v>33995000</v>
      </c>
      <c r="G7" s="25">
        <f>'PD Full Details'!G23+'PD Full Details'!G27</f>
        <v>2428000</v>
      </c>
    </row>
    <row r="8" spans="1:7" ht="25" customHeight="1">
      <c r="A8" s="195" t="s">
        <v>193</v>
      </c>
      <c r="B8" s="24">
        <f>'PD Full Details'!B31</f>
        <v>0</v>
      </c>
      <c r="C8" s="24">
        <f>'PD Full Details'!C31</f>
        <v>0</v>
      </c>
      <c r="D8" s="24">
        <f>'PD Full Details'!D31</f>
        <v>5000000</v>
      </c>
      <c r="E8" s="24">
        <f>'PD Full Details'!E31</f>
        <v>180000</v>
      </c>
      <c r="F8" s="24">
        <f>'PD Full Details'!F31</f>
        <v>5000000</v>
      </c>
      <c r="G8" s="25">
        <f>'PD Full Details'!G31</f>
        <v>180000</v>
      </c>
    </row>
    <row r="9" spans="1:7" ht="25" customHeight="1">
      <c r="A9" s="195" t="s">
        <v>194</v>
      </c>
      <c r="B9" s="24">
        <f>'PD Full Details'!B35+'PD Full Details'!B39+'PD Full Details'!B43</f>
        <v>5220000</v>
      </c>
      <c r="C9" s="24">
        <f>'PD Full Details'!C35+'PD Full Details'!C39+'PD Full Details'!C43</f>
        <v>70000</v>
      </c>
      <c r="D9" s="24">
        <f>'PD Full Details'!D35+'PD Full Details'!D39+'PD Full Details'!D43</f>
        <v>45100000</v>
      </c>
      <c r="E9" s="24">
        <f>'PD Full Details'!E35+'PD Full Details'!E39+'PD Full Details'!E43</f>
        <v>400000</v>
      </c>
      <c r="F9" s="24">
        <f>'PD Full Details'!F35+'PD Full Details'!F39+'PD Full Details'!F43</f>
        <v>54900000</v>
      </c>
      <c r="G9" s="25">
        <f>'PD Full Details'!G35+'PD Full Details'!G39+'PD Full Details'!G43</f>
        <v>600000</v>
      </c>
    </row>
    <row r="10" spans="1:7" ht="25" customHeight="1">
      <c r="A10" s="195" t="s">
        <v>195</v>
      </c>
      <c r="B10" s="24">
        <f>'PD Full Details'!B47</f>
        <v>0</v>
      </c>
      <c r="C10" s="24">
        <f>'PD Full Details'!C47</f>
        <v>5030881.2465663999</v>
      </c>
      <c r="D10" s="24">
        <f>'PD Full Details'!D47</f>
        <v>0</v>
      </c>
      <c r="E10" s="24">
        <f>'PD Full Details'!E47</f>
        <v>4678345.9676644001</v>
      </c>
      <c r="F10" s="24">
        <f>'PD Full Details'!F47</f>
        <v>0</v>
      </c>
      <c r="G10" s="25">
        <f>'PD Full Details'!G47</f>
        <v>4685488.9859324004</v>
      </c>
    </row>
    <row r="11" spans="1:7" ht="25" customHeight="1">
      <c r="A11" s="195" t="s">
        <v>196</v>
      </c>
      <c r="B11" s="24">
        <f>'PD Full Details'!B51</f>
        <v>0</v>
      </c>
      <c r="C11" s="24">
        <f>'PD Full Details'!C51</f>
        <v>2502932.3999998998</v>
      </c>
      <c r="D11" s="24">
        <f>'PD Full Details'!D51</f>
        <v>0</v>
      </c>
      <c r="E11" s="24">
        <f>'PD Full Details'!E51</f>
        <v>2872936.40</v>
      </c>
      <c r="F11" s="24">
        <f>'PD Full Details'!F51</f>
        <v>0</v>
      </c>
      <c r="G11" s="25">
        <f>'PD Full Details'!G51</f>
        <v>2872936.40</v>
      </c>
    </row>
    <row r="12" spans="1:7" ht="25" customHeight="1" thickBot="1">
      <c r="A12" s="196" t="s">
        <v>6</v>
      </c>
      <c r="B12" s="192">
        <f t="shared" si="0" ref="B12:G12">SUM(B7,B8,B9,B5,B6,B10,B11)</f>
        <v>22369999.821215</v>
      </c>
      <c r="C12" s="192">
        <f t="shared" si="0"/>
        <v>9665813.6465662997</v>
      </c>
      <c r="D12" s="192">
        <f t="shared" si="0"/>
        <v>91944999.982865095</v>
      </c>
      <c r="E12" s="192">
        <f t="shared" si="0"/>
        <v>11968282.367664401</v>
      </c>
      <c r="F12" s="192">
        <f t="shared" si="0"/>
        <v>99845000.043182001</v>
      </c>
      <c r="G12" s="193">
        <f t="shared" si="0"/>
        <v>12099425.385932401</v>
      </c>
    </row>
    <row r="13" spans="1:7" ht="25" customHeight="1">
      <c r="A13" s="21"/>
      <c r="B13" s="387" t="str">
        <f>"Total Program Cost = "&amp;"$"&amp;TEXT((ROUND((((SUM(B12:C12))/1000000)),0)),"#,##0")&amp;"M"</f>
        <v>Total Program Cost = $32M</v>
      </c>
      <c r="C13" s="388"/>
      <c r="D13" s="389" t="str">
        <f t="shared" si="1" ref="D13">"Total Program Cost = "&amp;"$"&amp;TEXT((ROUND((((SUM(D12:E12))/1000000)),0)),"#,##0")&amp;"M"</f>
        <v>Total Program Cost = $104M</v>
      </c>
      <c r="E13" s="388"/>
      <c r="F13" s="389" t="str">
        <f t="shared" si="2" ref="F13">"Total Program Cost = "&amp;"$"&amp;TEXT((ROUND((((SUM(F12:G12))/1000000)),0)),"#,##0")&amp;"M"</f>
        <v>Total Program Cost = $112M</v>
      </c>
      <c r="G13" s="390"/>
    </row>
    <row r="14" spans="1:7" ht="25" customHeight="1" thickBot="1">
      <c r="A14" s="21"/>
      <c r="B14" s="381" t="str">
        <f>"Avg Annual Cost = "&amp;"$"&amp;TEXT((ROUND((((SUM(B12:C12))/1000000/10)),0)),"#,##0")&amp;"M"</f>
        <v>Avg Annual Cost = $3M</v>
      </c>
      <c r="C14" s="382"/>
      <c r="D14" s="382" t="str">
        <f t="shared" si="3" ref="D14">"Avg Annual Cost = "&amp;"$"&amp;TEXT((ROUND((((SUM(D12:E12))/1000000/10)),0)),"#,##0")&amp;"M"</f>
        <v>Avg Annual Cost = $10M</v>
      </c>
      <c r="E14" s="382"/>
      <c r="F14" s="382" t="str">
        <f t="shared" si="4" ref="F14">"Avg Annual Cost = "&amp;"$"&amp;TEXT((ROUND((((SUM(F12:G12))/1000000/10)),0)),"#,##0")&amp;"M"</f>
        <v>Avg Annual Cost = $11M</v>
      </c>
      <c r="G14" s="383"/>
    </row>
  </sheetData>
  <mergeCells count="10">
    <mergeCell ref="A3:A4"/>
    <mergeCell ref="B14:C14"/>
    <mergeCell ref="D14:E14"/>
    <mergeCell ref="F14:G14"/>
    <mergeCell ref="B3:C3"/>
    <mergeCell ref="D3:E3"/>
    <mergeCell ref="F3:G3"/>
    <mergeCell ref="B13:C13"/>
    <mergeCell ref="D13:E13"/>
    <mergeCell ref="F13:G13"/>
  </mergeCells>
  <printOptions horizontalCentered="1"/>
  <pageMargins left="0.5" right="0.5" top="0.5" bottom="0.5" header="0" footer="0"/>
  <pageSetup orientation="landscape" scale="1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W83"/>
  <sheetViews>
    <sheetView view="pageBreakPreview" zoomScale="75" zoomScaleNormal="75" zoomScaleSheetLayoutView="75" workbookViewId="0" topLeftCell="A1">
      <pane ySplit="4" topLeftCell="A23" activePane="bottomLeft" state="frozen"/>
      <selection pane="topLeft" activeCell="A1" sqref="A1"/>
      <selection pane="bottomLeft" activeCell="L2" sqref="L2"/>
    </sheetView>
  </sheetViews>
  <sheetFormatPr defaultColWidth="9.1796875" defaultRowHeight="15"/>
  <cols>
    <col min="1" max="1" width="17.4285714285714" style="1" customWidth="1"/>
    <col min="2" max="2" width="14.2857142857143" style="18" bestFit="1" customWidth="1"/>
    <col min="3" max="3" width="13.4285714285714" style="18" bestFit="1" customWidth="1"/>
    <col min="4" max="4" width="14.5714285714286" style="18" customWidth="1"/>
    <col min="5" max="5" width="13.8571428571429" style="18" bestFit="1" customWidth="1"/>
    <col min="6" max="6" width="15" style="18" bestFit="1" customWidth="1"/>
    <col min="7" max="7" width="13.8571428571429" style="18" bestFit="1" customWidth="1"/>
    <col min="8" max="8" width="15" style="18" bestFit="1" customWidth="1"/>
    <col min="9" max="9" width="13.4285714285714" style="18" bestFit="1" customWidth="1"/>
    <col min="10" max="10" width="15" style="18" bestFit="1" customWidth="1"/>
    <col min="11" max="11" width="13.4285714285714" style="18" bestFit="1" customWidth="1"/>
    <col min="12" max="12" width="15" style="18" bestFit="1" customWidth="1"/>
    <col min="13" max="13" width="13.8571428571429" style="18" bestFit="1" customWidth="1"/>
    <col min="14" max="14" width="15" style="18" bestFit="1" customWidth="1"/>
    <col min="15" max="15" width="13.8571428571429" style="18" bestFit="1" customWidth="1"/>
    <col min="16" max="16" width="15" style="18" bestFit="1" customWidth="1"/>
    <col min="17" max="17" width="13.8571428571429" style="18" bestFit="1" customWidth="1"/>
    <col min="18" max="18" width="15" style="18" bestFit="1" customWidth="1"/>
    <col min="19" max="19" width="13.8571428571429" style="18" bestFit="1" customWidth="1"/>
    <col min="20" max="20" width="15" style="18" bestFit="1" customWidth="1"/>
    <col min="21" max="21" width="13.8571428571429" style="18" bestFit="1" customWidth="1"/>
    <col min="22" max="23" width="17.7142857142857" style="18" customWidth="1"/>
    <col min="24" max="16384" width="9.14285714285714" style="1"/>
  </cols>
  <sheetData>
    <row r="1" spans="1:10" ht="26">
      <c r="A1" s="20" t="s">
        <v>4</v>
      </c>
      <c r="J1" s="356" t="s">
        <v>280</v>
      </c>
    </row>
    <row r="2" ht="25" customHeight="1" thickBot="1">
      <c r="A2" s="76"/>
    </row>
    <row r="3" spans="1:23" s="3" customFormat="1" ht="15" customHeight="1">
      <c r="A3" s="77" t="s">
        <v>43</v>
      </c>
      <c r="B3" s="384" t="s">
        <v>33</v>
      </c>
      <c r="C3" s="385"/>
      <c r="D3" s="384" t="s">
        <v>34</v>
      </c>
      <c r="E3" s="386"/>
      <c r="F3" s="384" t="s">
        <v>35</v>
      </c>
      <c r="G3" s="385"/>
      <c r="H3" s="384" t="s">
        <v>36</v>
      </c>
      <c r="I3" s="385"/>
      <c r="J3" s="384" t="s">
        <v>37</v>
      </c>
      <c r="K3" s="385"/>
      <c r="L3" s="384" t="s">
        <v>38</v>
      </c>
      <c r="M3" s="385"/>
      <c r="N3" s="384" t="s">
        <v>39</v>
      </c>
      <c r="O3" s="385"/>
      <c r="P3" s="384" t="s">
        <v>40</v>
      </c>
      <c r="Q3" s="385"/>
      <c r="R3" s="384" t="s">
        <v>41</v>
      </c>
      <c r="S3" s="385"/>
      <c r="T3" s="384" t="s">
        <v>42</v>
      </c>
      <c r="U3" s="385"/>
      <c r="V3" s="384" t="s">
        <v>5</v>
      </c>
      <c r="W3" s="385"/>
    </row>
    <row r="4" spans="1:23" s="3" customFormat="1" ht="21.5" thickBot="1">
      <c r="A4" s="78" t="s">
        <v>44</v>
      </c>
      <c r="B4" s="67" t="s">
        <v>1</v>
      </c>
      <c r="C4" s="68" t="s">
        <v>2</v>
      </c>
      <c r="D4" s="67" t="s">
        <v>1</v>
      </c>
      <c r="E4" s="69" t="s">
        <v>2</v>
      </c>
      <c r="F4" s="67" t="s">
        <v>1</v>
      </c>
      <c r="G4" s="68" t="s">
        <v>2</v>
      </c>
      <c r="H4" s="67" t="s">
        <v>1</v>
      </c>
      <c r="I4" s="68" t="s">
        <v>2</v>
      </c>
      <c r="J4" s="67" t="s">
        <v>1</v>
      </c>
      <c r="K4" s="68" t="s">
        <v>2</v>
      </c>
      <c r="L4" s="67" t="s">
        <v>1</v>
      </c>
      <c r="M4" s="68" t="s">
        <v>2</v>
      </c>
      <c r="N4" s="67" t="s">
        <v>1</v>
      </c>
      <c r="O4" s="68" t="s">
        <v>2</v>
      </c>
      <c r="P4" s="67" t="s">
        <v>1</v>
      </c>
      <c r="Q4" s="68" t="s">
        <v>2</v>
      </c>
      <c r="R4" s="67" t="s">
        <v>1</v>
      </c>
      <c r="S4" s="68" t="s">
        <v>2</v>
      </c>
      <c r="T4" s="67" t="s">
        <v>1</v>
      </c>
      <c r="U4" s="68" t="s">
        <v>2</v>
      </c>
      <c r="V4" s="67" t="s">
        <v>1</v>
      </c>
      <c r="W4" s="68" t="s">
        <v>2</v>
      </c>
    </row>
    <row r="5" spans="1:23" s="5" customFormat="1" ht="25" customHeight="1" thickBot="1">
      <c r="A5" s="70" t="s">
        <v>197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ht="25" customHeight="1">
      <c r="A6" s="21" t="s">
        <v>28</v>
      </c>
      <c r="B6" s="28">
        <v>300000</v>
      </c>
      <c r="C6" s="22"/>
      <c r="D6" s="22">
        <v>300000</v>
      </c>
      <c r="E6" s="22"/>
      <c r="F6" s="22">
        <v>300000</v>
      </c>
      <c r="G6" s="22"/>
      <c r="H6" s="22">
        <v>300000</v>
      </c>
      <c r="I6" s="22"/>
      <c r="J6" s="22">
        <v>300000</v>
      </c>
      <c r="K6" s="22"/>
      <c r="L6" s="22">
        <v>300000</v>
      </c>
      <c r="M6" s="22"/>
      <c r="N6" s="22">
        <v>300000</v>
      </c>
      <c r="O6" s="22"/>
      <c r="P6" s="22">
        <v>300000</v>
      </c>
      <c r="Q6" s="22"/>
      <c r="R6" s="22">
        <v>300000</v>
      </c>
      <c r="S6" s="22"/>
      <c r="T6" s="22">
        <v>300000</v>
      </c>
      <c r="U6" s="22"/>
      <c r="V6" s="22">
        <v>3000000</v>
      </c>
      <c r="W6" s="23">
        <v>0</v>
      </c>
    </row>
    <row r="7" spans="1:23" ht="25" customHeight="1">
      <c r="A7" s="21" t="s">
        <v>29</v>
      </c>
      <c r="B7" s="29">
        <v>300000</v>
      </c>
      <c r="C7" s="24">
        <v>163000</v>
      </c>
      <c r="D7" s="24">
        <v>300000</v>
      </c>
      <c r="E7" s="24">
        <v>163000</v>
      </c>
      <c r="F7" s="24">
        <v>300000</v>
      </c>
      <c r="G7" s="24">
        <v>163000</v>
      </c>
      <c r="H7" s="24">
        <v>300000</v>
      </c>
      <c r="I7" s="24">
        <v>163000</v>
      </c>
      <c r="J7" s="24">
        <v>300000</v>
      </c>
      <c r="K7" s="24">
        <v>163000</v>
      </c>
      <c r="L7" s="24">
        <v>300000</v>
      </c>
      <c r="M7" s="24">
        <v>163000</v>
      </c>
      <c r="N7" s="24">
        <v>300000</v>
      </c>
      <c r="O7" s="24">
        <v>163000</v>
      </c>
      <c r="P7" s="24">
        <v>300000</v>
      </c>
      <c r="Q7" s="24">
        <v>163000</v>
      </c>
      <c r="R7" s="24">
        <v>300000</v>
      </c>
      <c r="S7" s="24">
        <v>163000</v>
      </c>
      <c r="T7" s="24">
        <v>300000</v>
      </c>
      <c r="U7" s="24">
        <v>163000</v>
      </c>
      <c r="V7" s="24">
        <v>3000000</v>
      </c>
      <c r="W7" s="25">
        <v>1630000</v>
      </c>
    </row>
    <row r="8" spans="1:23" ht="25" customHeight="1" thickBot="1">
      <c r="A8" s="21" t="s">
        <v>30</v>
      </c>
      <c r="B8" s="30">
        <v>300000</v>
      </c>
      <c r="C8" s="26">
        <v>163000</v>
      </c>
      <c r="D8" s="26">
        <v>300000</v>
      </c>
      <c r="E8" s="26">
        <v>163000</v>
      </c>
      <c r="F8" s="26">
        <v>300000</v>
      </c>
      <c r="G8" s="26">
        <v>163000</v>
      </c>
      <c r="H8" s="26">
        <v>300000</v>
      </c>
      <c r="I8" s="26">
        <v>163000</v>
      </c>
      <c r="J8" s="26">
        <v>300000</v>
      </c>
      <c r="K8" s="26">
        <v>163000</v>
      </c>
      <c r="L8" s="26">
        <v>300000</v>
      </c>
      <c r="M8" s="26">
        <v>163000</v>
      </c>
      <c r="N8" s="26">
        <v>300000</v>
      </c>
      <c r="O8" s="26">
        <v>163000</v>
      </c>
      <c r="P8" s="26">
        <v>300000</v>
      </c>
      <c r="Q8" s="26">
        <v>163000</v>
      </c>
      <c r="R8" s="26">
        <v>300000</v>
      </c>
      <c r="S8" s="26">
        <v>163000</v>
      </c>
      <c r="T8" s="26">
        <v>300000</v>
      </c>
      <c r="U8" s="26">
        <v>163000</v>
      </c>
      <c r="V8" s="26">
        <v>3000000</v>
      </c>
      <c r="W8" s="27">
        <v>1630000</v>
      </c>
    </row>
    <row r="9" spans="1:23" s="5" customFormat="1" ht="25" customHeight="1" thickBot="1">
      <c r="A9" s="70" t="s">
        <v>209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25" customHeight="1">
      <c r="A10" s="21" t="s">
        <v>28</v>
      </c>
      <c r="B10" s="28">
        <v>2199999.821215</v>
      </c>
      <c r="C10" s="22">
        <v>770000</v>
      </c>
      <c r="D10" s="22">
        <v>2499999.9828650998</v>
      </c>
      <c r="E10" s="22">
        <v>820000</v>
      </c>
      <c r="F10" s="22">
        <v>2500000.0431820001</v>
      </c>
      <c r="G10" s="22">
        <v>820000</v>
      </c>
      <c r="H10" s="22">
        <v>2500000.0011633001</v>
      </c>
      <c r="I10" s="22">
        <v>820000</v>
      </c>
      <c r="J10" s="22">
        <v>2499999.9737453</v>
      </c>
      <c r="K10" s="22">
        <v>820000</v>
      </c>
      <c r="L10" s="22">
        <v>2500000.0036084</v>
      </c>
      <c r="M10" s="22">
        <v>820000</v>
      </c>
      <c r="N10" s="22">
        <v>2500000</v>
      </c>
      <c r="O10" s="22">
        <v>820000</v>
      </c>
      <c r="P10" s="22">
        <v>2500000</v>
      </c>
      <c r="Q10" s="22">
        <v>820000</v>
      </c>
      <c r="R10" s="22">
        <v>2500000</v>
      </c>
      <c r="S10" s="22">
        <v>820000</v>
      </c>
      <c r="T10" s="22">
        <v>2500000</v>
      </c>
      <c r="U10" s="22">
        <v>820000</v>
      </c>
      <c r="V10" s="22">
        <v>24699999.825779099</v>
      </c>
      <c r="W10" s="23">
        <v>8150000</v>
      </c>
    </row>
    <row r="11" spans="1:23" ht="25" customHeight="1">
      <c r="A11" s="21" t="s">
        <v>29</v>
      </c>
      <c r="B11" s="29">
        <v>2199999.821215</v>
      </c>
      <c r="C11" s="24">
        <v>770000</v>
      </c>
      <c r="D11" s="24">
        <v>2499999.9828650998</v>
      </c>
      <c r="E11" s="24">
        <v>820000</v>
      </c>
      <c r="F11" s="24">
        <v>2500000.0431820001</v>
      </c>
      <c r="G11" s="24">
        <v>820000</v>
      </c>
      <c r="H11" s="24">
        <v>2500000.0011633001</v>
      </c>
      <c r="I11" s="24">
        <v>820000</v>
      </c>
      <c r="J11" s="24">
        <v>2499999.9737453</v>
      </c>
      <c r="K11" s="24">
        <v>820000</v>
      </c>
      <c r="L11" s="24">
        <v>2500000.0036084</v>
      </c>
      <c r="M11" s="24">
        <v>820000</v>
      </c>
      <c r="N11" s="24">
        <v>2500000</v>
      </c>
      <c r="O11" s="24">
        <v>820000</v>
      </c>
      <c r="P11" s="24">
        <v>2500000</v>
      </c>
      <c r="Q11" s="24">
        <v>820000</v>
      </c>
      <c r="R11" s="24">
        <v>2500000</v>
      </c>
      <c r="S11" s="24">
        <v>820000</v>
      </c>
      <c r="T11" s="24">
        <v>2500000</v>
      </c>
      <c r="U11" s="24">
        <v>820000</v>
      </c>
      <c r="V11" s="24">
        <v>24699999.825779099</v>
      </c>
      <c r="W11" s="25">
        <v>8150000</v>
      </c>
    </row>
    <row r="12" spans="1:23" ht="25" customHeight="1" thickBot="1">
      <c r="A12" s="21" t="s">
        <v>30</v>
      </c>
      <c r="B12" s="30">
        <v>2199999.821215</v>
      </c>
      <c r="C12" s="26">
        <v>770000</v>
      </c>
      <c r="D12" s="26">
        <v>2499999.9828650998</v>
      </c>
      <c r="E12" s="26">
        <v>820000</v>
      </c>
      <c r="F12" s="26">
        <v>2500000.0431820001</v>
      </c>
      <c r="G12" s="26">
        <v>820000</v>
      </c>
      <c r="H12" s="26">
        <v>2500000.0011633001</v>
      </c>
      <c r="I12" s="26">
        <v>820000</v>
      </c>
      <c r="J12" s="26">
        <v>2499999.9737453</v>
      </c>
      <c r="K12" s="26">
        <v>820000</v>
      </c>
      <c r="L12" s="26">
        <v>2500000.0036084</v>
      </c>
      <c r="M12" s="26">
        <v>820000</v>
      </c>
      <c r="N12" s="26">
        <v>2500000</v>
      </c>
      <c r="O12" s="26">
        <v>820000</v>
      </c>
      <c r="P12" s="26">
        <v>2500000</v>
      </c>
      <c r="Q12" s="26">
        <v>820000</v>
      </c>
      <c r="R12" s="26">
        <v>2500000</v>
      </c>
      <c r="S12" s="26">
        <v>820000</v>
      </c>
      <c r="T12" s="26">
        <v>2500000</v>
      </c>
      <c r="U12" s="26">
        <v>820000</v>
      </c>
      <c r="V12" s="26">
        <v>24699999.825779099</v>
      </c>
      <c r="W12" s="27">
        <v>8150000</v>
      </c>
    </row>
    <row r="13" spans="1:23" s="5" customFormat="1" ht="25" customHeight="1" thickBot="1">
      <c r="A13" s="70" t="s">
        <v>191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ht="25" customHeight="1">
      <c r="A14" s="21" t="s">
        <v>28</v>
      </c>
      <c r="B14" s="28">
        <v>1100000</v>
      </c>
      <c r="C14" s="22">
        <v>250000</v>
      </c>
      <c r="D14" s="22">
        <v>3000000</v>
      </c>
      <c r="E14" s="22">
        <v>250000</v>
      </c>
      <c r="F14" s="22">
        <v>3000000</v>
      </c>
      <c r="G14" s="22">
        <v>250000</v>
      </c>
      <c r="H14" s="22">
        <v>3000000</v>
      </c>
      <c r="I14" s="22">
        <v>250000</v>
      </c>
      <c r="J14" s="22">
        <v>3000000</v>
      </c>
      <c r="K14" s="22">
        <v>250000</v>
      </c>
      <c r="L14" s="22">
        <v>3000000</v>
      </c>
      <c r="M14" s="22">
        <v>250000</v>
      </c>
      <c r="N14" s="22">
        <v>3000000</v>
      </c>
      <c r="O14" s="22">
        <v>250000</v>
      </c>
      <c r="P14" s="22">
        <v>3000000</v>
      </c>
      <c r="Q14" s="22">
        <v>250000</v>
      </c>
      <c r="R14" s="22">
        <v>3000000</v>
      </c>
      <c r="S14" s="22">
        <v>250000</v>
      </c>
      <c r="T14" s="22">
        <v>3000000</v>
      </c>
      <c r="U14" s="22">
        <v>250000</v>
      </c>
      <c r="V14" s="22">
        <v>28100000</v>
      </c>
      <c r="W14" s="23">
        <v>2500000</v>
      </c>
    </row>
    <row r="15" spans="1:23" ht="25" customHeight="1">
      <c r="A15" s="21" t="s">
        <v>29</v>
      </c>
      <c r="B15" s="29">
        <v>3000000</v>
      </c>
      <c r="C15" s="24">
        <v>250000</v>
      </c>
      <c r="D15" s="24">
        <v>3000000</v>
      </c>
      <c r="E15" s="24">
        <v>250000</v>
      </c>
      <c r="F15" s="24">
        <v>3000000</v>
      </c>
      <c r="G15" s="24">
        <v>250000</v>
      </c>
      <c r="H15" s="24">
        <v>3000000</v>
      </c>
      <c r="I15" s="24">
        <v>250000</v>
      </c>
      <c r="J15" s="24">
        <v>3000000</v>
      </c>
      <c r="K15" s="24">
        <v>250000</v>
      </c>
      <c r="L15" s="24">
        <v>3000000</v>
      </c>
      <c r="M15" s="24">
        <v>250000</v>
      </c>
      <c r="N15" s="24">
        <v>3000000</v>
      </c>
      <c r="O15" s="24">
        <v>250000</v>
      </c>
      <c r="P15" s="24">
        <v>3000000</v>
      </c>
      <c r="Q15" s="24">
        <v>250000</v>
      </c>
      <c r="R15" s="24">
        <v>3000000</v>
      </c>
      <c r="S15" s="24">
        <v>250000</v>
      </c>
      <c r="T15" s="24">
        <v>3000000</v>
      </c>
      <c r="U15" s="24">
        <v>250000</v>
      </c>
      <c r="V15" s="24">
        <v>30000000</v>
      </c>
      <c r="W15" s="25">
        <v>2500000</v>
      </c>
    </row>
    <row r="16" spans="1:23" ht="25" customHeight="1" thickBot="1">
      <c r="A16" s="21" t="s">
        <v>30</v>
      </c>
      <c r="B16" s="30">
        <v>3000000</v>
      </c>
      <c r="C16" s="26">
        <v>250000</v>
      </c>
      <c r="D16" s="26">
        <v>3000000</v>
      </c>
      <c r="E16" s="26">
        <v>250000</v>
      </c>
      <c r="F16" s="26">
        <v>3000000</v>
      </c>
      <c r="G16" s="26">
        <v>250000</v>
      </c>
      <c r="H16" s="26">
        <v>3000000</v>
      </c>
      <c r="I16" s="26">
        <v>250000</v>
      </c>
      <c r="J16" s="26">
        <v>3000000</v>
      </c>
      <c r="K16" s="26">
        <v>250000</v>
      </c>
      <c r="L16" s="26">
        <v>3000000</v>
      </c>
      <c r="M16" s="26">
        <v>250000</v>
      </c>
      <c r="N16" s="26">
        <v>3000000</v>
      </c>
      <c r="O16" s="26">
        <v>250000</v>
      </c>
      <c r="P16" s="26">
        <v>3000000</v>
      </c>
      <c r="Q16" s="26">
        <v>250000</v>
      </c>
      <c r="R16" s="26">
        <v>3000000</v>
      </c>
      <c r="S16" s="26">
        <v>250000</v>
      </c>
      <c r="T16" s="26">
        <v>3000000</v>
      </c>
      <c r="U16" s="26">
        <v>250000</v>
      </c>
      <c r="V16" s="26">
        <v>30000000</v>
      </c>
      <c r="W16" s="27">
        <v>2500000</v>
      </c>
    </row>
    <row r="17" spans="1:23" s="5" customFormat="1" ht="25" customHeight="1" thickBot="1">
      <c r="A17" s="70" t="s">
        <v>198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23" ht="25" customHeight="1">
      <c r="A18" s="21" t="s">
        <v>28</v>
      </c>
      <c r="B18" s="28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3">
        <v>0</v>
      </c>
    </row>
    <row r="19" spans="1:23" ht="25" customHeight="1">
      <c r="A19" s="21" t="s">
        <v>29</v>
      </c>
      <c r="B19" s="29">
        <v>150000</v>
      </c>
      <c r="C19" s="24">
        <v>100000</v>
      </c>
      <c r="D19" s="24">
        <v>150000</v>
      </c>
      <c r="E19" s="24">
        <v>100000</v>
      </c>
      <c r="F19" s="24">
        <v>150000</v>
      </c>
      <c r="G19" s="24">
        <v>100000</v>
      </c>
      <c r="H19" s="24">
        <v>150000</v>
      </c>
      <c r="I19" s="24">
        <v>100000</v>
      </c>
      <c r="J19" s="24">
        <v>150000</v>
      </c>
      <c r="K19" s="24">
        <v>100000</v>
      </c>
      <c r="L19" s="24">
        <v>150000</v>
      </c>
      <c r="M19" s="24">
        <v>100000</v>
      </c>
      <c r="N19" s="24">
        <v>150000</v>
      </c>
      <c r="O19" s="24">
        <v>100000</v>
      </c>
      <c r="P19" s="24">
        <v>150000</v>
      </c>
      <c r="Q19" s="24">
        <v>100000</v>
      </c>
      <c r="R19" s="24">
        <v>150000</v>
      </c>
      <c r="S19" s="24">
        <v>100000</v>
      </c>
      <c r="T19" s="24">
        <v>150000</v>
      </c>
      <c r="U19" s="24">
        <v>100000</v>
      </c>
      <c r="V19" s="24">
        <v>1500000</v>
      </c>
      <c r="W19" s="25">
        <v>1000000</v>
      </c>
    </row>
    <row r="20" spans="1:23" ht="25" customHeight="1" thickBot="1">
      <c r="A20" s="21" t="s">
        <v>30</v>
      </c>
      <c r="B20" s="30">
        <v>150000</v>
      </c>
      <c r="C20" s="26">
        <v>100000</v>
      </c>
      <c r="D20" s="26">
        <v>150000</v>
      </c>
      <c r="E20" s="26">
        <v>100000</v>
      </c>
      <c r="F20" s="26">
        <v>150000</v>
      </c>
      <c r="G20" s="26">
        <v>100000</v>
      </c>
      <c r="H20" s="26">
        <v>150000</v>
      </c>
      <c r="I20" s="26">
        <v>100000</v>
      </c>
      <c r="J20" s="26">
        <v>150000</v>
      </c>
      <c r="K20" s="26">
        <v>100000</v>
      </c>
      <c r="L20" s="26">
        <v>150000</v>
      </c>
      <c r="M20" s="26">
        <v>100000</v>
      </c>
      <c r="N20" s="26">
        <v>150000</v>
      </c>
      <c r="O20" s="26">
        <v>100000</v>
      </c>
      <c r="P20" s="26">
        <v>150000</v>
      </c>
      <c r="Q20" s="26">
        <v>100000</v>
      </c>
      <c r="R20" s="26">
        <v>150000</v>
      </c>
      <c r="S20" s="26">
        <v>100000</v>
      </c>
      <c r="T20" s="26">
        <v>150000</v>
      </c>
      <c r="U20" s="26">
        <v>100000</v>
      </c>
      <c r="V20" s="26">
        <v>1500000</v>
      </c>
      <c r="W20" s="27">
        <v>1000000</v>
      </c>
    </row>
    <row r="21" spans="1:23" s="5" customFormat="1" ht="25" customHeight="1" thickBot="1">
      <c r="A21" s="70" t="s">
        <v>192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1:23" ht="25" customHeight="1">
      <c r="A22" s="21" t="s">
        <v>28</v>
      </c>
      <c r="B22" s="313">
        <f>B23</f>
        <v>6500000</v>
      </c>
      <c r="C22" s="314">
        <f>C23</f>
        <v>580000</v>
      </c>
      <c r="D22" s="314">
        <f>20000000+6400000</f>
        <v>26400000</v>
      </c>
      <c r="E22" s="22">
        <v>2127000</v>
      </c>
      <c r="F22" s="314">
        <f>20000000+6400000</f>
        <v>26400000</v>
      </c>
      <c r="G22" s="22">
        <v>2127000</v>
      </c>
      <c r="H22" s="314">
        <f>20000000+6400000</f>
        <v>26400000</v>
      </c>
      <c r="I22" s="22">
        <v>2127000</v>
      </c>
      <c r="J22" s="314">
        <f>20000000+6400000</f>
        <v>26400000</v>
      </c>
      <c r="K22" s="22">
        <v>2127000</v>
      </c>
      <c r="L22" s="314">
        <f>20000000+6400000</f>
        <v>26400000</v>
      </c>
      <c r="M22" s="22">
        <v>2127000</v>
      </c>
      <c r="N22" s="314">
        <f>20000000+6400000</f>
        <v>26400000</v>
      </c>
      <c r="O22" s="22">
        <v>2127000</v>
      </c>
      <c r="P22" s="314">
        <f>20000000+6400000</f>
        <v>26400000</v>
      </c>
      <c r="Q22" s="22">
        <v>2127000</v>
      </c>
      <c r="R22" s="314">
        <f>20000000+6400000</f>
        <v>26400000</v>
      </c>
      <c r="S22" s="22">
        <v>2127000</v>
      </c>
      <c r="T22" s="314">
        <f>20000000+6400000</f>
        <v>26400000</v>
      </c>
      <c r="U22" s="22">
        <v>2127000</v>
      </c>
      <c r="V22" s="314">
        <f t="shared" si="0" ref="V22:W24">SUM(B22,D22,F22,H22,J22,L22,N22,P22,R22,T22)</f>
        <v>244100000</v>
      </c>
      <c r="W22" s="317">
        <f t="shared" si="0"/>
        <v>19723000</v>
      </c>
    </row>
    <row r="23" spans="1:23" ht="25" customHeight="1">
      <c r="A23" s="21" t="s">
        <v>29</v>
      </c>
      <c r="B23" s="311">
        <f>'DBU Feeder Hardening'!F17</f>
        <v>6500000</v>
      </c>
      <c r="C23" s="312">
        <f>'DBU Feeder Hardening'!G17</f>
        <v>580000</v>
      </c>
      <c r="D23" s="312">
        <f>20000000+6400000</f>
        <v>26400000</v>
      </c>
      <c r="E23" s="24">
        <v>2127000</v>
      </c>
      <c r="F23" s="312">
        <f>20000000+6400000</f>
        <v>26400000</v>
      </c>
      <c r="G23" s="24">
        <v>2127000</v>
      </c>
      <c r="H23" s="312">
        <f>20000000+6400000</f>
        <v>26400000</v>
      </c>
      <c r="I23" s="24">
        <v>2127000</v>
      </c>
      <c r="J23" s="312">
        <f>20000000+6400000</f>
        <v>26400000</v>
      </c>
      <c r="K23" s="24">
        <v>2127000</v>
      </c>
      <c r="L23" s="312">
        <f>20000000+6400000</f>
        <v>26400000</v>
      </c>
      <c r="M23" s="24">
        <v>2127000</v>
      </c>
      <c r="N23" s="312">
        <f>20000000+6400000</f>
        <v>26400000</v>
      </c>
      <c r="O23" s="24">
        <v>2127000</v>
      </c>
      <c r="P23" s="312">
        <f>20000000+6400000</f>
        <v>26400000</v>
      </c>
      <c r="Q23" s="24">
        <v>2127000</v>
      </c>
      <c r="R23" s="312">
        <f>20000000+6400000</f>
        <v>26400000</v>
      </c>
      <c r="S23" s="24">
        <v>2127000</v>
      </c>
      <c r="T23" s="312">
        <f>20000000+6400000</f>
        <v>26400000</v>
      </c>
      <c r="U23" s="24">
        <v>2127000</v>
      </c>
      <c r="V23" s="312">
        <f t="shared" si="0"/>
        <v>244100000</v>
      </c>
      <c r="W23" s="318">
        <f t="shared" si="0"/>
        <v>19723000</v>
      </c>
    </row>
    <row r="24" spans="1:23" ht="25" customHeight="1" thickBot="1">
      <c r="A24" s="21" t="s">
        <v>30</v>
      </c>
      <c r="B24" s="315">
        <f>7000000+2000000</f>
        <v>9000000</v>
      </c>
      <c r="C24" s="26">
        <v>744000</v>
      </c>
      <c r="D24" s="316">
        <f>D23</f>
        <v>26400000</v>
      </c>
      <c r="E24" s="26">
        <v>2127000</v>
      </c>
      <c r="F24" s="316">
        <f>35000000+6400000</f>
        <v>41400000</v>
      </c>
      <c r="G24" s="26">
        <v>3722000</v>
      </c>
      <c r="H24" s="316">
        <f>35000000+6400000</f>
        <v>41400000</v>
      </c>
      <c r="I24" s="26">
        <v>3722000</v>
      </c>
      <c r="J24" s="316">
        <f>35000000+6400000</f>
        <v>41400000</v>
      </c>
      <c r="K24" s="26">
        <v>3722000</v>
      </c>
      <c r="L24" s="316">
        <f>60000000+6400000</f>
        <v>66400000</v>
      </c>
      <c r="M24" s="26">
        <v>6381000</v>
      </c>
      <c r="N24" s="316">
        <f>60000000+6400000</f>
        <v>66400000</v>
      </c>
      <c r="O24" s="26">
        <v>6381000</v>
      </c>
      <c r="P24" s="316">
        <f>60000000+6400000</f>
        <v>66400000</v>
      </c>
      <c r="Q24" s="26">
        <v>6381000</v>
      </c>
      <c r="R24" s="316">
        <f>60000000+6400000</f>
        <v>66400000</v>
      </c>
      <c r="S24" s="26">
        <v>6381000</v>
      </c>
      <c r="T24" s="316">
        <f>60000000+6400000</f>
        <v>66400000</v>
      </c>
      <c r="U24" s="26">
        <v>7610000</v>
      </c>
      <c r="V24" s="316">
        <f t="shared" si="0"/>
        <v>491600000</v>
      </c>
      <c r="W24" s="319">
        <f t="shared" si="0"/>
        <v>47171000</v>
      </c>
    </row>
    <row r="25" spans="1:23" s="5" customFormat="1" ht="25" customHeight="1" thickBot="1">
      <c r="A25" s="70" t="s">
        <v>199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1:23" ht="25" customHeight="1">
      <c r="A26" s="21" t="s">
        <v>28</v>
      </c>
      <c r="B26" s="313">
        <f>B27</f>
        <v>5000000</v>
      </c>
      <c r="C26" s="314">
        <f>C27</f>
        <v>199000</v>
      </c>
      <c r="D26" s="22">
        <f>D27</f>
        <v>9495000</v>
      </c>
      <c r="E26" s="22">
        <v>377000</v>
      </c>
      <c r="F26" s="22">
        <v>7595000</v>
      </c>
      <c r="G26" s="22">
        <v>301000</v>
      </c>
      <c r="H26" s="22">
        <v>3895000</v>
      </c>
      <c r="I26" s="22">
        <v>155000</v>
      </c>
      <c r="J26" s="22">
        <v>3895000</v>
      </c>
      <c r="K26" s="22">
        <v>155000</v>
      </c>
      <c r="L26" s="22">
        <v>3895000</v>
      </c>
      <c r="M26" s="22">
        <v>155000</v>
      </c>
      <c r="N26" s="22">
        <v>3895000</v>
      </c>
      <c r="O26" s="22">
        <v>155000</v>
      </c>
      <c r="P26" s="22">
        <v>3895000</v>
      </c>
      <c r="Q26" s="22">
        <v>155000</v>
      </c>
      <c r="R26" s="22">
        <v>3895000</v>
      </c>
      <c r="S26" s="22">
        <v>155000</v>
      </c>
      <c r="T26" s="22">
        <v>3895000</v>
      </c>
      <c r="U26" s="22">
        <v>155000</v>
      </c>
      <c r="V26" s="314">
        <f t="shared" si="1" ref="V26:W28">SUM(B26,D26,F26,H26,J26,L26,N26,P26,R26,T26)</f>
        <v>49355000</v>
      </c>
      <c r="W26" s="317">
        <f t="shared" si="1"/>
        <v>1962000</v>
      </c>
    </row>
    <row r="27" spans="1:23" s="198" customFormat="1" ht="25" customHeight="1">
      <c r="A27" s="197" t="s">
        <v>29</v>
      </c>
      <c r="B27" s="311">
        <f>('DBU Feeder Hardening'!F26+('DBU Feeder Hardening'!F27))</f>
        <v>5000000</v>
      </c>
      <c r="C27" s="312">
        <f>(ROUND((((SUM(B27))*0.0397)/1000),0))*1000</f>
        <v>199000</v>
      </c>
      <c r="D27" s="24">
        <v>9495000</v>
      </c>
      <c r="E27" s="24">
        <v>377000</v>
      </c>
      <c r="F27" s="24">
        <v>7595000</v>
      </c>
      <c r="G27" s="24">
        <v>301000</v>
      </c>
      <c r="H27" s="24">
        <v>3895000</v>
      </c>
      <c r="I27" s="24">
        <v>155000</v>
      </c>
      <c r="J27" s="24">
        <v>3895000</v>
      </c>
      <c r="K27" s="24">
        <v>155000</v>
      </c>
      <c r="L27" s="24">
        <v>3895000</v>
      </c>
      <c r="M27" s="24">
        <v>155000</v>
      </c>
      <c r="N27" s="24">
        <v>3895000</v>
      </c>
      <c r="O27" s="24">
        <v>155000</v>
      </c>
      <c r="P27" s="24">
        <v>3895000</v>
      </c>
      <c r="Q27" s="24">
        <v>155000</v>
      </c>
      <c r="R27" s="24">
        <v>3895000</v>
      </c>
      <c r="S27" s="24">
        <v>155000</v>
      </c>
      <c r="T27" s="24">
        <v>3895000</v>
      </c>
      <c r="U27" s="24">
        <v>155000</v>
      </c>
      <c r="V27" s="312">
        <f t="shared" si="1"/>
        <v>49355000</v>
      </c>
      <c r="W27" s="318">
        <f t="shared" si="1"/>
        <v>1962000</v>
      </c>
    </row>
    <row r="28" spans="1:23" ht="25" customHeight="1" thickBot="1">
      <c r="A28" s="21" t="s">
        <v>30</v>
      </c>
      <c r="B28" s="30">
        <v>7645000</v>
      </c>
      <c r="C28" s="26">
        <v>303000</v>
      </c>
      <c r="D28" s="26">
        <f>D27</f>
        <v>9495000</v>
      </c>
      <c r="E28" s="26">
        <v>377000</v>
      </c>
      <c r="F28" s="26">
        <v>7595000</v>
      </c>
      <c r="G28" s="26">
        <v>301000</v>
      </c>
      <c r="H28" s="26">
        <v>3895000</v>
      </c>
      <c r="I28" s="26">
        <v>155000</v>
      </c>
      <c r="J28" s="26">
        <v>3895000</v>
      </c>
      <c r="K28" s="26">
        <v>155000</v>
      </c>
      <c r="L28" s="26">
        <v>3895000</v>
      </c>
      <c r="M28" s="26">
        <v>155000</v>
      </c>
      <c r="N28" s="26">
        <v>3895000</v>
      </c>
      <c r="O28" s="26">
        <v>155000</v>
      </c>
      <c r="P28" s="26">
        <v>3895000</v>
      </c>
      <c r="Q28" s="26">
        <v>155000</v>
      </c>
      <c r="R28" s="26">
        <v>3895000</v>
      </c>
      <c r="S28" s="26">
        <v>155000</v>
      </c>
      <c r="T28" s="26">
        <v>3895000</v>
      </c>
      <c r="U28" s="26">
        <v>155000</v>
      </c>
      <c r="V28" s="26">
        <f t="shared" si="1"/>
        <v>52000000</v>
      </c>
      <c r="W28" s="27">
        <f t="shared" si="1"/>
        <v>2066000</v>
      </c>
    </row>
    <row r="29" spans="1:23" s="5" customFormat="1" ht="25" customHeight="1" thickBot="1">
      <c r="A29" s="70" t="s">
        <v>193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1:23" ht="25" customHeight="1">
      <c r="A30" s="21" t="s">
        <v>28</v>
      </c>
      <c r="B30" s="313">
        <f>B31</f>
        <v>0</v>
      </c>
      <c r="C30" s="314">
        <f>C31</f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314">
        <f t="shared" si="2" ref="V30:V31">SUM(B30,D30,F30,H30,J30,L30,N30,P30,R30,T30)</f>
        <v>0</v>
      </c>
      <c r="W30" s="317">
        <f t="shared" si="3" ref="W30:W31">SUM(C30,E30,G30,I30,K30,M30,O30,Q30,S30,U30)</f>
        <v>0</v>
      </c>
    </row>
    <row r="31" spans="1:23" ht="25" customHeight="1">
      <c r="A31" s="21" t="s">
        <v>29</v>
      </c>
      <c r="B31" s="311">
        <f>'DBU Lateral Hardening'!H8</f>
        <v>0</v>
      </c>
      <c r="C31" s="312">
        <f>'DBU Lateral Hardening'!I8</f>
        <v>0</v>
      </c>
      <c r="D31" s="24">
        <v>5000000</v>
      </c>
      <c r="E31" s="24">
        <v>180000</v>
      </c>
      <c r="F31" s="24">
        <v>5000000</v>
      </c>
      <c r="G31" s="24">
        <v>180000</v>
      </c>
      <c r="H31" s="24">
        <v>5000000</v>
      </c>
      <c r="I31" s="24">
        <v>180000</v>
      </c>
      <c r="J31" s="24">
        <v>5000000</v>
      </c>
      <c r="K31" s="24">
        <v>180000</v>
      </c>
      <c r="L31" s="24">
        <v>5000000</v>
      </c>
      <c r="M31" s="24">
        <v>180000</v>
      </c>
      <c r="N31" s="24">
        <v>5000000</v>
      </c>
      <c r="O31" s="24">
        <v>180000</v>
      </c>
      <c r="P31" s="24">
        <v>5000000</v>
      </c>
      <c r="Q31" s="24">
        <v>180000</v>
      </c>
      <c r="R31" s="24">
        <v>5000000</v>
      </c>
      <c r="S31" s="24">
        <v>180000</v>
      </c>
      <c r="T31" s="24">
        <v>5000000</v>
      </c>
      <c r="U31" s="24">
        <v>180000</v>
      </c>
      <c r="V31" s="312">
        <f t="shared" si="2"/>
        <v>45000000</v>
      </c>
      <c r="W31" s="318">
        <f t="shared" si="3"/>
        <v>1620000</v>
      </c>
    </row>
    <row r="32" spans="1:23" ht="25" customHeight="1" thickBot="1">
      <c r="A32" s="21" t="s">
        <v>30</v>
      </c>
      <c r="B32" s="30">
        <v>1500000</v>
      </c>
      <c r="C32" s="26">
        <v>60000</v>
      </c>
      <c r="D32" s="26">
        <v>10000000</v>
      </c>
      <c r="E32" s="26">
        <v>370000</v>
      </c>
      <c r="F32" s="26">
        <v>10000000</v>
      </c>
      <c r="G32" s="26">
        <v>370000</v>
      </c>
      <c r="H32" s="26">
        <v>10000000</v>
      </c>
      <c r="I32" s="26">
        <v>370000</v>
      </c>
      <c r="J32" s="26">
        <v>10000000</v>
      </c>
      <c r="K32" s="26">
        <v>370000</v>
      </c>
      <c r="L32" s="26">
        <v>10000000</v>
      </c>
      <c r="M32" s="26">
        <v>370000</v>
      </c>
      <c r="N32" s="26">
        <v>10000000</v>
      </c>
      <c r="O32" s="26">
        <v>370000</v>
      </c>
      <c r="P32" s="26">
        <v>10000000</v>
      </c>
      <c r="Q32" s="26">
        <v>370000</v>
      </c>
      <c r="R32" s="26">
        <v>10000000</v>
      </c>
      <c r="S32" s="26">
        <v>370000</v>
      </c>
      <c r="T32" s="26">
        <v>10000000</v>
      </c>
      <c r="U32" s="26">
        <v>370000</v>
      </c>
      <c r="V32" s="316">
        <f t="shared" si="4" ref="V32">SUM(B32,D32,F32,H32,J32,L32,N32,P32,R32,T32)</f>
        <v>91500000</v>
      </c>
      <c r="W32" s="319">
        <f t="shared" si="5" ref="W32">SUM(C32,E32,G32,I32,K32,M32,O32,Q32,S32,U32)</f>
        <v>3390000</v>
      </c>
    </row>
    <row r="33" spans="1:23" s="5" customFormat="1" ht="25" customHeight="1" thickBot="1">
      <c r="A33" s="70" t="s">
        <v>200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1:23" ht="25" customHeight="1">
      <c r="A34" s="21" t="s">
        <v>28</v>
      </c>
      <c r="B34" s="313">
        <v>3500000</v>
      </c>
      <c r="C34" s="314">
        <f>C35</f>
        <v>70000</v>
      </c>
      <c r="D34" s="22">
        <v>20000000.007604301</v>
      </c>
      <c r="E34" s="22">
        <v>0</v>
      </c>
      <c r="F34" s="22">
        <v>20000000.007604301</v>
      </c>
      <c r="G34" s="22">
        <v>0</v>
      </c>
      <c r="H34" s="22">
        <v>20000000.007604301</v>
      </c>
      <c r="I34" s="22">
        <v>0</v>
      </c>
      <c r="J34" s="22">
        <v>20000000.007604301</v>
      </c>
      <c r="K34" s="22">
        <v>0</v>
      </c>
      <c r="L34" s="22">
        <v>20000000.007604301</v>
      </c>
      <c r="M34" s="22">
        <v>0</v>
      </c>
      <c r="N34" s="22">
        <v>20000000.007604301</v>
      </c>
      <c r="O34" s="22">
        <v>0</v>
      </c>
      <c r="P34" s="22">
        <v>20000000.007604301</v>
      </c>
      <c r="Q34" s="22">
        <v>0</v>
      </c>
      <c r="R34" s="22">
        <v>20000000.007604301</v>
      </c>
      <c r="S34" s="22">
        <v>0</v>
      </c>
      <c r="T34" s="22">
        <v>20000000.007604301</v>
      </c>
      <c r="U34" s="22">
        <v>0</v>
      </c>
      <c r="V34" s="314">
        <f t="shared" si="6" ref="V34:V36">SUM(B34,D34,F34,H34,J34,L34,N34,P34,R34,T34)</f>
        <v>183500000.06843871</v>
      </c>
      <c r="W34" s="317">
        <f t="shared" si="7" ref="W34:W36">SUM(C34,E34,G34,I34,K34,M34,O34,Q34,S34,U34)</f>
        <v>70000</v>
      </c>
    </row>
    <row r="35" spans="1:23" ht="25" customHeight="1">
      <c r="A35" s="21" t="s">
        <v>29</v>
      </c>
      <c r="B35" s="311">
        <v>3500000</v>
      </c>
      <c r="C35" s="312">
        <v>70000</v>
      </c>
      <c r="D35" s="24">
        <v>19600000</v>
      </c>
      <c r="E35" s="24">
        <v>400000</v>
      </c>
      <c r="F35" s="24">
        <v>29400000</v>
      </c>
      <c r="G35" s="24">
        <v>600000</v>
      </c>
      <c r="H35" s="24">
        <v>29400000</v>
      </c>
      <c r="I35" s="24">
        <v>600000</v>
      </c>
      <c r="J35" s="24">
        <v>29400000</v>
      </c>
      <c r="K35" s="24">
        <v>600000</v>
      </c>
      <c r="L35" s="24">
        <v>29400000</v>
      </c>
      <c r="M35" s="24">
        <v>600000</v>
      </c>
      <c r="N35" s="24">
        <v>29400000</v>
      </c>
      <c r="O35" s="24">
        <v>600000</v>
      </c>
      <c r="P35" s="24">
        <v>29400000</v>
      </c>
      <c r="Q35" s="24">
        <v>600000</v>
      </c>
      <c r="R35" s="24">
        <v>29400000</v>
      </c>
      <c r="S35" s="24">
        <v>600000</v>
      </c>
      <c r="T35" s="24">
        <v>29400000</v>
      </c>
      <c r="U35" s="24">
        <v>600000</v>
      </c>
      <c r="V35" s="312">
        <f t="shared" si="6"/>
        <v>258300000</v>
      </c>
      <c r="W35" s="318">
        <f t="shared" si="7"/>
        <v>5270000</v>
      </c>
    </row>
    <row r="36" spans="1:23" ht="25" customHeight="1" thickBot="1">
      <c r="A36" s="21" t="s">
        <v>30</v>
      </c>
      <c r="B36" s="30">
        <v>7000000</v>
      </c>
      <c r="C36" s="26">
        <v>139000</v>
      </c>
      <c r="D36" s="26">
        <v>29400000</v>
      </c>
      <c r="E36" s="26">
        <v>600000</v>
      </c>
      <c r="F36" s="26">
        <v>29400000</v>
      </c>
      <c r="G36" s="26">
        <v>600000</v>
      </c>
      <c r="H36" s="26">
        <v>29400000</v>
      </c>
      <c r="I36" s="26">
        <v>600000</v>
      </c>
      <c r="J36" s="26">
        <v>29400000</v>
      </c>
      <c r="K36" s="26">
        <v>600000</v>
      </c>
      <c r="L36" s="26">
        <v>29400000</v>
      </c>
      <c r="M36" s="26">
        <v>600000</v>
      </c>
      <c r="N36" s="26">
        <v>29400000</v>
      </c>
      <c r="O36" s="26">
        <v>600000</v>
      </c>
      <c r="P36" s="26">
        <v>29400000</v>
      </c>
      <c r="Q36" s="26">
        <v>600000</v>
      </c>
      <c r="R36" s="26">
        <v>29400000</v>
      </c>
      <c r="S36" s="26">
        <v>600000</v>
      </c>
      <c r="T36" s="26">
        <v>29400000</v>
      </c>
      <c r="U36" s="26">
        <v>600000</v>
      </c>
      <c r="V36" s="26">
        <f t="shared" si="6"/>
        <v>271600000</v>
      </c>
      <c r="W36" s="27">
        <f t="shared" si="7"/>
        <v>5539000</v>
      </c>
    </row>
    <row r="37" spans="1:23" s="5" customFormat="1" ht="25" customHeight="1" thickBot="1">
      <c r="A37" s="70" t="s">
        <v>201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1:23" ht="25" customHeight="1">
      <c r="A38" s="21" t="s">
        <v>28</v>
      </c>
      <c r="B38" s="28">
        <v>1000000</v>
      </c>
      <c r="C38" s="22">
        <v>0</v>
      </c>
      <c r="D38" s="22">
        <v>1000000</v>
      </c>
      <c r="E38" s="22">
        <v>0</v>
      </c>
      <c r="F38" s="22">
        <v>1000000</v>
      </c>
      <c r="G38" s="22">
        <v>0</v>
      </c>
      <c r="H38" s="22">
        <v>1000000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4000000</v>
      </c>
      <c r="W38" s="23">
        <v>0</v>
      </c>
    </row>
    <row r="39" spans="1:23" ht="25" customHeight="1">
      <c r="A39" s="21" t="s">
        <v>29</v>
      </c>
      <c r="B39" s="29">
        <v>1000000</v>
      </c>
      <c r="C39" s="24">
        <v>0</v>
      </c>
      <c r="D39" s="24">
        <v>1000000</v>
      </c>
      <c r="E39" s="24">
        <v>0</v>
      </c>
      <c r="F39" s="24">
        <v>1000000</v>
      </c>
      <c r="G39" s="24">
        <v>0</v>
      </c>
      <c r="H39" s="24">
        <v>1000000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4000000</v>
      </c>
      <c r="W39" s="25">
        <v>0</v>
      </c>
    </row>
    <row r="40" spans="1:23" ht="25" customHeight="1" thickBot="1">
      <c r="A40" s="21" t="s">
        <v>30</v>
      </c>
      <c r="B40" s="30">
        <v>1000000</v>
      </c>
      <c r="C40" s="26">
        <v>0</v>
      </c>
      <c r="D40" s="26">
        <v>1000000</v>
      </c>
      <c r="E40" s="26">
        <v>0</v>
      </c>
      <c r="F40" s="26">
        <v>1000000</v>
      </c>
      <c r="G40" s="26">
        <v>0</v>
      </c>
      <c r="H40" s="26">
        <v>1000000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4000000</v>
      </c>
      <c r="W40" s="27">
        <v>0</v>
      </c>
    </row>
    <row r="41" spans="1:23" s="5" customFormat="1" ht="25" customHeight="1" thickBot="1">
      <c r="A41" s="70" t="s">
        <v>202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1:23" ht="25" customHeight="1">
      <c r="A42" s="21" t="s">
        <v>28</v>
      </c>
      <c r="B42" s="313">
        <f>B43</f>
        <v>720000</v>
      </c>
      <c r="C42" s="22">
        <v>0</v>
      </c>
      <c r="D42" s="22">
        <v>3799999.9900798998</v>
      </c>
      <c r="E42" s="22">
        <v>0</v>
      </c>
      <c r="F42" s="22">
        <v>0</v>
      </c>
      <c r="G42" s="22">
        <v>0</v>
      </c>
      <c r="H42" s="22">
        <v>5430000.0194490999</v>
      </c>
      <c r="I42" s="22">
        <v>0</v>
      </c>
      <c r="J42" s="22">
        <v>14999999.9973251</v>
      </c>
      <c r="K42" s="22">
        <v>0</v>
      </c>
      <c r="L42" s="22">
        <v>14999999.9973251</v>
      </c>
      <c r="M42" s="22">
        <v>0</v>
      </c>
      <c r="N42" s="22">
        <v>20000000</v>
      </c>
      <c r="O42" s="22">
        <v>0</v>
      </c>
      <c r="P42" s="22">
        <v>20000000</v>
      </c>
      <c r="Q42" s="22">
        <v>0</v>
      </c>
      <c r="R42" s="22">
        <v>20000000</v>
      </c>
      <c r="S42" s="22">
        <v>0</v>
      </c>
      <c r="T42" s="22">
        <v>20000000</v>
      </c>
      <c r="U42" s="22">
        <v>0</v>
      </c>
      <c r="V42" s="314">
        <f t="shared" si="8" ref="V42:V44">SUM(B42,D42,F42,H42,J42,L42,N42,P42,R42,T42)</f>
        <v>119950000.00417921</v>
      </c>
      <c r="W42" s="23">
        <v>0</v>
      </c>
    </row>
    <row r="43" spans="1:23" ht="25" customHeight="1">
      <c r="A43" s="21" t="s">
        <v>29</v>
      </c>
      <c r="B43" s="311">
        <v>720000</v>
      </c>
      <c r="C43" s="24">
        <v>0</v>
      </c>
      <c r="D43" s="24">
        <v>24500000</v>
      </c>
      <c r="E43" s="24">
        <v>0</v>
      </c>
      <c r="F43" s="24">
        <v>24500000</v>
      </c>
      <c r="G43" s="24">
        <v>0</v>
      </c>
      <c r="H43" s="24">
        <v>24500000</v>
      </c>
      <c r="I43" s="24">
        <v>0</v>
      </c>
      <c r="J43" s="24">
        <v>24500000</v>
      </c>
      <c r="K43" s="24">
        <v>0</v>
      </c>
      <c r="L43" s="24">
        <v>24500000</v>
      </c>
      <c r="M43" s="24">
        <v>0</v>
      </c>
      <c r="N43" s="24">
        <v>24500000</v>
      </c>
      <c r="O43" s="24">
        <v>0</v>
      </c>
      <c r="P43" s="24">
        <v>24500000</v>
      </c>
      <c r="Q43" s="24">
        <v>0</v>
      </c>
      <c r="R43" s="24">
        <v>24500000</v>
      </c>
      <c r="S43" s="24">
        <v>0</v>
      </c>
      <c r="T43" s="24">
        <v>24500000</v>
      </c>
      <c r="U43" s="24">
        <v>0</v>
      </c>
      <c r="V43" s="312">
        <f t="shared" si="8"/>
        <v>221220000</v>
      </c>
      <c r="W43" s="25">
        <v>0</v>
      </c>
    </row>
    <row r="44" spans="1:23" ht="25" customHeight="1" thickBot="1">
      <c r="A44" s="21" t="s">
        <v>30</v>
      </c>
      <c r="B44" s="30">
        <v>4800000</v>
      </c>
      <c r="C44" s="26">
        <v>0</v>
      </c>
      <c r="D44" s="26">
        <v>30000000</v>
      </c>
      <c r="E44" s="26">
        <v>0</v>
      </c>
      <c r="F44" s="26">
        <v>30000000</v>
      </c>
      <c r="G44" s="26">
        <v>0</v>
      </c>
      <c r="H44" s="26">
        <v>30000000</v>
      </c>
      <c r="I44" s="26">
        <v>0</v>
      </c>
      <c r="J44" s="26">
        <v>30000000</v>
      </c>
      <c r="K44" s="26">
        <v>0</v>
      </c>
      <c r="L44" s="26">
        <v>30000000</v>
      </c>
      <c r="M44" s="26">
        <v>0</v>
      </c>
      <c r="N44" s="26">
        <v>30000000</v>
      </c>
      <c r="O44" s="26">
        <v>0</v>
      </c>
      <c r="P44" s="26">
        <v>30000000</v>
      </c>
      <c r="Q44" s="26">
        <v>0</v>
      </c>
      <c r="R44" s="26">
        <v>30000000</v>
      </c>
      <c r="S44" s="26">
        <v>0</v>
      </c>
      <c r="T44" s="26">
        <v>30000000</v>
      </c>
      <c r="U44" s="26">
        <v>0</v>
      </c>
      <c r="V44" s="26">
        <f t="shared" si="8"/>
        <v>274800000</v>
      </c>
      <c r="W44" s="27">
        <v>0</v>
      </c>
    </row>
    <row r="45" spans="1:23" s="5" customFormat="1" ht="25" customHeight="1" thickBot="1">
      <c r="A45" s="70" t="s">
        <v>195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1:23" ht="25" customHeight="1">
      <c r="A46" s="21" t="s">
        <v>28</v>
      </c>
      <c r="B46" s="313">
        <f>B47</f>
        <v>0</v>
      </c>
      <c r="C46" s="22">
        <v>5030881.2465663999</v>
      </c>
      <c r="D46" s="314">
        <v>0</v>
      </c>
      <c r="E46" s="22">
        <v>4678345.9676644001</v>
      </c>
      <c r="F46" s="314">
        <v>0</v>
      </c>
      <c r="G46" s="22">
        <v>4685488.9859324004</v>
      </c>
      <c r="H46" s="314">
        <v>0</v>
      </c>
      <c r="I46" s="22">
        <v>4696167.2828780003</v>
      </c>
      <c r="J46" s="314">
        <v>0</v>
      </c>
      <c r="K46" s="22">
        <v>4696167.3662043996</v>
      </c>
      <c r="L46" s="314">
        <v>0</v>
      </c>
      <c r="M46" s="22">
        <v>4705752.7908207998</v>
      </c>
      <c r="N46" s="314">
        <v>0</v>
      </c>
      <c r="O46" s="22">
        <v>4705752.7908207998</v>
      </c>
      <c r="P46" s="314">
        <v>0</v>
      </c>
      <c r="Q46" s="22">
        <v>4705752.7908207998</v>
      </c>
      <c r="R46" s="314">
        <v>0</v>
      </c>
      <c r="S46" s="22">
        <v>4705752.7908207998</v>
      </c>
      <c r="T46" s="314">
        <v>0</v>
      </c>
      <c r="U46" s="22">
        <v>4705752.7908207998</v>
      </c>
      <c r="V46" s="314">
        <v>0</v>
      </c>
      <c r="W46" s="23">
        <v>47315814.803349599</v>
      </c>
    </row>
    <row r="47" spans="1:23" ht="25" customHeight="1">
      <c r="A47" s="21" t="s">
        <v>29</v>
      </c>
      <c r="B47" s="311">
        <f>'DBU-TBU Vegetation Mngmt'!B6</f>
        <v>0</v>
      </c>
      <c r="C47" s="24">
        <v>5030881.2465663999</v>
      </c>
      <c r="D47" s="312">
        <f>'DBU-TBU Vegetation Mngmt'!D6</f>
        <v>0</v>
      </c>
      <c r="E47" s="24">
        <v>4678345.9676644001</v>
      </c>
      <c r="F47" s="312">
        <f>'DBU-TBU Vegetation Mngmt'!F6</f>
        <v>0</v>
      </c>
      <c r="G47" s="24">
        <v>4685488.9859324004</v>
      </c>
      <c r="H47" s="312">
        <f>$F$47</f>
        <v>0</v>
      </c>
      <c r="I47" s="24">
        <v>4696167.2828780003</v>
      </c>
      <c r="J47" s="312">
        <f>$F$47</f>
        <v>0</v>
      </c>
      <c r="K47" s="24">
        <v>4696167.3662043996</v>
      </c>
      <c r="L47" s="312">
        <f>$F$47</f>
        <v>0</v>
      </c>
      <c r="M47" s="24">
        <v>4705752.7908207998</v>
      </c>
      <c r="N47" s="312">
        <f>$F$47</f>
        <v>0</v>
      </c>
      <c r="O47" s="24">
        <v>4705752.7908207998</v>
      </c>
      <c r="P47" s="312">
        <f>$F$47</f>
        <v>0</v>
      </c>
      <c r="Q47" s="24">
        <v>4705752.7908207998</v>
      </c>
      <c r="R47" s="312">
        <f>$F$47</f>
        <v>0</v>
      </c>
      <c r="S47" s="24">
        <v>4705752.7908207998</v>
      </c>
      <c r="T47" s="312">
        <f>$F$47</f>
        <v>0</v>
      </c>
      <c r="U47" s="24">
        <v>4705752.7908207998</v>
      </c>
      <c r="V47" s="312">
        <f>$F$47</f>
        <v>0</v>
      </c>
      <c r="W47" s="25">
        <v>47315814.803349599</v>
      </c>
    </row>
    <row r="48" spans="1:23" ht="25" customHeight="1" thickBot="1">
      <c r="A48" s="21" t="s">
        <v>30</v>
      </c>
      <c r="B48" s="315">
        <f>B47</f>
        <v>0</v>
      </c>
      <c r="C48" s="26">
        <v>5030881.2465663999</v>
      </c>
      <c r="D48" s="316">
        <v>0</v>
      </c>
      <c r="E48" s="26">
        <v>4678345.9676644001</v>
      </c>
      <c r="F48" s="316">
        <v>0</v>
      </c>
      <c r="G48" s="26">
        <v>4685488.9859324004</v>
      </c>
      <c r="H48" s="316">
        <v>0</v>
      </c>
      <c r="I48" s="26">
        <v>4696167.2828780003</v>
      </c>
      <c r="J48" s="316">
        <v>0</v>
      </c>
      <c r="K48" s="26">
        <v>4696167.3662043996</v>
      </c>
      <c r="L48" s="316">
        <v>0</v>
      </c>
      <c r="M48" s="26">
        <v>4705752.7908207998</v>
      </c>
      <c r="N48" s="316">
        <v>0</v>
      </c>
      <c r="O48" s="26">
        <v>4705752.7908207998</v>
      </c>
      <c r="P48" s="316">
        <v>0</v>
      </c>
      <c r="Q48" s="26">
        <v>4705752.7908207998</v>
      </c>
      <c r="R48" s="316">
        <v>0</v>
      </c>
      <c r="S48" s="26">
        <v>4705752.7908207998</v>
      </c>
      <c r="T48" s="316">
        <v>0</v>
      </c>
      <c r="U48" s="26">
        <v>4705752.7908207998</v>
      </c>
      <c r="V48" s="316">
        <v>0</v>
      </c>
      <c r="W48" s="27">
        <v>47315814.803349599</v>
      </c>
    </row>
    <row r="49" spans="1:23" s="5" customFormat="1" ht="25" customHeight="1" thickBot="1">
      <c r="A49" s="70" t="s">
        <v>196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1:23" ht="25" customHeight="1">
      <c r="A50" s="21" t="s">
        <v>28</v>
      </c>
      <c r="B50" s="28">
        <v>0</v>
      </c>
      <c r="C50" s="22">
        <v>2502932.3999998998</v>
      </c>
      <c r="D50" s="22">
        <v>0</v>
      </c>
      <c r="E50" s="22">
        <v>2872936.40</v>
      </c>
      <c r="F50" s="22">
        <v>0</v>
      </c>
      <c r="G50" s="22">
        <v>2872936.40</v>
      </c>
      <c r="H50" s="22">
        <v>0</v>
      </c>
      <c r="I50" s="22">
        <v>2872936.40</v>
      </c>
      <c r="J50" s="22">
        <v>0</v>
      </c>
      <c r="K50" s="22">
        <v>2872936.40</v>
      </c>
      <c r="L50" s="22">
        <v>0</v>
      </c>
      <c r="M50" s="22">
        <v>2872936.40</v>
      </c>
      <c r="N50" s="22">
        <v>0</v>
      </c>
      <c r="O50" s="22">
        <v>2872936.40</v>
      </c>
      <c r="P50" s="22">
        <v>0</v>
      </c>
      <c r="Q50" s="22">
        <v>2872936.40</v>
      </c>
      <c r="R50" s="22">
        <v>0</v>
      </c>
      <c r="S50" s="22">
        <v>2872936.40</v>
      </c>
      <c r="T50" s="22">
        <v>0</v>
      </c>
      <c r="U50" s="22">
        <v>2872936.40</v>
      </c>
      <c r="V50" s="22">
        <v>0</v>
      </c>
      <c r="W50" s="23">
        <v>28359359.999999896</v>
      </c>
    </row>
    <row r="51" spans="1:23" ht="25" customHeight="1">
      <c r="A51" s="21" t="s">
        <v>29</v>
      </c>
      <c r="B51" s="29">
        <v>0</v>
      </c>
      <c r="C51" s="24">
        <v>2502932.3999998998</v>
      </c>
      <c r="D51" s="24">
        <v>0</v>
      </c>
      <c r="E51" s="24">
        <v>2872936.40</v>
      </c>
      <c r="F51" s="24">
        <v>0</v>
      </c>
      <c r="G51" s="24">
        <v>2872936.40</v>
      </c>
      <c r="H51" s="24">
        <v>0</v>
      </c>
      <c r="I51" s="24">
        <v>2872936.40</v>
      </c>
      <c r="J51" s="24">
        <v>0</v>
      </c>
      <c r="K51" s="24">
        <v>2872936.40</v>
      </c>
      <c r="L51" s="24">
        <v>0</v>
      </c>
      <c r="M51" s="24">
        <v>2872936.40</v>
      </c>
      <c r="N51" s="24">
        <v>0</v>
      </c>
      <c r="O51" s="24">
        <v>2872936.40</v>
      </c>
      <c r="P51" s="24">
        <v>0</v>
      </c>
      <c r="Q51" s="24">
        <v>2872936.40</v>
      </c>
      <c r="R51" s="24">
        <v>0</v>
      </c>
      <c r="S51" s="24">
        <v>2872936.40</v>
      </c>
      <c r="T51" s="24">
        <v>0</v>
      </c>
      <c r="U51" s="24">
        <v>2872936.40</v>
      </c>
      <c r="V51" s="24">
        <v>0</v>
      </c>
      <c r="W51" s="25">
        <v>28359359.999999896</v>
      </c>
    </row>
    <row r="52" spans="1:23" ht="25" customHeight="1" thickBot="1">
      <c r="A52" s="21" t="s">
        <v>30</v>
      </c>
      <c r="B52" s="30">
        <v>0</v>
      </c>
      <c r="C52" s="26">
        <v>2502932.3999998998</v>
      </c>
      <c r="D52" s="26">
        <v>0</v>
      </c>
      <c r="E52" s="26">
        <v>2872936.40</v>
      </c>
      <c r="F52" s="26">
        <v>0</v>
      </c>
      <c r="G52" s="26">
        <v>2872936.40</v>
      </c>
      <c r="H52" s="26">
        <v>0</v>
      </c>
      <c r="I52" s="26">
        <v>2872936.40</v>
      </c>
      <c r="J52" s="26">
        <v>0</v>
      </c>
      <c r="K52" s="26">
        <v>2872936.40</v>
      </c>
      <c r="L52" s="26">
        <v>0</v>
      </c>
      <c r="M52" s="26">
        <v>2872936.40</v>
      </c>
      <c r="N52" s="26">
        <v>0</v>
      </c>
      <c r="O52" s="26">
        <v>2872936.40</v>
      </c>
      <c r="P52" s="26">
        <v>0</v>
      </c>
      <c r="Q52" s="26">
        <v>2872936.40</v>
      </c>
      <c r="R52" s="26">
        <v>0</v>
      </c>
      <c r="S52" s="26">
        <v>2872936.40</v>
      </c>
      <c r="T52" s="26">
        <v>0</v>
      </c>
      <c r="U52" s="26">
        <v>2872936.40</v>
      </c>
      <c r="V52" s="26">
        <v>0</v>
      </c>
      <c r="W52" s="27">
        <v>28359359.999999896</v>
      </c>
    </row>
    <row r="53" spans="1:23" s="5" customFormat="1" ht="25" customHeight="1" thickBot="1">
      <c r="A53" s="70" t="s">
        <v>6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1:23" ht="25" customHeight="1">
      <c r="A54" s="21" t="s">
        <v>28</v>
      </c>
      <c r="B54" s="313">
        <f t="shared" si="9" ref="B54:W54">SUM(B22,B30,B34,B38,B42,B10,B6,B26,B14,B18,B46,B50)</f>
        <v>20319999.821215</v>
      </c>
      <c r="C54" s="314">
        <f t="shared" si="9"/>
        <v>9402813.6465662997</v>
      </c>
      <c r="D54" s="22">
        <f>SUM(D22,D30,D34,D38,D42,D10,D6,D26,D14,D18,D46,D50)</f>
        <v>66494999.980549306</v>
      </c>
      <c r="E54" s="22">
        <f t="shared" si="9"/>
        <v>11125282.367664401</v>
      </c>
      <c r="F54" s="22">
        <f t="shared" si="9"/>
        <v>60795000.050786301</v>
      </c>
      <c r="G54" s="22">
        <f t="shared" si="9"/>
        <v>11056425.385932401</v>
      </c>
      <c r="H54" s="22">
        <f t="shared" si="9"/>
        <v>62525000.028216705</v>
      </c>
      <c r="I54" s="22">
        <f t="shared" si="9"/>
        <v>10921103.682878001</v>
      </c>
      <c r="J54" s="22">
        <f t="shared" si="9"/>
        <v>71094999.97867471</v>
      </c>
      <c r="K54" s="22">
        <f t="shared" si="9"/>
        <v>10921103.7662044</v>
      </c>
      <c r="L54" s="22">
        <f t="shared" si="9"/>
        <v>71095000.008537799</v>
      </c>
      <c r="M54" s="22">
        <f t="shared" si="9"/>
        <v>10930689.1908208</v>
      </c>
      <c r="N54" s="22">
        <f t="shared" si="9"/>
        <v>76095000.007604301</v>
      </c>
      <c r="O54" s="22">
        <f t="shared" si="9"/>
        <v>10930689.1908208</v>
      </c>
      <c r="P54" s="22">
        <f t="shared" si="9"/>
        <v>76095000.007604301</v>
      </c>
      <c r="Q54" s="22">
        <f t="shared" si="9"/>
        <v>10930689.1908208</v>
      </c>
      <c r="R54" s="22">
        <f t="shared" si="9"/>
        <v>76095000.007604301</v>
      </c>
      <c r="S54" s="22">
        <f t="shared" si="9"/>
        <v>10930689.1908208</v>
      </c>
      <c r="T54" s="22">
        <f t="shared" si="9"/>
        <v>76095000.007604301</v>
      </c>
      <c r="U54" s="22">
        <f t="shared" si="9"/>
        <v>10930689.1908208</v>
      </c>
      <c r="V54" s="314">
        <f t="shared" si="9"/>
        <v>656704999.89839697</v>
      </c>
      <c r="W54" s="317">
        <f t="shared" si="9"/>
        <v>108080174.8033495</v>
      </c>
    </row>
    <row r="55" spans="1:23" ht="25" customHeight="1">
      <c r="A55" s="21" t="s">
        <v>29</v>
      </c>
      <c r="B55" s="311">
        <f t="shared" si="10" ref="B55:W55">SUM(B23,B31,B35,B39,B43,B11,B7,B27,B15,B19,B47,B51)</f>
        <v>22369999.821215</v>
      </c>
      <c r="C55" s="312">
        <f t="shared" si="10"/>
        <v>9665813.6465662997</v>
      </c>
      <c r="D55" s="24">
        <f>SUM(D23,D31,D35,D39,D43,D11,D7,D27,D15,D19,D47,D51)</f>
        <v>91944999.982865095</v>
      </c>
      <c r="E55" s="24">
        <f t="shared" si="10"/>
        <v>11968282.367664401</v>
      </c>
      <c r="F55" s="24">
        <f t="shared" si="10"/>
        <v>99845000.043182001</v>
      </c>
      <c r="G55" s="24">
        <f t="shared" si="10"/>
        <v>12099425.385932401</v>
      </c>
      <c r="H55" s="24">
        <f t="shared" si="10"/>
        <v>96145000.001163304</v>
      </c>
      <c r="I55" s="24">
        <f t="shared" si="10"/>
        <v>11964103.682878001</v>
      </c>
      <c r="J55" s="24">
        <f t="shared" si="10"/>
        <v>95144999.973745301</v>
      </c>
      <c r="K55" s="24">
        <f t="shared" si="10"/>
        <v>11964103.7662044</v>
      </c>
      <c r="L55" s="24">
        <f t="shared" si="10"/>
        <v>95145000.003608406</v>
      </c>
      <c r="M55" s="24">
        <f t="shared" si="10"/>
        <v>11973689.1908208</v>
      </c>
      <c r="N55" s="24">
        <f t="shared" si="10"/>
        <v>95145000</v>
      </c>
      <c r="O55" s="24">
        <f t="shared" si="10"/>
        <v>11973689.1908208</v>
      </c>
      <c r="P55" s="24">
        <f t="shared" si="10"/>
        <v>95145000</v>
      </c>
      <c r="Q55" s="24">
        <f t="shared" si="10"/>
        <v>11973689.1908208</v>
      </c>
      <c r="R55" s="24">
        <f t="shared" si="10"/>
        <v>95145000</v>
      </c>
      <c r="S55" s="24">
        <f t="shared" si="10"/>
        <v>11973689.1908208</v>
      </c>
      <c r="T55" s="24">
        <f t="shared" si="10"/>
        <v>95145000</v>
      </c>
      <c r="U55" s="24">
        <f t="shared" si="10"/>
        <v>11973689.1908208</v>
      </c>
      <c r="V55" s="312">
        <f t="shared" si="10"/>
        <v>881174999.82577908</v>
      </c>
      <c r="W55" s="318">
        <f t="shared" si="10"/>
        <v>117530174.8033495</v>
      </c>
    </row>
    <row r="56" spans="1:23" ht="25" customHeight="1" thickBot="1">
      <c r="A56" s="21" t="s">
        <v>30</v>
      </c>
      <c r="B56" s="30">
        <f t="shared" si="11" ref="B56:W56">SUM(B24,B32,B36,B40,B44,B12,B8,B28,B16,B20,B48,B52)</f>
        <v>36594999.821215004</v>
      </c>
      <c r="C56" s="26">
        <f t="shared" si="11"/>
        <v>10062813.6465663</v>
      </c>
      <c r="D56" s="26">
        <f t="shared" si="11"/>
        <v>112244999.9828651</v>
      </c>
      <c r="E56" s="26">
        <f t="shared" si="11"/>
        <v>12358282.367664401</v>
      </c>
      <c r="F56" s="26">
        <f t="shared" si="11"/>
        <v>125345000.043182</v>
      </c>
      <c r="G56" s="26">
        <f t="shared" si="11"/>
        <v>13884425.385932401</v>
      </c>
      <c r="H56" s="26">
        <f t="shared" si="11"/>
        <v>121645000.0011633</v>
      </c>
      <c r="I56" s="26">
        <f t="shared" si="11"/>
        <v>13749103.682878001</v>
      </c>
      <c r="J56" s="26">
        <f t="shared" si="11"/>
        <v>120644999.9737453</v>
      </c>
      <c r="K56" s="26">
        <f t="shared" si="11"/>
        <v>13749103.7662044</v>
      </c>
      <c r="L56" s="26">
        <f t="shared" si="11"/>
        <v>145645000.00360841</v>
      </c>
      <c r="M56" s="26">
        <f t="shared" si="11"/>
        <v>16417689.1908208</v>
      </c>
      <c r="N56" s="26">
        <f t="shared" si="11"/>
        <v>145645000</v>
      </c>
      <c r="O56" s="26">
        <f t="shared" si="11"/>
        <v>16417689.1908208</v>
      </c>
      <c r="P56" s="26">
        <f t="shared" si="11"/>
        <v>145645000</v>
      </c>
      <c r="Q56" s="26">
        <f t="shared" si="11"/>
        <v>16417689.1908208</v>
      </c>
      <c r="R56" s="26">
        <f t="shared" si="11"/>
        <v>145645000</v>
      </c>
      <c r="S56" s="26">
        <f t="shared" si="11"/>
        <v>16417689.1908208</v>
      </c>
      <c r="T56" s="26">
        <f t="shared" si="11"/>
        <v>145645000</v>
      </c>
      <c r="U56" s="26">
        <f t="shared" si="11"/>
        <v>17646689.190820798</v>
      </c>
      <c r="V56" s="26">
        <f t="shared" si="11"/>
        <v>1244699999.8257792</v>
      </c>
      <c r="W56" s="27">
        <f t="shared" si="11"/>
        <v>147121174.8033495</v>
      </c>
    </row>
    <row r="57" spans="1:23" ht="25" customHeight="1" thickBot="1">
      <c r="A57" s="21"/>
      <c r="B57" s="391" t="str">
        <f>"Total Program Cost = "&amp;"$"&amp;TEXT((ROUND((((SUM(B55:C55))/1000000)),0)),"#,##0")&amp;"M"</f>
        <v>Total Program Cost = $32M</v>
      </c>
      <c r="C57" s="395"/>
      <c r="D57" s="391" t="str">
        <f t="shared" si="12" ref="D57">"Total Program Cost = "&amp;"$"&amp;TEXT((ROUND((((SUM(D55:E55))/1000000)),0)),"#,##0")&amp;"M"</f>
        <v>Total Program Cost = $104M</v>
      </c>
      <c r="E57" s="395"/>
      <c r="F57" s="391" t="str">
        <f t="shared" si="13" ref="F57">"Total Program Cost = "&amp;"$"&amp;TEXT((ROUND((((SUM(F55:G55))/1000000)),0)),"#,##0")&amp;"M"</f>
        <v>Total Program Cost = $112M</v>
      </c>
      <c r="G57" s="395"/>
      <c r="H57" s="391" t="str">
        <f t="shared" si="14" ref="H57">"Total Program Cost = "&amp;"$"&amp;TEXT((ROUND((((SUM(H55:I55))/1000000)),0)),"#,##0")&amp;"M"</f>
        <v>Total Program Cost = $108M</v>
      </c>
      <c r="I57" s="395"/>
      <c r="J57" s="391" t="str">
        <f t="shared" si="15" ref="J57">"Total Program Cost = "&amp;"$"&amp;TEXT((ROUND((((SUM(J55:K55))/1000000)),0)),"#,##0")&amp;"M"</f>
        <v>Total Program Cost = $107M</v>
      </c>
      <c r="K57" s="395"/>
      <c r="L57" s="391" t="str">
        <f t="shared" si="16" ref="L57">"Total Program Cost = "&amp;"$"&amp;TEXT((ROUND((((SUM(L55:M55))/1000000)),0)),"#,##0")&amp;"M"</f>
        <v>Total Program Cost = $107M</v>
      </c>
      <c r="M57" s="395"/>
      <c r="N57" s="391" t="str">
        <f t="shared" si="17" ref="N57">"Total Program Cost = "&amp;"$"&amp;TEXT((ROUND((((SUM(N55:O55))/1000000)),0)),"#,##0")&amp;"M"</f>
        <v>Total Program Cost = $107M</v>
      </c>
      <c r="O57" s="395"/>
      <c r="P57" s="391" t="str">
        <f t="shared" si="18" ref="P57">"Total Program Cost = "&amp;"$"&amp;TEXT((ROUND((((SUM(P55:Q55))/1000000)),0)),"#,##0")&amp;"M"</f>
        <v>Total Program Cost = $107M</v>
      </c>
      <c r="Q57" s="395"/>
      <c r="R57" s="391" t="str">
        <f t="shared" si="19" ref="R57">"Total Program Cost = "&amp;"$"&amp;TEXT((ROUND((((SUM(R55:S55))/1000000)),0)),"#,##0")&amp;"M"</f>
        <v>Total Program Cost = $107M</v>
      </c>
      <c r="S57" s="395"/>
      <c r="T57" s="391" t="str">
        <f t="shared" si="20" ref="T57">"Total Program Cost = "&amp;"$"&amp;TEXT((ROUND((((SUM(T55:U55))/1000000)),0)),"#,##0")&amp;"M"</f>
        <v>Total Program Cost = $107M</v>
      </c>
      <c r="U57" s="395"/>
      <c r="V57" s="391" t="str">
        <f>"Total Program Cost = "&amp;"$"&amp;TEXT((ROUND((((SUM(V55:W55))/1000000)),0)),"#,##0")&amp;"M"</f>
        <v>Total Program Cost = $999M</v>
      </c>
      <c r="W57" s="395"/>
    </row>
    <row r="58" spans="1:23" ht="25" customHeight="1" thickBot="1">
      <c r="A58" s="21"/>
      <c r="B58" s="391" t="str">
        <f>"Avg Annual Cost = "&amp;"$"&amp;TEXT((ROUND((((SUM(B55:C55))/1000000/10)),0)),"#,##0")&amp;"M"</f>
        <v>Avg Annual Cost = $3M</v>
      </c>
      <c r="C58" s="396"/>
      <c r="D58" s="391" t="str">
        <f t="shared" si="21" ref="D58">"Avg Annual Cost = "&amp;"$"&amp;TEXT((ROUND((((SUM(D55:E55))/1000000/10)),0)),"#,##0")&amp;"M"</f>
        <v>Avg Annual Cost = $10M</v>
      </c>
      <c r="E58" s="396"/>
      <c r="F58" s="391" t="str">
        <f t="shared" si="22" ref="F58">"Avg Annual Cost = "&amp;"$"&amp;TEXT((ROUND((((SUM(F55:G55))/1000000/10)),0)),"#,##0")&amp;"M"</f>
        <v>Avg Annual Cost = $11M</v>
      </c>
      <c r="G58" s="396"/>
      <c r="H58" s="391" t="str">
        <f t="shared" si="23" ref="H58">"Avg Annual Cost = "&amp;"$"&amp;TEXT((ROUND((((SUM(H55:I55))/1000000/10)),0)),"#,##0")&amp;"M"</f>
        <v>Avg Annual Cost = $11M</v>
      </c>
      <c r="I58" s="396"/>
      <c r="J58" s="391" t="str">
        <f t="shared" si="24" ref="J58">"Avg Annual Cost = "&amp;"$"&amp;TEXT((ROUND((((SUM(J55:K55))/1000000/10)),0)),"#,##0")&amp;"M"</f>
        <v>Avg Annual Cost = $11M</v>
      </c>
      <c r="K58" s="396"/>
      <c r="L58" s="391" t="str">
        <f t="shared" si="25" ref="L58">"Avg Annual Cost = "&amp;"$"&amp;TEXT((ROUND((((SUM(L55:M55))/1000000/10)),0)),"#,##0")&amp;"M"</f>
        <v>Avg Annual Cost = $11M</v>
      </c>
      <c r="M58" s="396"/>
      <c r="N58" s="391" t="str">
        <f t="shared" si="26" ref="N58">"Avg Annual Cost = "&amp;"$"&amp;TEXT((ROUND((((SUM(N55:O55))/1000000/10)),0)),"#,##0")&amp;"M"</f>
        <v>Avg Annual Cost = $11M</v>
      </c>
      <c r="O58" s="396"/>
      <c r="P58" s="391" t="str">
        <f t="shared" si="27" ref="P58">"Avg Annual Cost = "&amp;"$"&amp;TEXT((ROUND((((SUM(P55:Q55))/1000000/10)),0)),"#,##0")&amp;"M"</f>
        <v>Avg Annual Cost = $11M</v>
      </c>
      <c r="Q58" s="396"/>
      <c r="R58" s="391" t="str">
        <f t="shared" si="28" ref="R58">"Avg Annual Cost = "&amp;"$"&amp;TEXT((ROUND((((SUM(R55:S55))/1000000/10)),0)),"#,##0")&amp;"M"</f>
        <v>Avg Annual Cost = $11M</v>
      </c>
      <c r="S58" s="396"/>
      <c r="T58" s="391" t="str">
        <f t="shared" si="29" ref="T58">"Avg Annual Cost = "&amp;"$"&amp;TEXT((ROUND((((SUM(T55:U55))/1000000/10)),0)),"#,##0")&amp;"M"</f>
        <v>Avg Annual Cost = $11M</v>
      </c>
      <c r="U58" s="396"/>
      <c r="V58" s="391" t="str">
        <f>"Avg Annual Cost = "&amp;"$"&amp;TEXT((ROUND((((SUM(V55:W55))/1000000/10)),0)),"#,##0")&amp;"M"</f>
        <v>Avg Annual Cost = $100M</v>
      </c>
      <c r="W58" s="396"/>
    </row>
    <row r="59" ht="21.5" thickBot="1">
      <c r="A59" s="71" t="s">
        <v>211</v>
      </c>
    </row>
    <row r="60" spans="1:23" ht="25" customHeight="1" thickBot="1">
      <c r="A60" s="21"/>
      <c r="B60" s="393" t="str">
        <f>"2020 Cost = "&amp;"$"&amp;TEXT((ROUND((((B55+C55)/1000000)),0)),"#,##0")&amp;"M"</f>
        <v>2020 Cost = $32M</v>
      </c>
      <c r="C60" s="394"/>
      <c r="V60" s="391" t="str">
        <f>"Total Range Cost = "&amp;"$"&amp;TEXT((ROUND((((SUM(V54:W54))/1000000)),0)),"#,##0")&amp;" - "&amp;"$"&amp;TEXT((ROUND((((SUM(V56:W56))/1000000)),0)),"#,##0")&amp;"M"</f>
        <v>Total Range Cost = $765 - $1,392M</v>
      </c>
      <c r="W60" s="392"/>
    </row>
    <row r="61" spans="1:23" ht="25" customHeight="1" thickBot="1">
      <c r="A61" s="21"/>
      <c r="B61" s="391" t="str">
        <f>"2020-2022 Cost = "&amp;"$"&amp;TEXT((ROUND((((SUM(B55:G55))/1000000)),0)),"#,##0")&amp;"M"</f>
        <v>2020-2022 Cost = $248M</v>
      </c>
      <c r="C61" s="397"/>
      <c r="D61" s="397"/>
      <c r="E61" s="397"/>
      <c r="F61" s="397"/>
      <c r="G61" s="398"/>
      <c r="V61" s="391" t="str">
        <f>"Avg Annual Range Cost = "&amp;"$"&amp;TEXT((ROUND((((SUM(V54:W54))/1000000)),0)),"#,##0")&amp;" - "&amp;"$"&amp;TEXT((ROUND((((SUM(V56:W56))/1000000/10)),0)),"#,##0")&amp;"M"</f>
        <v>Avg Annual Range Cost = $765 - $139M</v>
      </c>
      <c r="W61" s="392"/>
    </row>
    <row r="62" spans="1:23" ht="25" customHeight="1" thickBot="1">
      <c r="A62" s="21"/>
      <c r="B62" s="391" t="str">
        <f>"2020-2022 Avg/Yr = "&amp;"$"&amp;TEXT((ROUND((((SUM(B55:G55))/1000000/3)),0)),"#,##0")&amp;"M"</f>
        <v>2020-2022 Avg/Yr = $83M</v>
      </c>
      <c r="C62" s="397"/>
      <c r="D62" s="397"/>
      <c r="E62" s="397"/>
      <c r="F62" s="397"/>
      <c r="G62" s="398"/>
      <c r="V62" s="1"/>
      <c r="W62" s="1"/>
    </row>
    <row r="63" ht="21.5" thickBot="1">
      <c r="A63" s="71" t="s">
        <v>212</v>
      </c>
    </row>
    <row r="64" spans="2:23" ht="25" customHeight="1" thickBot="1">
      <c r="B64" s="391" t="str">
        <f>"2020-2022 Cost = "&amp;"$"&amp;TEXT((ROUND((((SUM(B7:G7,B11:G11))/1000000)),1)),"#,##.0")&amp;"M"</f>
        <v>2020-2022 Cost = $11.0M</v>
      </c>
      <c r="C64" s="397"/>
      <c r="D64" s="397"/>
      <c r="E64" s="397"/>
      <c r="F64" s="397"/>
      <c r="G64" s="398"/>
      <c r="V64" s="391" t="str">
        <f>"Total Program Cost = "&amp;"$"&amp;TEXT((ROUND((((SUM(V7:W7,V11:W11))/1000000)),1)),"#,##.0")&amp;"M"</f>
        <v>Total Program Cost = $37.5M</v>
      </c>
      <c r="W64" s="392"/>
    </row>
    <row r="65" spans="2:23" ht="25" customHeight="1" thickBot="1">
      <c r="B65" s="391" t="str">
        <f>"2020-2022 Avg/Yr = "&amp;"$"&amp;TEXT((ROUND((((SUM(B7:G7,B11:G11))/1000000/3)),1)),"#,##.0")&amp;"M"</f>
        <v>2020-2022 Avg/Yr = $3.7M</v>
      </c>
      <c r="C65" s="397"/>
      <c r="D65" s="397"/>
      <c r="E65" s="397"/>
      <c r="F65" s="397"/>
      <c r="G65" s="398"/>
      <c r="V65" s="391" t="str">
        <f>"Avg Annual Program Cost = "&amp;"$"&amp;TEXT((ROUND((((SUM(V7:W7,V11:W11))/1000000/10)),1)),"#,##.0")&amp;"M"</f>
        <v>Avg Annual Program Cost = $3.7M</v>
      </c>
      <c r="W65" s="392"/>
    </row>
    <row r="66" ht="21.5" thickBot="1">
      <c r="A66" s="71" t="s">
        <v>213</v>
      </c>
    </row>
    <row r="67" spans="2:23" ht="25" customHeight="1" thickBot="1">
      <c r="B67" s="391" t="str">
        <f>"2020-2022 Cost = "&amp;"$"&amp;TEXT((ROUND((((SUM(B15:G15,B19:G19))/1000000)),1)),"#,##.0")&amp;"M"</f>
        <v>2020-2022 Cost = $10.5M</v>
      </c>
      <c r="C67" s="397"/>
      <c r="D67" s="397"/>
      <c r="E67" s="397"/>
      <c r="F67" s="397"/>
      <c r="G67" s="398"/>
      <c r="V67" s="391" t="str">
        <f>"Total Program Cost = "&amp;"$"&amp;TEXT((ROUND((((SUM(V15:W15,V19:W19))/1000000)),1)),"#,##.0")&amp;"M"</f>
        <v>Total Program Cost = $35.0M</v>
      </c>
      <c r="W67" s="392"/>
    </row>
    <row r="68" spans="2:23" ht="25" customHeight="1" thickBot="1">
      <c r="B68" s="391" t="str">
        <f>"2020-2022 Avg/Yr =  "&amp;"$"&amp;TEXT((ROUND((((SUM(B15:G15,B19:G19))/1000000/3)),1)),"#,##.0")&amp;"M"</f>
        <v>2020-2022 Avg/Yr =  $3.5M</v>
      </c>
      <c r="C68" s="397"/>
      <c r="D68" s="397"/>
      <c r="E68" s="397"/>
      <c r="F68" s="397"/>
      <c r="G68" s="398"/>
      <c r="V68" s="391" t="str">
        <f>"Avg Annual Program Cost = "&amp;"$"&amp;TEXT((ROUND((((SUM(V15:W15,V19:W19))/1000000/10)),1)),"#,##.0")&amp;"M"</f>
        <v>Avg Annual Program Cost = $3.5M</v>
      </c>
      <c r="W68" s="392"/>
    </row>
    <row r="69" ht="21.5" thickBot="1">
      <c r="A69" s="71" t="s">
        <v>214</v>
      </c>
    </row>
    <row r="70" spans="2:23" ht="25" customHeight="1" thickBot="1">
      <c r="B70" s="391" t="str">
        <f>"2020-2022 Cost = "&amp;"$"&amp;TEXT((ROUND((((SUM(B23:G23,B27:G27))/1000000)),1)),"#,##.0")&amp;"M"</f>
        <v>2020-2022 Cost = $87.1M</v>
      </c>
      <c r="C70" s="397"/>
      <c r="D70" s="397"/>
      <c r="E70" s="397"/>
      <c r="F70" s="397"/>
      <c r="G70" s="398"/>
      <c r="V70" s="391" t="str">
        <f>"Total Program Cost = "&amp;"$"&amp;TEXT((ROUND((((SUM(V23:W23,V27:W27))/1000000)),1)),"#,##.0")&amp;"M"</f>
        <v>Total Program Cost = $315.1M</v>
      </c>
      <c r="W70" s="392"/>
    </row>
    <row r="71" spans="2:23" ht="25" customHeight="1" thickBot="1">
      <c r="B71" s="391" t="str">
        <f>"2020-2022 Avg/Yr =  "&amp;"$"&amp;TEXT((ROUND((((SUM(B23:G23,B27:G27))/1000000/3)),1)),"#,##.0")&amp;"M"</f>
        <v>2020-2022 Avg/Yr =  $29.0M</v>
      </c>
      <c r="C71" s="397"/>
      <c r="D71" s="397"/>
      <c r="E71" s="397"/>
      <c r="F71" s="397"/>
      <c r="G71" s="398"/>
      <c r="V71" s="391" t="str">
        <f>"Avg Annual Program Cost = "&amp;"$"&amp;TEXT((ROUND((((SUM(V23:W23,V27:W27))/1000000/10)),1)),"#,##.0")&amp;"M"</f>
        <v>Avg Annual Program Cost = $31.5M</v>
      </c>
      <c r="W71" s="392"/>
    </row>
    <row r="72" ht="25" customHeight="1" thickBot="1">
      <c r="A72" s="71" t="s">
        <v>215</v>
      </c>
    </row>
    <row r="73" spans="2:23" ht="25" customHeight="1" thickBot="1">
      <c r="B73" s="391" t="str">
        <f>"2020-2022 Cost = "&amp;"$"&amp;TEXT((ROUND((((SUM(B31:G31))/1000000)),1)),"#,##.0")&amp;"M"</f>
        <v>2020-2022 Cost = $10.4M</v>
      </c>
      <c r="C73" s="397"/>
      <c r="D73" s="397"/>
      <c r="E73" s="397"/>
      <c r="F73" s="397"/>
      <c r="G73" s="398"/>
      <c r="V73" s="391" t="str">
        <f>"Total Program Cost = "&amp;"$"&amp;TEXT((ROUND((((SUM(V31:W31))/1000000)),1)),"#,##.0")&amp;"M"</f>
        <v>Total Program Cost = $46.6M</v>
      </c>
      <c r="W73" s="392"/>
    </row>
    <row r="74" spans="2:23" ht="25" customHeight="1" thickBot="1">
      <c r="B74" s="391" t="str">
        <f>"2020-2022 Avg/Yr =  "&amp;"$"&amp;TEXT((ROUND((((SUM(B31:G31))/1000000/3)),1)),"#,##.0")&amp;"M"</f>
        <v>2020-2022 Avg/Yr =  $3.5M</v>
      </c>
      <c r="C74" s="397"/>
      <c r="D74" s="397"/>
      <c r="E74" s="397"/>
      <c r="F74" s="397"/>
      <c r="G74" s="398"/>
      <c r="V74" s="391" t="str">
        <f>"Avg Annual Program Cost = "&amp;"$"&amp;TEXT((ROUND((((SUM(V31:W31))/1000000/10)),1)),"#,##.0")&amp;"M"</f>
        <v>Avg Annual Program Cost = $4.7M</v>
      </c>
      <c r="W74" s="392"/>
    </row>
    <row r="75" ht="25" customHeight="1" thickBot="1">
      <c r="A75" s="71" t="s">
        <v>216</v>
      </c>
    </row>
    <row r="76" spans="2:23" ht="25" customHeight="1" thickBot="1">
      <c r="B76" s="391" t="str">
        <f>"2020-2022 Cost = "&amp;"$"&amp;TEXT((ROUND((((SUM(B35:G35,B39:G39,B43:G43))/1000000)),1)),"#,##.0")&amp;"M"</f>
        <v>2020-2022 Cost = $106.3M</v>
      </c>
      <c r="C76" s="397"/>
      <c r="D76" s="397"/>
      <c r="E76" s="397"/>
      <c r="F76" s="397"/>
      <c r="G76" s="398"/>
      <c r="V76" s="391" t="str">
        <f>"Total Program Cost = "&amp;"$"&amp;TEXT((ROUND((((SUM(V35:W35,V39:W39,V43:W43))/1000000)),1)),"#,##.0")&amp;"M"</f>
        <v>Total Program Cost = $488.8M</v>
      </c>
      <c r="W76" s="392"/>
    </row>
    <row r="77" spans="2:23" ht="25" customHeight="1" thickBot="1">
      <c r="B77" s="391" t="str">
        <f>"2020-2022 Avg/Yr = "&amp;"$"&amp;TEXT((ROUND((((SUM(B35:G35,B39:G39,B43:G43))/1000000/3)),1)),"#,##.0")&amp;"M"</f>
        <v>2020-2022 Avg/Yr = $35.4M</v>
      </c>
      <c r="C77" s="397"/>
      <c r="D77" s="397"/>
      <c r="E77" s="397"/>
      <c r="F77" s="397"/>
      <c r="G77" s="398"/>
      <c r="V77" s="391" t="str">
        <f>"Avg Annual Program Cost = "&amp;"$"&amp;TEXT((ROUND((((SUM(V35:W35,V39:W39,V43:W43))/1000000/10)),1)),"#,##.0")&amp;"M"</f>
        <v>Avg Annual Program Cost = $48.9M</v>
      </c>
      <c r="W77" s="392"/>
    </row>
    <row r="78" ht="25" customHeight="1" thickBot="1">
      <c r="A78" s="71" t="s">
        <v>217</v>
      </c>
    </row>
    <row r="79" spans="2:23" ht="25" customHeight="1" thickBot="1">
      <c r="B79" s="391" t="str">
        <f>"2020-2022 Cost = "&amp;"$"&amp;TEXT((ROUND((((SUM(B47:G47))/1000000)),1)),"#,##.0")&amp;"M"</f>
        <v>2020-2022 Cost = $14.4M</v>
      </c>
      <c r="C79" s="397"/>
      <c r="D79" s="397"/>
      <c r="E79" s="397"/>
      <c r="F79" s="397"/>
      <c r="G79" s="398"/>
      <c r="V79" s="391" t="str">
        <f>"Total Program Cost = "&amp;"$"&amp;TEXT((ROUND((((SUM(V47:W47))/1000000)),1)),"#,##.0")&amp;"M"</f>
        <v>Total Program Cost = $47.3M</v>
      </c>
      <c r="W79" s="392"/>
    </row>
    <row r="80" spans="2:23" ht="25" customHeight="1" thickBot="1">
      <c r="B80" s="391" t="str">
        <f>"2020-2022 Avg/Yr = "&amp;"$"&amp;TEXT((ROUND((((SUM(B47:G47))/1000000/3)),1)),"#,##.0")&amp;"M"</f>
        <v>2020-2022 Avg/Yr = $4.8M</v>
      </c>
      <c r="C80" s="397"/>
      <c r="D80" s="397"/>
      <c r="E80" s="397"/>
      <c r="F80" s="397"/>
      <c r="G80" s="398"/>
      <c r="V80" s="391" t="str">
        <f>"Avg Annual Program Cost = "&amp;"$"&amp;TEXT((ROUND((((SUM(V47:W47))/1000000/10)),1)),"#,##.0")&amp;"M"</f>
        <v>Avg Annual Program Cost = $4.7M</v>
      </c>
      <c r="W80" s="392"/>
    </row>
    <row r="81" ht="25" customHeight="1" thickBot="1">
      <c r="A81" s="71" t="s">
        <v>210</v>
      </c>
    </row>
    <row r="82" spans="2:23" ht="25" customHeight="1" thickBot="1">
      <c r="B82" s="391" t="str">
        <f>"2020-2022 Cost = "&amp;"$"&amp;TEXT((ROUND((((SUM(B51:G51))/1000000)),1)),"#,##.0")&amp;"M"</f>
        <v>2020-2022 Cost = $8.2M</v>
      </c>
      <c r="C82" s="397"/>
      <c r="D82" s="397"/>
      <c r="E82" s="397"/>
      <c r="F82" s="397"/>
      <c r="G82" s="398"/>
      <c r="V82" s="391" t="str">
        <f>"Total Program Cost = "&amp;"$"&amp;TEXT((ROUND((((SUM(V51:W51))/1000000)),1)),"#,##.0")&amp;"M"</f>
        <v>Total Program Cost = $28.4M</v>
      </c>
      <c r="W82" s="392"/>
    </row>
    <row r="83" spans="2:23" ht="25" customHeight="1" thickBot="1">
      <c r="B83" s="391" t="str">
        <f>"2020-2022 Avg/Yr = "&amp;"$"&amp;TEXT((ROUND((((SUM(B51:G51))/1000000/3)),1)),"#,##.0")&amp;"M"</f>
        <v>2020-2022 Avg/Yr = $2.7M</v>
      </c>
      <c r="C83" s="397"/>
      <c r="D83" s="397"/>
      <c r="E83" s="397"/>
      <c r="F83" s="397"/>
      <c r="G83" s="398"/>
      <c r="V83" s="391" t="str">
        <f>"Avg Annual Program Cost = "&amp;"$"&amp;TEXT((ROUND((((SUM(V51:W51))/1000000/10)),1)),"#,##.0")&amp;"M"</f>
        <v>Avg Annual Program Cost = $2.8M</v>
      </c>
      <c r="W83" s="392"/>
    </row>
  </sheetData>
  <mergeCells count="66">
    <mergeCell ref="B82:G82"/>
    <mergeCell ref="V82:W82"/>
    <mergeCell ref="B83:G83"/>
    <mergeCell ref="V83:W83"/>
    <mergeCell ref="V57:W57"/>
    <mergeCell ref="V58:W58"/>
    <mergeCell ref="B57:C57"/>
    <mergeCell ref="B58:C58"/>
    <mergeCell ref="D57:E57"/>
    <mergeCell ref="F57:G57"/>
    <mergeCell ref="H57:I57"/>
    <mergeCell ref="J57:K57"/>
    <mergeCell ref="L57:M57"/>
    <mergeCell ref="N57:O57"/>
    <mergeCell ref="P57:Q57"/>
    <mergeCell ref="R57:S57"/>
    <mergeCell ref="B77:G77"/>
    <mergeCell ref="V77:W77"/>
    <mergeCell ref="B79:G79"/>
    <mergeCell ref="V79:W79"/>
    <mergeCell ref="B80:G80"/>
    <mergeCell ref="V80:W80"/>
    <mergeCell ref="B74:G74"/>
    <mergeCell ref="V73:W73"/>
    <mergeCell ref="V74:W74"/>
    <mergeCell ref="B76:G76"/>
    <mergeCell ref="V76:W76"/>
    <mergeCell ref="B70:G70"/>
    <mergeCell ref="V70:W70"/>
    <mergeCell ref="B71:G71"/>
    <mergeCell ref="V71:W71"/>
    <mergeCell ref="B73:G73"/>
    <mergeCell ref="V64:W64"/>
    <mergeCell ref="V65:W65"/>
    <mergeCell ref="B67:G67"/>
    <mergeCell ref="B68:G68"/>
    <mergeCell ref="V67:W67"/>
    <mergeCell ref="V68:W68"/>
    <mergeCell ref="B62:G62"/>
    <mergeCell ref="B64:G64"/>
    <mergeCell ref="B65:G65"/>
    <mergeCell ref="D58:E58"/>
    <mergeCell ref="F58:G58"/>
    <mergeCell ref="B3:C3"/>
    <mergeCell ref="D3:E3"/>
    <mergeCell ref="F3:G3"/>
    <mergeCell ref="H3:I3"/>
    <mergeCell ref="B61:G61"/>
    <mergeCell ref="V60:W60"/>
    <mergeCell ref="V61:W61"/>
    <mergeCell ref="B60:C60"/>
    <mergeCell ref="T57:U57"/>
    <mergeCell ref="H58:I58"/>
    <mergeCell ref="J58:K58"/>
    <mergeCell ref="L58:M58"/>
    <mergeCell ref="N58:O58"/>
    <mergeCell ref="P58:Q58"/>
    <mergeCell ref="R58:S58"/>
    <mergeCell ref="T58:U58"/>
    <mergeCell ref="V3:W3"/>
    <mergeCell ref="J3:K3"/>
    <mergeCell ref="N3:O3"/>
    <mergeCell ref="P3:Q3"/>
    <mergeCell ref="R3:S3"/>
    <mergeCell ref="T3:U3"/>
    <mergeCell ref="L3:M3"/>
  </mergeCells>
  <printOptions horizontalCentered="1"/>
  <pageMargins left="0.25" right="0.25" top="0.25" bottom="0.25" header="0" footer="0"/>
  <pageSetup orientation="landscape" paperSize="17" scale="10" r:id="rId1"/>
  <ignoredErrors>
    <ignoredError sqref="C64:G64 B64 H70:U70 H71:U71 C74:G74 B73:G73 B69:G69 B66:G66 C65:G65 B67:G67 B70:G70 C68:G68 C71:G71 B72:G72 B71 B68 B65 B74 B76:G76 C77:G77 B78:G79 B77 B80:G80 B83:U83 B82:U82 W64 V64 W83 V82 V79 V76 V81:W81 V78:W78 W74 V75:W75 V70 V73 V69:W69 V67 W65 V66:W66 W68 W67 W70 W71 V72:W72 W77 W80 W73 W76 W79 W82 V65 V83 V74 V80 V77 V71 V6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5"/>
  <sheetViews>
    <sheetView workbookViewId="0" topLeftCell="A1">
      <pane ySplit="5" topLeftCell="A6" activePane="bottomLeft" state="frozen"/>
      <selection pane="topLeft" activeCell="A1" sqref="A1:G14"/>
      <selection pane="bottomLeft" activeCell="G1" sqref="G1"/>
    </sheetView>
  </sheetViews>
  <sheetFormatPr defaultColWidth="9.1796875" defaultRowHeight="15"/>
  <cols>
    <col min="1" max="1" width="70.2857142857143" style="82" customWidth="1"/>
    <col min="2" max="7" width="15.7142857142857" style="82" customWidth="1"/>
    <col min="8" max="16384" width="9.14285714285714" style="82"/>
  </cols>
  <sheetData>
    <row r="1" spans="1:7" ht="28.5">
      <c r="A1" s="399" t="s">
        <v>190</v>
      </c>
      <c r="B1" s="399"/>
      <c r="C1" s="399"/>
      <c r="D1" s="399"/>
      <c r="E1" s="399"/>
      <c r="F1" s="399"/>
      <c r="G1" s="356" t="s">
        <v>281</v>
      </c>
    </row>
    <row r="2" spans="1:7" ht="28.5">
      <c r="A2" s="81" t="s">
        <v>111</v>
      </c>
      <c r="B2" s="81"/>
      <c r="C2" s="81"/>
      <c r="D2" s="81"/>
      <c r="E2" s="81"/>
      <c r="F2" s="81"/>
      <c r="G2" s="81"/>
    </row>
    <row r="3" ht="15" thickBot="1">
      <c r="A3" s="85"/>
    </row>
    <row r="4" spans="1:7" ht="21" customHeight="1">
      <c r="A4" s="122"/>
      <c r="B4" s="400" t="s">
        <v>33</v>
      </c>
      <c r="C4" s="401"/>
      <c r="D4" s="400" t="s">
        <v>34</v>
      </c>
      <c r="E4" s="402"/>
      <c r="F4" s="400" t="s">
        <v>35</v>
      </c>
      <c r="G4" s="401"/>
    </row>
    <row r="5" spans="1:7" ht="21" customHeight="1" thickBot="1">
      <c r="A5" s="123"/>
      <c r="B5" s="124" t="s">
        <v>1</v>
      </c>
      <c r="C5" s="125" t="s">
        <v>2</v>
      </c>
      <c r="D5" s="124" t="s">
        <v>1</v>
      </c>
      <c r="E5" s="126" t="s">
        <v>2</v>
      </c>
      <c r="F5" s="124" t="s">
        <v>1</v>
      </c>
      <c r="G5" s="125" t="s">
        <v>2</v>
      </c>
    </row>
    <row r="6" spans="1:7" s="1" customFormat="1" ht="30" customHeight="1" thickBot="1">
      <c r="A6" s="21"/>
      <c r="B6" s="308">
        <f t="shared" si="0" ref="B6:G6">B14+B10</f>
        <v>2499999.821215</v>
      </c>
      <c r="C6" s="309">
        <f t="shared" si="0"/>
        <v>933000</v>
      </c>
      <c r="D6" s="309">
        <f t="shared" si="0"/>
        <v>2799999.9828650998</v>
      </c>
      <c r="E6" s="309">
        <f t="shared" si="0"/>
        <v>983000</v>
      </c>
      <c r="F6" s="309">
        <f t="shared" si="0"/>
        <v>2800000.0431820001</v>
      </c>
      <c r="G6" s="310">
        <f t="shared" si="0"/>
        <v>983000</v>
      </c>
    </row>
    <row r="7" ht="19.5" customHeight="1" thickBot="1"/>
    <row r="8" spans="1:7" ht="21" customHeight="1">
      <c r="A8" s="403" t="s">
        <v>110</v>
      </c>
      <c r="B8" s="400" t="s">
        <v>33</v>
      </c>
      <c r="C8" s="401"/>
      <c r="D8" s="400" t="s">
        <v>34</v>
      </c>
      <c r="E8" s="402"/>
      <c r="F8" s="400" t="s">
        <v>35</v>
      </c>
      <c r="G8" s="401"/>
    </row>
    <row r="9" spans="1:7" ht="21" customHeight="1" thickBot="1">
      <c r="A9" s="404"/>
      <c r="B9" s="124" t="s">
        <v>1</v>
      </c>
      <c r="C9" s="125" t="s">
        <v>2</v>
      </c>
      <c r="D9" s="124" t="s">
        <v>1</v>
      </c>
      <c r="E9" s="126" t="s">
        <v>2</v>
      </c>
      <c r="F9" s="124" t="s">
        <v>1</v>
      </c>
      <c r="G9" s="125" t="s">
        <v>2</v>
      </c>
    </row>
    <row r="10" spans="1:7" ht="30" customHeight="1" thickBot="1">
      <c r="A10" s="134" t="s">
        <v>244</v>
      </c>
      <c r="B10" s="233">
        <v>300000</v>
      </c>
      <c r="C10" s="233">
        <v>163000</v>
      </c>
      <c r="D10" s="233">
        <v>300000</v>
      </c>
      <c r="E10" s="233">
        <v>163000</v>
      </c>
      <c r="F10" s="233">
        <v>300000</v>
      </c>
      <c r="G10" s="234">
        <v>163000</v>
      </c>
    </row>
    <row r="11" spans="1:7" s="1" customFormat="1" ht="19" thickBot="1">
      <c r="A11" s="87"/>
      <c r="B11" s="133"/>
      <c r="C11" s="133"/>
      <c r="D11" s="133"/>
      <c r="E11" s="133"/>
      <c r="F11" s="133"/>
      <c r="G11" s="133"/>
    </row>
    <row r="12" spans="1:7" s="1" customFormat="1" ht="15.5">
      <c r="A12" s="403" t="s">
        <v>25</v>
      </c>
      <c r="B12" s="400" t="s">
        <v>33</v>
      </c>
      <c r="C12" s="401"/>
      <c r="D12" s="400" t="s">
        <v>34</v>
      </c>
      <c r="E12" s="402"/>
      <c r="F12" s="400" t="s">
        <v>35</v>
      </c>
      <c r="G12" s="401"/>
    </row>
    <row r="13" spans="1:7" ht="30" customHeight="1" thickBot="1">
      <c r="A13" s="404"/>
      <c r="B13" s="124" t="s">
        <v>1</v>
      </c>
      <c r="C13" s="125" t="s">
        <v>2</v>
      </c>
      <c r="D13" s="124" t="s">
        <v>1</v>
      </c>
      <c r="E13" s="126" t="s">
        <v>2</v>
      </c>
      <c r="F13" s="124" t="s">
        <v>1</v>
      </c>
      <c r="G13" s="125" t="s">
        <v>2</v>
      </c>
    </row>
    <row r="14" spans="1:7" ht="30" customHeight="1" thickBot="1">
      <c r="A14" s="135" t="s">
        <v>243</v>
      </c>
      <c r="B14" s="233">
        <v>2199999.821215</v>
      </c>
      <c r="C14" s="233">
        <v>770000</v>
      </c>
      <c r="D14" s="233">
        <v>2499999.9828650998</v>
      </c>
      <c r="E14" s="233">
        <v>820000</v>
      </c>
      <c r="F14" s="233">
        <v>2500000.0431820001</v>
      </c>
      <c r="G14" s="234">
        <v>820000</v>
      </c>
    </row>
    <row r="15" spans="1:7" s="85" customFormat="1" ht="14.5">
      <c r="A15" s="84"/>
      <c r="B15" s="84"/>
      <c r="C15" s="84"/>
      <c r="D15" s="84"/>
      <c r="E15" s="84"/>
      <c r="F15" s="84"/>
      <c r="G15" s="84"/>
    </row>
    <row r="17" ht="30" customHeight="1"/>
    <row r="18" ht="30" customHeight="1"/>
    <row r="19" ht="30" customHeight="1"/>
    <row r="20" spans="1:3" ht="14.5">
      <c r="A20" s="85"/>
      <c r="B20" s="85"/>
      <c r="C20" s="85"/>
    </row>
    <row r="21" spans="1:3" ht="14.5">
      <c r="A21" s="85"/>
      <c r="B21" s="85"/>
      <c r="C21" s="85"/>
    </row>
    <row r="23" spans="4:5" ht="14.5">
      <c r="D23" s="7"/>
      <c r="E23" s="7"/>
    </row>
    <row r="24" ht="14.5">
      <c r="D24" s="7"/>
    </row>
    <row r="25" spans="4:5" ht="14.5">
      <c r="D25" s="7"/>
      <c r="E25" s="7"/>
    </row>
  </sheetData>
  <mergeCells count="12">
    <mergeCell ref="A1:F1"/>
    <mergeCell ref="B4:C4"/>
    <mergeCell ref="D4:E4"/>
    <mergeCell ref="F4:G4"/>
    <mergeCell ref="A12:A13"/>
    <mergeCell ref="B12:C12"/>
    <mergeCell ref="D12:E12"/>
    <mergeCell ref="F12:G12"/>
    <mergeCell ref="A8:A9"/>
    <mergeCell ref="B8:C8"/>
    <mergeCell ref="D8:E8"/>
    <mergeCell ref="F8:G8"/>
  </mergeCells>
  <printOptions horizontalCentered="1"/>
  <pageMargins left="0.5" right="0.5" top="0.5" bottom="0.5" header="0" footer="0"/>
  <pageSetup orientation="landscape" scale="1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14"/>
  <sheetViews>
    <sheetView workbookViewId="0" topLeftCell="A1">
      <pane ySplit="5" topLeftCell="A6" activePane="bottomLeft" state="frozen"/>
      <selection pane="topLeft" activeCell="A1" sqref="A1:G14"/>
      <selection pane="bottomLeft" activeCell="G1" sqref="G1"/>
    </sheetView>
  </sheetViews>
  <sheetFormatPr defaultColWidth="9.1796875" defaultRowHeight="15"/>
  <cols>
    <col min="1" max="1" width="44.2857142857143" style="1" bestFit="1" customWidth="1"/>
    <col min="2" max="7" width="12.7142857142857" style="1" customWidth="1"/>
    <col min="8" max="16384" width="9.14285714285714" style="1"/>
  </cols>
  <sheetData>
    <row r="1" spans="1:7" ht="28.5">
      <c r="A1" s="405" t="s">
        <v>191</v>
      </c>
      <c r="B1" s="405"/>
      <c r="C1" s="405"/>
      <c r="D1" s="405"/>
      <c r="E1" s="405"/>
      <c r="F1" s="405"/>
      <c r="G1" s="356" t="s">
        <v>282</v>
      </c>
    </row>
    <row r="2" spans="1:7" ht="28.5">
      <c r="A2" s="405" t="s">
        <v>111</v>
      </c>
      <c r="B2" s="405"/>
      <c r="C2" s="405"/>
      <c r="D2" s="405"/>
      <c r="E2" s="405"/>
      <c r="F2" s="405"/>
      <c r="G2" s="86"/>
    </row>
    <row r="3" ht="15" thickBot="1"/>
    <row r="4" spans="1:7" ht="18.5">
      <c r="A4" s="87"/>
      <c r="B4" s="400" t="s">
        <v>33</v>
      </c>
      <c r="C4" s="401"/>
      <c r="D4" s="400" t="s">
        <v>34</v>
      </c>
      <c r="E4" s="402"/>
      <c r="F4" s="400" t="s">
        <v>35</v>
      </c>
      <c r="G4" s="401"/>
    </row>
    <row r="5" spans="1:7" ht="16" thickBot="1">
      <c r="A5" s="123"/>
      <c r="B5" s="124" t="s">
        <v>1</v>
      </c>
      <c r="C5" s="125" t="s">
        <v>2</v>
      </c>
      <c r="D5" s="124" t="s">
        <v>1</v>
      </c>
      <c r="E5" s="126" t="s">
        <v>2</v>
      </c>
      <c r="F5" s="124" t="s">
        <v>1</v>
      </c>
      <c r="G5" s="125" t="s">
        <v>2</v>
      </c>
    </row>
    <row r="6" spans="1:7" ht="30" customHeight="1" thickBot="1">
      <c r="A6" s="21"/>
      <c r="B6" s="191">
        <f>B10+B14</f>
        <v>3150000</v>
      </c>
      <c r="C6" s="192">
        <f t="shared" si="0" ref="C6:G6">C10+C14</f>
        <v>350000</v>
      </c>
      <c r="D6" s="192">
        <f t="shared" si="0"/>
        <v>3150000</v>
      </c>
      <c r="E6" s="192">
        <f t="shared" si="0"/>
        <v>350000</v>
      </c>
      <c r="F6" s="192">
        <f t="shared" si="0"/>
        <v>3150000</v>
      </c>
      <c r="G6" s="193">
        <f t="shared" si="0"/>
        <v>350000</v>
      </c>
    </row>
    <row r="7" ht="19" thickBot="1">
      <c r="A7" s="87"/>
    </row>
    <row r="8" spans="1:7" ht="18.5">
      <c r="A8" s="88"/>
      <c r="B8" s="400" t="s">
        <v>33</v>
      </c>
      <c r="C8" s="401"/>
      <c r="D8" s="400" t="s">
        <v>34</v>
      </c>
      <c r="E8" s="402"/>
      <c r="F8" s="400" t="s">
        <v>35</v>
      </c>
      <c r="G8" s="401"/>
    </row>
    <row r="9" spans="1:7" ht="19" thickBot="1">
      <c r="A9" s="89" t="s">
        <v>50</v>
      </c>
      <c r="B9" s="124" t="s">
        <v>1</v>
      </c>
      <c r="C9" s="125" t="s">
        <v>2</v>
      </c>
      <c r="D9" s="124" t="s">
        <v>1</v>
      </c>
      <c r="E9" s="126" t="s">
        <v>2</v>
      </c>
      <c r="F9" s="124" t="s">
        <v>1</v>
      </c>
      <c r="G9" s="125" t="s">
        <v>2</v>
      </c>
    </row>
    <row r="10" spans="1:7" ht="30" customHeight="1" thickBot="1">
      <c r="A10" s="130" t="s">
        <v>112</v>
      </c>
      <c r="B10" s="131">
        <v>3000000</v>
      </c>
      <c r="C10" s="131">
        <v>250000</v>
      </c>
      <c r="D10" s="131">
        <v>3000000</v>
      </c>
      <c r="E10" s="131">
        <v>250000</v>
      </c>
      <c r="F10" s="131">
        <v>3000000</v>
      </c>
      <c r="G10" s="132">
        <v>250000</v>
      </c>
    </row>
    <row r="11" spans="1:7" ht="19" thickBot="1">
      <c r="A11" s="87"/>
      <c r="B11" s="133"/>
      <c r="C11" s="133"/>
      <c r="D11" s="133"/>
      <c r="E11" s="133"/>
      <c r="F11" s="133"/>
      <c r="G11" s="133"/>
    </row>
    <row r="12" spans="1:7" ht="18.5">
      <c r="A12" s="88"/>
      <c r="B12" s="400" t="s">
        <v>33</v>
      </c>
      <c r="C12" s="401"/>
      <c r="D12" s="400" t="s">
        <v>34</v>
      </c>
      <c r="E12" s="402"/>
      <c r="F12" s="400" t="s">
        <v>35</v>
      </c>
      <c r="G12" s="401"/>
    </row>
    <row r="13" spans="1:7" ht="19" thickBot="1">
      <c r="A13" s="89" t="s">
        <v>12</v>
      </c>
      <c r="B13" s="124" t="s">
        <v>1</v>
      </c>
      <c r="C13" s="125" t="s">
        <v>2</v>
      </c>
      <c r="D13" s="124" t="s">
        <v>1</v>
      </c>
      <c r="E13" s="126" t="s">
        <v>2</v>
      </c>
      <c r="F13" s="124" t="s">
        <v>1</v>
      </c>
      <c r="G13" s="125" t="s">
        <v>2</v>
      </c>
    </row>
    <row r="14" spans="1:7" ht="30" customHeight="1" thickBot="1">
      <c r="A14" s="130" t="s">
        <v>113</v>
      </c>
      <c r="B14" s="131">
        <v>150000</v>
      </c>
      <c r="C14" s="131">
        <v>100000</v>
      </c>
      <c r="D14" s="131">
        <v>150000</v>
      </c>
      <c r="E14" s="131">
        <v>100000</v>
      </c>
      <c r="F14" s="131">
        <v>150000</v>
      </c>
      <c r="G14" s="132">
        <v>100000</v>
      </c>
    </row>
  </sheetData>
  <mergeCells count="11">
    <mergeCell ref="A1:F1"/>
    <mergeCell ref="A2:F2"/>
    <mergeCell ref="B12:C12"/>
    <mergeCell ref="D12:E12"/>
    <mergeCell ref="F12:G12"/>
    <mergeCell ref="B4:C4"/>
    <mergeCell ref="D4:E4"/>
    <mergeCell ref="F4:G4"/>
    <mergeCell ref="B8:C8"/>
    <mergeCell ref="D8:E8"/>
    <mergeCell ref="F8:G8"/>
  </mergeCells>
  <printOptions horizontalCentered="1"/>
  <pageMargins left="0.5" right="0.5" top="0.5" bottom="0.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27"/>
  <sheetViews>
    <sheetView zoomScaleSheetLayoutView="100" workbookViewId="0" topLeftCell="D1">
      <pane ySplit="5" topLeftCell="A21" activePane="bottomLeft" state="frozen"/>
      <selection pane="topLeft" activeCell="A1" sqref="A1:G14"/>
      <selection pane="bottomLeft" activeCell="I1" sqref="I1"/>
    </sheetView>
  </sheetViews>
  <sheetFormatPr defaultColWidth="9.1796875" defaultRowHeight="15"/>
  <cols>
    <col min="1" max="1" width="33.1428571428571" style="82" bestFit="1" customWidth="1"/>
    <col min="2" max="2" width="15.7142857142857" style="82" customWidth="1"/>
    <col min="3" max="3" width="20" style="82" bestFit="1" customWidth="1"/>
    <col min="4" max="4" width="11" style="82" customWidth="1"/>
    <col min="5" max="5" width="32.5714285714286" style="82" customWidth="1"/>
    <col min="6" max="11" width="18.2857142857143" style="82" customWidth="1"/>
    <col min="12" max="16384" width="9.14285714285714" style="82"/>
  </cols>
  <sheetData>
    <row r="1" spans="1:11" ht="28.5">
      <c r="A1" s="81" t="s">
        <v>192</v>
      </c>
      <c r="B1" s="90"/>
      <c r="C1" s="90"/>
      <c r="D1" s="90"/>
      <c r="E1" s="90"/>
      <c r="F1" s="90"/>
      <c r="G1" s="90"/>
      <c r="H1" s="90"/>
      <c r="I1" s="356" t="s">
        <v>283</v>
      </c>
      <c r="J1" s="90"/>
      <c r="K1" s="90"/>
    </row>
    <row r="2" spans="1:11" ht="28.5">
      <c r="A2" s="120" t="s">
        <v>111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15" thickBot="1">
      <c r="A3" s="91"/>
      <c r="B3" s="91"/>
      <c r="C3" s="91"/>
      <c r="D3" s="91"/>
      <c r="E3" s="91"/>
      <c r="F3" s="91"/>
      <c r="G3" s="91"/>
      <c r="H3" s="91"/>
      <c r="K3" s="91"/>
    </row>
    <row r="4" spans="1:11" ht="21" customHeight="1">
      <c r="A4" s="122"/>
      <c r="F4" s="400" t="s">
        <v>33</v>
      </c>
      <c r="G4" s="401"/>
      <c r="H4" s="400" t="s">
        <v>34</v>
      </c>
      <c r="I4" s="402"/>
      <c r="J4" s="400" t="s">
        <v>35</v>
      </c>
      <c r="K4" s="401"/>
    </row>
    <row r="5" spans="5:11" ht="21" customHeight="1" thickBot="1">
      <c r="E5" s="123"/>
      <c r="F5" s="124" t="s">
        <v>1</v>
      </c>
      <c r="G5" s="125" t="s">
        <v>2</v>
      </c>
      <c r="H5" s="124" t="s">
        <v>1</v>
      </c>
      <c r="I5" s="126" t="s">
        <v>2</v>
      </c>
      <c r="J5" s="124" t="s">
        <v>1</v>
      </c>
      <c r="K5" s="125" t="s">
        <v>2</v>
      </c>
    </row>
    <row r="6" spans="5:11" ht="30" customHeight="1" thickBot="1">
      <c r="E6" s="21"/>
      <c r="F6" s="191">
        <f>SUM(F17,F26,F27)</f>
        <v>11500000</v>
      </c>
      <c r="G6" s="192">
        <f>G17+(ROUND((((SUM(F26,F27))*0.0397)/1000),0))*1000</f>
        <v>779000</v>
      </c>
      <c r="H6" s="192">
        <f>'PD Summary (2020-22) High Lev'!D7</f>
        <v>35895000</v>
      </c>
      <c r="I6" s="192">
        <f>'PD Summary (2020-22) High Lev'!E7</f>
        <v>2504000</v>
      </c>
      <c r="J6" s="192">
        <f>'PD Summary (2020-22) High Lev'!F7</f>
        <v>33995000</v>
      </c>
      <c r="K6" s="193">
        <f>'PD Summary (2020-22) High Lev'!G7</f>
        <v>2428000</v>
      </c>
    </row>
    <row r="7" spans="1:11" ht="19.5" customHeight="1">
      <c r="A7" s="91"/>
      <c r="B7" s="91"/>
      <c r="C7" s="91"/>
      <c r="D7" s="91"/>
      <c r="E7" s="91"/>
      <c r="F7" s="91"/>
      <c r="G7" s="91"/>
      <c r="H7" s="91"/>
      <c r="K7" s="91"/>
    </row>
    <row r="8" spans="1:11" s="85" customFormat="1" ht="30" customHeight="1" thickBot="1">
      <c r="A8" s="280" t="s">
        <v>31</v>
      </c>
      <c r="B8" s="151"/>
      <c r="C8" s="151"/>
      <c r="D8" s="151"/>
      <c r="E8" s="151"/>
      <c r="F8" s="151"/>
      <c r="G8" s="151"/>
      <c r="H8" s="151"/>
      <c r="K8" s="151"/>
    </row>
    <row r="9" spans="1:12" s="85" customFormat="1" ht="21" customHeight="1">
      <c r="A9" s="285"/>
      <c r="B9" s="286"/>
      <c r="C9" s="286"/>
      <c r="D9" s="286"/>
      <c r="E9" s="287"/>
      <c r="F9" s="400" t="s">
        <v>81</v>
      </c>
      <c r="G9" s="401"/>
      <c r="H9" s="344" t="s">
        <v>87</v>
      </c>
      <c r="I9" s="343" t="s">
        <v>87</v>
      </c>
      <c r="J9" s="257" t="s">
        <v>88</v>
      </c>
      <c r="K9" s="152"/>
      <c r="L9" s="406" t="s">
        <v>262</v>
      </c>
    </row>
    <row r="10" spans="1:12" ht="21" customHeight="1" thickBot="1">
      <c r="A10" s="288" t="s">
        <v>51</v>
      </c>
      <c r="B10" s="289" t="s">
        <v>52</v>
      </c>
      <c r="C10" s="289" t="s">
        <v>53</v>
      </c>
      <c r="D10" s="289" t="s">
        <v>54</v>
      </c>
      <c r="E10" s="290" t="s">
        <v>55</v>
      </c>
      <c r="F10" s="124" t="s">
        <v>17</v>
      </c>
      <c r="G10" s="126" t="s">
        <v>18</v>
      </c>
      <c r="H10" s="124" t="s">
        <v>89</v>
      </c>
      <c r="I10" s="125" t="s">
        <v>90</v>
      </c>
      <c r="J10" s="352" t="s">
        <v>91</v>
      </c>
      <c r="K10" s="125" t="s">
        <v>261</v>
      </c>
      <c r="L10" s="407"/>
    </row>
    <row r="11" spans="1:12" ht="30" customHeight="1" thickBot="1">
      <c r="A11" s="281" t="s">
        <v>56</v>
      </c>
      <c r="B11" s="282" t="s">
        <v>57</v>
      </c>
      <c r="C11" s="282" t="s">
        <v>58</v>
      </c>
      <c r="D11" s="282" t="s">
        <v>59</v>
      </c>
      <c r="E11" s="282" t="s">
        <v>60</v>
      </c>
      <c r="F11" s="330">
        <v>1087000</v>
      </c>
      <c r="G11" s="330">
        <v>108000</v>
      </c>
      <c r="H11" s="282" t="s">
        <v>259</v>
      </c>
      <c r="I11" s="354" t="s">
        <v>93</v>
      </c>
      <c r="J11" s="299">
        <v>4331</v>
      </c>
      <c r="K11" s="299">
        <v>286</v>
      </c>
      <c r="L11" s="300" t="s">
        <v>263</v>
      </c>
    </row>
    <row r="12" spans="1:12" ht="30" customHeight="1" thickBot="1">
      <c r="A12" s="141" t="s">
        <v>61</v>
      </c>
      <c r="B12" s="142" t="s">
        <v>57</v>
      </c>
      <c r="C12" s="142" t="s">
        <v>62</v>
      </c>
      <c r="D12" s="142">
        <v>5792</v>
      </c>
      <c r="E12" s="142" t="s">
        <v>63</v>
      </c>
      <c r="F12" s="331">
        <v>1325000</v>
      </c>
      <c r="G12" s="331">
        <v>121000</v>
      </c>
      <c r="H12" s="142" t="s">
        <v>259</v>
      </c>
      <c r="I12" s="354" t="s">
        <v>93</v>
      </c>
      <c r="J12" s="143">
        <v>2974</v>
      </c>
      <c r="K12" s="143">
        <v>250</v>
      </c>
      <c r="L12" s="283" t="s">
        <v>263</v>
      </c>
    </row>
    <row r="13" spans="1:12" ht="30" customHeight="1">
      <c r="A13" s="141" t="s">
        <v>64</v>
      </c>
      <c r="B13" s="142" t="s">
        <v>57</v>
      </c>
      <c r="C13" s="142" t="s">
        <v>65</v>
      </c>
      <c r="D13" s="142">
        <v>5572</v>
      </c>
      <c r="E13" s="142" t="s">
        <v>66</v>
      </c>
      <c r="F13" s="331">
        <v>925000</v>
      </c>
      <c r="G13" s="331">
        <v>84000</v>
      </c>
      <c r="H13" s="142" t="s">
        <v>259</v>
      </c>
      <c r="I13" s="354" t="s">
        <v>93</v>
      </c>
      <c r="J13" s="143">
        <v>1371</v>
      </c>
      <c r="K13" s="143">
        <v>15</v>
      </c>
      <c r="L13" s="283" t="s">
        <v>263</v>
      </c>
    </row>
    <row r="14" spans="1:12" ht="30" customHeight="1">
      <c r="A14" s="141" t="s">
        <v>67</v>
      </c>
      <c r="B14" s="142" t="s">
        <v>68</v>
      </c>
      <c r="C14" s="142" t="s">
        <v>69</v>
      </c>
      <c r="D14" s="142">
        <v>5662</v>
      </c>
      <c r="E14" s="142" t="s">
        <v>70</v>
      </c>
      <c r="F14" s="331">
        <v>867000</v>
      </c>
      <c r="G14" s="331">
        <v>54000</v>
      </c>
      <c r="H14" s="142" t="s">
        <v>92</v>
      </c>
      <c r="I14" s="355" t="s">
        <v>108</v>
      </c>
      <c r="J14" s="143">
        <v>3105</v>
      </c>
      <c r="K14" s="143">
        <v>269</v>
      </c>
      <c r="L14" s="283" t="s">
        <v>263</v>
      </c>
    </row>
    <row r="15" spans="1:12" ht="30" customHeight="1">
      <c r="A15" s="141" t="s">
        <v>71</v>
      </c>
      <c r="B15" s="142" t="s">
        <v>72</v>
      </c>
      <c r="C15" s="142" t="s">
        <v>73</v>
      </c>
      <c r="D15" s="142">
        <v>8642</v>
      </c>
      <c r="E15" s="142" t="s">
        <v>74</v>
      </c>
      <c r="F15" s="331">
        <v>1790000</v>
      </c>
      <c r="G15" s="331">
        <v>169000</v>
      </c>
      <c r="H15" s="142" t="s">
        <v>236</v>
      </c>
      <c r="I15" s="142" t="s">
        <v>93</v>
      </c>
      <c r="J15" s="143">
        <v>2560</v>
      </c>
      <c r="K15" s="143">
        <v>170</v>
      </c>
      <c r="L15" s="283" t="s">
        <v>263</v>
      </c>
    </row>
    <row r="16" spans="1:12" ht="30" customHeight="1" thickBot="1">
      <c r="A16" s="144" t="s">
        <v>75</v>
      </c>
      <c r="B16" s="239" t="s">
        <v>72</v>
      </c>
      <c r="C16" s="239" t="s">
        <v>76</v>
      </c>
      <c r="D16" s="239">
        <v>8722</v>
      </c>
      <c r="E16" s="239" t="s">
        <v>77</v>
      </c>
      <c r="F16" s="331">
        <v>506000</v>
      </c>
      <c r="G16" s="331">
        <v>44000</v>
      </c>
      <c r="H16" s="239" t="s">
        <v>236</v>
      </c>
      <c r="I16" s="239" t="s">
        <v>93</v>
      </c>
      <c r="J16" s="146">
        <v>1789</v>
      </c>
      <c r="K16" s="146">
        <v>263</v>
      </c>
      <c r="L16" s="284" t="s">
        <v>263</v>
      </c>
    </row>
    <row r="17" spans="1:12" ht="30" customHeight="1" thickBot="1">
      <c r="A17" s="277"/>
      <c r="B17" s="277"/>
      <c r="C17" s="277"/>
      <c r="D17" s="277"/>
      <c r="E17" s="34" t="s">
        <v>103</v>
      </c>
      <c r="F17" s="332">
        <f>SUM(F11:F16)</f>
        <v>6500000</v>
      </c>
      <c r="G17" s="333">
        <f>SUM(G11:G16)</f>
        <v>580000</v>
      </c>
      <c r="H17" s="278"/>
      <c r="I17" s="279"/>
      <c r="K17" s="276"/>
      <c r="L17" s="279" t="s">
        <v>264</v>
      </c>
    </row>
    <row r="18" spans="1:11" ht="15" thickBo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</row>
    <row r="19" spans="1:11" ht="31">
      <c r="A19" s="147" t="s">
        <v>78</v>
      </c>
      <c r="B19" s="148" t="s">
        <v>79</v>
      </c>
      <c r="C19" s="149"/>
      <c r="D19" s="150" t="s">
        <v>80</v>
      </c>
      <c r="E19" s="148" t="s">
        <v>55</v>
      </c>
      <c r="F19" s="149"/>
      <c r="G19" s="149"/>
      <c r="H19" s="149"/>
      <c r="I19" s="422" t="s">
        <v>81</v>
      </c>
      <c r="J19" s="423"/>
      <c r="K19" s="424"/>
    </row>
    <row r="20" spans="1:11" ht="30" customHeight="1" thickBot="1">
      <c r="A20" s="144" t="s">
        <v>82</v>
      </c>
      <c r="B20" s="415" t="s">
        <v>83</v>
      </c>
      <c r="C20" s="416"/>
      <c r="D20" s="145" t="s">
        <v>83</v>
      </c>
      <c r="E20" s="417" t="s">
        <v>84</v>
      </c>
      <c r="F20" s="418"/>
      <c r="G20" s="418"/>
      <c r="H20" s="418"/>
      <c r="I20" s="419" t="s">
        <v>260</v>
      </c>
      <c r="J20" s="420"/>
      <c r="K20" s="421"/>
    </row>
    <row r="21" spans="1:11" ht="15" thickBot="1">
      <c r="A21" s="91"/>
      <c r="B21" s="91"/>
      <c r="C21" s="91"/>
      <c r="D21" s="91"/>
      <c r="E21" s="91"/>
      <c r="H21" s="91"/>
      <c r="I21" s="91"/>
      <c r="J21" s="91"/>
      <c r="K21" s="91"/>
    </row>
    <row r="22" spans="1:11" ht="31">
      <c r="A22" s="147" t="s">
        <v>85</v>
      </c>
      <c r="B22" s="148" t="s">
        <v>79</v>
      </c>
      <c r="C22" s="149"/>
      <c r="D22" s="150" t="s">
        <v>86</v>
      </c>
      <c r="E22" s="148" t="s">
        <v>55</v>
      </c>
      <c r="F22" s="149"/>
      <c r="G22" s="149"/>
      <c r="H22" s="149"/>
      <c r="I22" s="422" t="s">
        <v>81</v>
      </c>
      <c r="J22" s="423"/>
      <c r="K22" s="424"/>
    </row>
    <row r="23" spans="1:11" ht="30" customHeight="1" thickBot="1">
      <c r="A23" s="144" t="s">
        <v>82</v>
      </c>
      <c r="B23" s="415" t="s">
        <v>83</v>
      </c>
      <c r="C23" s="416"/>
      <c r="D23" s="145" t="s">
        <v>83</v>
      </c>
      <c r="E23" s="417" t="s">
        <v>84</v>
      </c>
      <c r="F23" s="418"/>
      <c r="G23" s="418"/>
      <c r="H23" s="418"/>
      <c r="I23" s="419" t="s">
        <v>260</v>
      </c>
      <c r="J23" s="420"/>
      <c r="K23" s="421"/>
    </row>
    <row r="24" ht="15" thickBot="1"/>
    <row r="25" spans="1:11" ht="30" customHeight="1" thickBot="1">
      <c r="A25" s="412" t="s">
        <v>46</v>
      </c>
      <c r="B25" s="413"/>
      <c r="C25" s="413"/>
      <c r="D25" s="413"/>
      <c r="E25" s="414"/>
      <c r="F25" s="136" t="s">
        <v>47</v>
      </c>
      <c r="G25" s="136"/>
      <c r="H25" s="136" t="s">
        <v>48</v>
      </c>
      <c r="I25" s="136"/>
      <c r="J25" s="136" t="s">
        <v>49</v>
      </c>
      <c r="K25" s="137"/>
    </row>
    <row r="26" spans="1:11" ht="30" customHeight="1">
      <c r="A26" s="408" t="s">
        <v>271</v>
      </c>
      <c r="B26" s="409"/>
      <c r="C26" s="409"/>
      <c r="D26" s="409"/>
      <c r="E26" s="409"/>
      <c r="F26" s="334">
        <v>3200000</v>
      </c>
      <c r="G26" s="335"/>
      <c r="H26" s="138">
        <v>3600000</v>
      </c>
      <c r="I26" s="139"/>
      <c r="J26" s="138">
        <v>1700000</v>
      </c>
      <c r="K26" s="140"/>
    </row>
    <row r="27" spans="1:11" ht="30" customHeight="1" thickBot="1">
      <c r="A27" s="410" t="s">
        <v>272</v>
      </c>
      <c r="B27" s="411"/>
      <c r="C27" s="411"/>
      <c r="D27" s="411"/>
      <c r="E27" s="411"/>
      <c r="F27" s="336">
        <v>1800000</v>
      </c>
      <c r="G27" s="337"/>
      <c r="H27" s="127">
        <v>5895000</v>
      </c>
      <c r="I27" s="128"/>
      <c r="J27" s="127">
        <v>5895000</v>
      </c>
      <c r="K27" s="129"/>
    </row>
  </sheetData>
  <mergeCells count="16">
    <mergeCell ref="L9:L10"/>
    <mergeCell ref="J4:K4"/>
    <mergeCell ref="A26:E26"/>
    <mergeCell ref="A27:E27"/>
    <mergeCell ref="A25:E25"/>
    <mergeCell ref="F4:G4"/>
    <mergeCell ref="H4:I4"/>
    <mergeCell ref="B23:C23"/>
    <mergeCell ref="E23:H23"/>
    <mergeCell ref="I23:K23"/>
    <mergeCell ref="I19:K19"/>
    <mergeCell ref="B20:C20"/>
    <mergeCell ref="E20:H20"/>
    <mergeCell ref="I20:K20"/>
    <mergeCell ref="I22:K22"/>
    <mergeCell ref="F9:G9"/>
  </mergeCells>
  <printOptions horizontalCentered="1"/>
  <pageMargins left="0.5" right="0.5" top="0.5" bottom="0.5" header="0" footer="0"/>
  <pageSetup orientation="landscape" paperSize="17" scale="1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