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020" firstSheet="10" activeTab="14"/>
  </bookViews>
  <sheets>
    <sheet name="Sch. 1" sheetId="1" r:id="rId1"/>
    <sheet name="Sch. 2" sheetId="2" r:id="rId2"/>
    <sheet name="Sch. 3" sheetId="3" r:id="rId3"/>
    <sheet name="Sch. 4" sheetId="4" r:id="rId4"/>
    <sheet name="Sch. 5" sheetId="5" r:id="rId5"/>
    <sheet name="Sch. F 2015" sheetId="11" r:id="rId6"/>
    <sheet name="Sch. F 2015 Notes" sheetId="12" r:id="rId7"/>
    <sheet name="Sch. F 2016" sheetId="13" r:id="rId8"/>
    <sheet name="Sch. F 2016 Notes" sheetId="14" r:id="rId9"/>
    <sheet name="Sch. F 2017" sheetId="15" r:id="rId10"/>
    <sheet name="Sch. F 2017 Notes" sheetId="16" r:id="rId11"/>
    <sheet name="Sch. F 2018" sheetId="6" r:id="rId12"/>
    <sheet name="Sch. F 2018 Notes" sheetId="7" r:id="rId13"/>
    <sheet name="Sch. F 2019" sheetId="8" r:id="rId14"/>
    <sheet name="Sch. F 2019 Notes" sheetId="9" r:id="rId15"/>
    <sheet name="Sch. J" sheetId="10" r:id="rId16"/>
  </sheets>
  <definedNames>
    <definedName name="ADDITIONS" localSheetId="0">#REF!</definedName>
    <definedName name="ADDITIONS" localSheetId="1">#REF!</definedName>
    <definedName name="ADDITIONS" localSheetId="2">#REF!</definedName>
    <definedName name="ADDITIONS" localSheetId="3">#REF!</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8">#REF!</definedName>
    <definedName name="_xlnm.Database" localSheetId="10">#REF!</definedName>
    <definedName name="_xlnm.Database" localSheetId="12">#REF!</definedName>
    <definedName name="_xlnm.Database" localSheetId="14">#REF!</definedName>
    <definedName name="_xlnm.Database" localSheetId="15">#REF!</definedName>
    <definedName name="_xlnm.Database">#REF!</definedName>
    <definedName name="DEPRECIATION" localSheetId="0">#REF!</definedName>
    <definedName name="DEPRECIATION" localSheetId="1">#REF!</definedName>
    <definedName name="DEPRECIATION" localSheetId="2">#REF!</definedName>
    <definedName name="DEPRECIATION" localSheetId="3">#REF!</definedName>
    <definedName name="DEPRECIATION" localSheetId="8">#REF!</definedName>
    <definedName name="DEPRECIATION" localSheetId="10">#REF!</definedName>
    <definedName name="DEPRECIATION" localSheetId="12">#REF!</definedName>
    <definedName name="DEPRECIATION" localSheetId="14">#REF!</definedName>
    <definedName name="DEPRECIATION" localSheetId="15">'Sch. J'!$A$1:$P$50</definedName>
    <definedName name="DEPRECIATION">#REF!</definedName>
    <definedName name="NET_SALVAGE" localSheetId="0">#REF!</definedName>
    <definedName name="NET_SALVAGE" localSheetId="1">#REF!</definedName>
    <definedName name="NET_SALVAGE" localSheetId="2">#REF!</definedName>
    <definedName name="NET_SALVAGE" localSheetId="3">#REF!</definedName>
    <definedName name="NET_SALVAGE" localSheetId="8">#REF!</definedName>
    <definedName name="NET_SALVAGE" localSheetId="10">#REF!</definedName>
    <definedName name="NET_SALVAGE" localSheetId="12">#REF!</definedName>
    <definedName name="NET_SALVAGE" localSheetId="14">#REF!</definedName>
    <definedName name="NET_SALVAGE" localSheetId="15">#REF!</definedName>
    <definedName name="NET_SALVAGE">#REF!</definedName>
    <definedName name="PAGE1" localSheetId="0">#REF!</definedName>
    <definedName name="PAGE1" localSheetId="1">#REF!</definedName>
    <definedName name="PAGE1" localSheetId="2">#REF!</definedName>
    <definedName name="PAGE1" localSheetId="3">#REF!</definedName>
    <definedName name="PAGE1" localSheetId="5">'Sch. F 2015'!$A$1:$P$50</definedName>
    <definedName name="PAGE1" localSheetId="9">'Sch. F 2017'!$A$1:$P$50</definedName>
    <definedName name="PAGE1" localSheetId="11">'Sch. F 2018'!$A$1:$Q$50</definedName>
    <definedName name="PAGE1" localSheetId="13">'Sch. F 2019'!$A$1:$P$50</definedName>
    <definedName name="PAGE1">'Sch. F 2016'!$A$1:$P$50</definedName>
    <definedName name="PAGE2" localSheetId="0">#REF!</definedName>
    <definedName name="PAGE2" localSheetId="1">#REF!</definedName>
    <definedName name="PAGE2" localSheetId="2">#REF!</definedName>
    <definedName name="PAGE2" localSheetId="3">#REF!</definedName>
    <definedName name="PAGE2" localSheetId="8">#REF!</definedName>
    <definedName name="PAGE2" localSheetId="10">#REF!</definedName>
    <definedName name="PAGE2" localSheetId="12">#REF!</definedName>
    <definedName name="PAGE2" localSheetId="14">#REF!</definedName>
    <definedName name="PAGE2" localSheetId="15">#REF!</definedName>
    <definedName name="PAGE2">#REF!</definedName>
    <definedName name="PAGE3" localSheetId="0">#REF!</definedName>
    <definedName name="PAGE3" localSheetId="1">#REF!</definedName>
    <definedName name="PAGE3" localSheetId="2">#REF!</definedName>
    <definedName name="PAGE3" localSheetId="3">#REF!</definedName>
    <definedName name="PAGE3" localSheetId="8">#REF!</definedName>
    <definedName name="PAGE3" localSheetId="10">#REF!</definedName>
    <definedName name="PAGE3" localSheetId="12">#REF!</definedName>
    <definedName name="PAGE3" localSheetId="14">#REF!</definedName>
    <definedName name="PAGE3" localSheetId="15">#REF!</definedName>
    <definedName name="PAGE3">#REF!</definedName>
    <definedName name="PAGE4" localSheetId="0">#REF!</definedName>
    <definedName name="PAGE4" localSheetId="1">#REF!</definedName>
    <definedName name="PAGE4" localSheetId="2">#REF!</definedName>
    <definedName name="PAGE4" localSheetId="3">#REF!</definedName>
    <definedName name="PAGE4" localSheetId="8">#REF!</definedName>
    <definedName name="PAGE4" localSheetId="10">#REF!</definedName>
    <definedName name="PAGE4" localSheetId="12">#REF!</definedName>
    <definedName name="PAGE4" localSheetId="14">#REF!</definedName>
    <definedName name="PAGE4" localSheetId="15">#REF!</definedName>
    <definedName name="PAGE4">#REF!</definedName>
    <definedName name="PLANT_BLANCE" localSheetId="0">#REF!</definedName>
    <definedName name="PLANT_BLANCE" localSheetId="1">#REF!</definedName>
    <definedName name="PLANT_BLANCE" localSheetId="2">#REF!</definedName>
    <definedName name="PLANT_BLANCE" localSheetId="3">#REF!</definedName>
    <definedName name="PLANT_BLANCE">#REF!</definedName>
    <definedName name="_xlnm.Print_Area" localSheetId="0">'Sch. 1'!$A$1:$P$52</definedName>
    <definedName name="_xlnm.Print_Area" localSheetId="1">'Sch. 2'!$A$1:$K$46</definedName>
    <definedName name="_xlnm.Print_Area" localSheetId="2">'Sch. 3'!$A$1:$L$48</definedName>
    <definedName name="_xlnm.Print_Area" localSheetId="3">'Sch. 4'!$A$1:$L$49</definedName>
    <definedName name="_xlnm.Print_Area" localSheetId="4">'Sch. 5'!$A$1:$G$25</definedName>
    <definedName name="_xlnm.Print_Area" localSheetId="5">'Sch. F 2015'!$A$1:$P$50</definedName>
    <definedName name="_xlnm.Print_Area" localSheetId="6">'Sch. F 2015 Notes'!$A:$F</definedName>
    <definedName name="_xlnm.Print_Area" localSheetId="7">'Sch. F 2016'!$A$1:$P$50</definedName>
    <definedName name="_xlnm.Print_Area" localSheetId="8">'Sch. F 2016 Notes'!$A:$F</definedName>
    <definedName name="_xlnm.Print_Area" localSheetId="9">'Sch. F 2017'!$A$1:$P$50</definedName>
    <definedName name="_xlnm.Print_Area" localSheetId="10">'Sch. F 2017 Notes'!$A:$F</definedName>
    <definedName name="_xlnm.Print_Area" localSheetId="11">'Sch. F 2018'!$A$1:$P$50</definedName>
    <definedName name="_xlnm.Print_Area" localSheetId="12">'Sch. F 2018 Notes'!$A:$F</definedName>
    <definedName name="_xlnm.Print_Area" localSheetId="13">'Sch. F 2019'!$A$1:$P$51</definedName>
    <definedName name="_xlnm.Print_Area" localSheetId="14">'Sch. F 2019 Notes'!$A:$F</definedName>
    <definedName name="_xlnm.Print_Area" localSheetId="15">'Sch. J'!$A$1:$P$49</definedName>
    <definedName name="_xlnm.Print_Area">'Sch. 3'!$B$1:$B$1</definedName>
    <definedName name="RESERVE_BALANCE" localSheetId="0">#REF!</definedName>
    <definedName name="RESERVE_BALANCE" localSheetId="1">#REF!</definedName>
    <definedName name="RESERVE_BALANCE" localSheetId="2">#REF!</definedName>
    <definedName name="RESERVE_BALANCE" localSheetId="3">#REF!</definedName>
    <definedName name="RESERVE_BALANCE" localSheetId="8">#REF!</definedName>
    <definedName name="RESERVE_BALANCE" localSheetId="10">#REF!</definedName>
    <definedName name="RESERVE_BALANCE" localSheetId="12">#REF!</definedName>
    <definedName name="RESERVE_BALANCE" localSheetId="14">#REF!</definedName>
    <definedName name="RESERVE_BALANCE" localSheetId="15">#REF!</definedName>
    <definedName name="RESERVE_BALANCE">#REF!</definedName>
    <definedName name="RETIEMENTS" localSheetId="0">#REF!</definedName>
    <definedName name="RETIEMENTS" localSheetId="1">#REF!</definedName>
    <definedName name="RETIEMENTS" localSheetId="2">#REF!</definedName>
    <definedName name="RETIEMENTS" localSheetId="3">#REF!</definedName>
    <definedName name="SAL_COR" localSheetId="0">#REF!</definedName>
    <definedName name="SAL_COR" localSheetId="1">#REF!</definedName>
    <definedName name="SAL_COR" localSheetId="2">#REF!</definedName>
    <definedName name="SAL_COR" localSheetId="3">#REF!</definedName>
    <definedName name="Z_FBBC4FDD_0ED1_43AB_94C4_EA5ABB112CA5_.wvu.Cols" localSheetId="1" hidden="1">'Sch. 2'!$L:$L</definedName>
    <definedName name="Z_FBBC4FDD_0ED1_43AB_94C4_EA5ABB112CA5_.wvu.Cols" localSheetId="15" hidden="1">'Sch. J'!$Q:$Q</definedName>
    <definedName name="Z_FBBC4FDD_0ED1_43AB_94C4_EA5ABB112CA5_.wvu.PrintArea" localSheetId="0" hidden="1">'Sch. 1'!$A$1:$P$52</definedName>
    <definedName name="Z_FBBC4FDD_0ED1_43AB_94C4_EA5ABB112CA5_.wvu.PrintArea" localSheetId="1" hidden="1">'Sch. 2'!$A$1:$L$45</definedName>
    <definedName name="Z_FBBC4FDD_0ED1_43AB_94C4_EA5ABB112CA5_.wvu.PrintArea" localSheetId="3" hidden="1">'Sch. 4'!$A$1:$L$48</definedName>
    <definedName name="Z_FBBC4FDD_0ED1_43AB_94C4_EA5ABB112CA5_.wvu.PrintArea" localSheetId="5" hidden="1">'Sch. F 2015'!$A$1:$P$50</definedName>
    <definedName name="Z_FBBC4FDD_0ED1_43AB_94C4_EA5ABB112CA5_.wvu.PrintArea" localSheetId="6" hidden="1">'Sch. F 2015 Notes'!$A:$F</definedName>
    <definedName name="Z_FBBC4FDD_0ED1_43AB_94C4_EA5ABB112CA5_.wvu.PrintArea" localSheetId="7" hidden="1">'Sch. F 2016'!$A$1:$P$50</definedName>
    <definedName name="Z_FBBC4FDD_0ED1_43AB_94C4_EA5ABB112CA5_.wvu.PrintArea" localSheetId="8" hidden="1">'Sch. F 2016 Notes'!$A:$F</definedName>
    <definedName name="Z_FBBC4FDD_0ED1_43AB_94C4_EA5ABB112CA5_.wvu.PrintArea" localSheetId="9" hidden="1">'Sch. F 2017'!$A$1:$P$50</definedName>
    <definedName name="Z_FBBC4FDD_0ED1_43AB_94C4_EA5ABB112CA5_.wvu.PrintArea" localSheetId="10" hidden="1">'Sch. F 2017 Notes'!$A:$F</definedName>
    <definedName name="Z_FBBC4FDD_0ED1_43AB_94C4_EA5ABB112CA5_.wvu.PrintArea" localSheetId="11" hidden="1">'Sch. F 2018'!$A$1:$P$50</definedName>
    <definedName name="Z_FBBC4FDD_0ED1_43AB_94C4_EA5ABB112CA5_.wvu.PrintArea" localSheetId="12" hidden="1">'Sch. F 2018 Notes'!$A:$F</definedName>
    <definedName name="Z_FBBC4FDD_0ED1_43AB_94C4_EA5ABB112CA5_.wvu.PrintArea" localSheetId="13" hidden="1">'Sch. F 2019'!$A$1:$P$51</definedName>
    <definedName name="Z_FBBC4FDD_0ED1_43AB_94C4_EA5ABB112CA5_.wvu.PrintArea" localSheetId="14" hidden="1">'Sch. F 2019 Notes'!$A:$F</definedName>
    <definedName name="Z_FBBC4FDD_0ED1_43AB_94C4_EA5ABB112CA5_.wvu.PrintArea" localSheetId="15" hidden="1">'Sch. J'!$A$1:$P$49</definedName>
    <definedName name="Z_FBBC4FDD_0ED1_43AB_94C4_EA5ABB112CA5_.wvu.Rows" localSheetId="10" hidden="1">'Sch. F 2017 Notes'!$43:$55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9" i="6" l="1"/>
  <c r="B49" i="6"/>
  <c r="I48" i="6"/>
  <c r="B48" i="6"/>
  <c r="I47" i="6"/>
  <c r="B47" i="6"/>
  <c r="I46" i="6"/>
  <c r="B46" i="6"/>
  <c r="I45" i="6"/>
  <c r="B45" i="6"/>
  <c r="I44" i="6"/>
  <c r="B44" i="6"/>
  <c r="I43" i="6"/>
  <c r="B43" i="6"/>
  <c r="I42" i="6"/>
  <c r="B42" i="6"/>
  <c r="I41" i="6"/>
  <c r="B41" i="6"/>
  <c r="I40" i="6"/>
  <c r="B40" i="6"/>
  <c r="I39" i="6"/>
  <c r="B39" i="6"/>
  <c r="I38" i="6"/>
  <c r="B38" i="6"/>
  <c r="I37" i="6"/>
  <c r="B37" i="6"/>
  <c r="I36" i="6"/>
  <c r="B36" i="6"/>
  <c r="I35" i="6"/>
  <c r="B35" i="6"/>
  <c r="I34" i="6"/>
  <c r="B34" i="6"/>
  <c r="I33" i="6"/>
  <c r="B33" i="6"/>
  <c r="I32" i="6"/>
  <c r="B32" i="6"/>
  <c r="I31" i="6"/>
  <c r="B31" i="6"/>
  <c r="I30" i="6"/>
  <c r="B30" i="6"/>
  <c r="I29" i="6"/>
  <c r="B29" i="6"/>
  <c r="I28" i="6"/>
  <c r="B28" i="6"/>
  <c r="I27" i="6"/>
  <c r="B27" i="6"/>
  <c r="I26" i="6"/>
  <c r="B26" i="6"/>
  <c r="I25" i="6"/>
  <c r="B25" i="6"/>
  <c r="I24" i="6"/>
  <c r="B24" i="6"/>
  <c r="I23" i="6"/>
  <c r="B23" i="6"/>
  <c r="I22" i="6"/>
  <c r="B22" i="6"/>
  <c r="I21" i="6"/>
  <c r="B21" i="6"/>
  <c r="I20" i="6"/>
  <c r="B20" i="6"/>
  <c r="I19" i="6"/>
  <c r="B19" i="6"/>
  <c r="I18" i="6"/>
  <c r="B18" i="6"/>
  <c r="I17" i="6"/>
  <c r="B17" i="6"/>
  <c r="I16" i="6"/>
  <c r="B16" i="6"/>
  <c r="I15" i="6"/>
  <c r="B15" i="6"/>
  <c r="I14" i="6"/>
  <c r="B14" i="6"/>
  <c r="I13" i="6"/>
  <c r="B13" i="6"/>
  <c r="I12" i="6"/>
  <c r="B12" i="6"/>
  <c r="I11" i="6"/>
  <c r="B11" i="6"/>
  <c r="I10" i="6"/>
  <c r="B10" i="6"/>
  <c r="I9" i="6"/>
  <c r="B9" i="6"/>
  <c r="O50" i="15"/>
  <c r="N50" i="15"/>
  <c r="F50" i="15"/>
  <c r="D50" i="15"/>
  <c r="J49" i="15"/>
  <c r="H49" i="15"/>
  <c r="J48" i="15"/>
  <c r="H48" i="15"/>
  <c r="H47" i="15"/>
  <c r="J47" i="15"/>
  <c r="J46" i="15"/>
  <c r="H46" i="15"/>
  <c r="J45" i="15"/>
  <c r="H45" i="15"/>
  <c r="J44" i="15"/>
  <c r="H44" i="15"/>
  <c r="H43" i="15"/>
  <c r="J43" i="15"/>
  <c r="J42" i="15"/>
  <c r="H42" i="15"/>
  <c r="J41" i="15"/>
  <c r="H41" i="15"/>
  <c r="K40" i="15"/>
  <c r="J40" i="15"/>
  <c r="H40" i="15"/>
  <c r="J39" i="15"/>
  <c r="H39" i="15"/>
  <c r="K38" i="15"/>
  <c r="E24" i="16" s="1"/>
  <c r="J38" i="15"/>
  <c r="H38" i="15"/>
  <c r="H37" i="15"/>
  <c r="J37" i="15"/>
  <c r="J36" i="15"/>
  <c r="H36" i="15"/>
  <c r="J35" i="15"/>
  <c r="H35" i="15"/>
  <c r="K34" i="15"/>
  <c r="J34" i="15"/>
  <c r="H34" i="15"/>
  <c r="J33" i="15"/>
  <c r="H33" i="15"/>
  <c r="J32" i="15"/>
  <c r="I32" i="15"/>
  <c r="P32" i="15" s="1"/>
  <c r="H32" i="15"/>
  <c r="J31" i="15"/>
  <c r="H31" i="15"/>
  <c r="M30" i="15"/>
  <c r="H30" i="15"/>
  <c r="E13" i="16"/>
  <c r="H29" i="15"/>
  <c r="E12" i="16"/>
  <c r="J28" i="15"/>
  <c r="E19" i="16" s="1"/>
  <c r="H28" i="15"/>
  <c r="J27" i="15"/>
  <c r="E18" i="16" s="1"/>
  <c r="H27" i="15"/>
  <c r="L26" i="15"/>
  <c r="J26" i="15"/>
  <c r="H26" i="15"/>
  <c r="H25" i="15"/>
  <c r="J25" i="15"/>
  <c r="H24" i="15"/>
  <c r="J24" i="15"/>
  <c r="M23" i="15"/>
  <c r="L23" i="15"/>
  <c r="E30" i="16" s="1"/>
  <c r="J23" i="15"/>
  <c r="H23" i="15"/>
  <c r="M22" i="15"/>
  <c r="J22" i="15"/>
  <c r="H22" i="15"/>
  <c r="M21" i="15"/>
  <c r="E36" i="16" s="1"/>
  <c r="J21" i="15"/>
  <c r="H21" i="15"/>
  <c r="C21" i="15"/>
  <c r="J20" i="15"/>
  <c r="H20" i="15"/>
  <c r="H19" i="15"/>
  <c r="J19" i="15"/>
  <c r="J18" i="15"/>
  <c r="H18" i="15"/>
  <c r="J17" i="15"/>
  <c r="H17" i="15"/>
  <c r="M16" i="15"/>
  <c r="L16" i="15"/>
  <c r="L50" i="15" s="1"/>
  <c r="J16" i="15"/>
  <c r="H16" i="15"/>
  <c r="M15" i="15"/>
  <c r="E35" i="16" s="1"/>
  <c r="L15" i="15"/>
  <c r="H15" i="15"/>
  <c r="C15" i="15"/>
  <c r="C50" i="15" s="1"/>
  <c r="M14" i="15"/>
  <c r="H14" i="15"/>
  <c r="E14" i="15"/>
  <c r="E8" i="16" s="1"/>
  <c r="J13" i="15"/>
  <c r="H13" i="15"/>
  <c r="J12" i="15"/>
  <c r="H12" i="15"/>
  <c r="M11" i="15"/>
  <c r="E33" i="16" s="1"/>
  <c r="J11" i="15"/>
  <c r="H11" i="15"/>
  <c r="M10" i="15"/>
  <c r="L10" i="15"/>
  <c r="J10" i="15"/>
  <c r="H10" i="15"/>
  <c r="J9" i="15"/>
  <c r="H9" i="15"/>
  <c r="E20" i="14"/>
  <c r="E15" i="14"/>
  <c r="E8" i="14"/>
  <c r="E7" i="14"/>
  <c r="O50" i="13"/>
  <c r="N50" i="13"/>
  <c r="D50" i="13"/>
  <c r="J49" i="13"/>
  <c r="H49" i="13"/>
  <c r="H48" i="13"/>
  <c r="J48" i="13"/>
  <c r="J47" i="13"/>
  <c r="H47" i="13"/>
  <c r="J46" i="13"/>
  <c r="H46" i="13"/>
  <c r="J45" i="13"/>
  <c r="H45" i="13"/>
  <c r="H44" i="13"/>
  <c r="J44" i="13"/>
  <c r="J43" i="13"/>
  <c r="H43" i="13"/>
  <c r="J42" i="13"/>
  <c r="H42" i="13"/>
  <c r="G42" i="13"/>
  <c r="B42" i="15" s="1"/>
  <c r="G42" i="15" s="1"/>
  <c r="J41" i="13"/>
  <c r="H41" i="13"/>
  <c r="F41" i="13"/>
  <c r="E12" i="14" s="1"/>
  <c r="D41" i="13"/>
  <c r="J40" i="13"/>
  <c r="H40" i="13"/>
  <c r="J39" i="13"/>
  <c r="H39" i="13"/>
  <c r="F39" i="13"/>
  <c r="E11" i="14" s="1"/>
  <c r="D39" i="13"/>
  <c r="J38" i="13"/>
  <c r="H38" i="13"/>
  <c r="G38" i="13"/>
  <c r="B38" i="15" s="1"/>
  <c r="G38" i="15" s="1"/>
  <c r="H37" i="13"/>
  <c r="J37" i="13"/>
  <c r="H36" i="13"/>
  <c r="J36" i="13"/>
  <c r="B36" i="13"/>
  <c r="G36" i="13" s="1"/>
  <c r="B36" i="15" s="1"/>
  <c r="G36" i="15" s="1"/>
  <c r="H35" i="13"/>
  <c r="J35" i="13"/>
  <c r="K34" i="13"/>
  <c r="E14" i="14" s="1"/>
  <c r="H34" i="13"/>
  <c r="J34" i="13"/>
  <c r="H33" i="13"/>
  <c r="J33" i="13"/>
  <c r="J32" i="13"/>
  <c r="H32" i="13"/>
  <c r="J31" i="13"/>
  <c r="H31" i="13"/>
  <c r="H30" i="13"/>
  <c r="J30" i="13"/>
  <c r="H29" i="13"/>
  <c r="J29" i="13"/>
  <c r="M28" i="13"/>
  <c r="E23" i="14" s="1"/>
  <c r="L28" i="13"/>
  <c r="E19" i="14" s="1"/>
  <c r="J28" i="13"/>
  <c r="E13" i="14" s="1"/>
  <c r="H28" i="13"/>
  <c r="E9" i="14"/>
  <c r="M27" i="13"/>
  <c r="E22" i="14" s="1"/>
  <c r="L27" i="13"/>
  <c r="E18" i="14" s="1"/>
  <c r="H27" i="13"/>
  <c r="J27" i="13"/>
  <c r="M26" i="13"/>
  <c r="E21" i="14" s="1"/>
  <c r="L26" i="13"/>
  <c r="E17" i="14" s="1"/>
  <c r="H26" i="13"/>
  <c r="J26" i="13"/>
  <c r="P25" i="13"/>
  <c r="I25" i="15" s="1"/>
  <c r="H25" i="13"/>
  <c r="J25" i="13"/>
  <c r="H24" i="13"/>
  <c r="J24" i="13"/>
  <c r="P24" i="13" s="1"/>
  <c r="I24" i="15" s="1"/>
  <c r="P24" i="15" s="1"/>
  <c r="M23" i="13"/>
  <c r="M50" i="13" s="1"/>
  <c r="L23" i="13"/>
  <c r="L50" i="13" s="1"/>
  <c r="J23" i="13"/>
  <c r="H23" i="13"/>
  <c r="J22" i="13"/>
  <c r="H22" i="13"/>
  <c r="F22" i="13"/>
  <c r="C22" i="13"/>
  <c r="E6" i="14" s="1"/>
  <c r="H21" i="13"/>
  <c r="J21" i="13"/>
  <c r="C21" i="13"/>
  <c r="C50" i="13" s="1"/>
  <c r="H20" i="13"/>
  <c r="J20" i="13"/>
  <c r="P20" i="13" s="1"/>
  <c r="I20" i="15" s="1"/>
  <c r="P20" i="15" s="1"/>
  <c r="H19" i="13"/>
  <c r="J19" i="13"/>
  <c r="J18" i="13"/>
  <c r="H18" i="13"/>
  <c r="H17" i="13"/>
  <c r="J17" i="13"/>
  <c r="P17" i="13" s="1"/>
  <c r="I17" i="15" s="1"/>
  <c r="P17" i="15" s="1"/>
  <c r="H16" i="13"/>
  <c r="J16" i="13"/>
  <c r="J15" i="13"/>
  <c r="H15" i="13"/>
  <c r="H14" i="13"/>
  <c r="J14" i="13"/>
  <c r="H13" i="13"/>
  <c r="J13" i="13"/>
  <c r="J12" i="13"/>
  <c r="H12" i="13"/>
  <c r="B12" i="13"/>
  <c r="G12" i="13" s="1"/>
  <c r="B12" i="15" s="1"/>
  <c r="G12" i="15" s="1"/>
  <c r="H11" i="13"/>
  <c r="J11" i="13"/>
  <c r="H10" i="13"/>
  <c r="E50" i="13"/>
  <c r="J9" i="13"/>
  <c r="I9" i="13"/>
  <c r="H9" i="13"/>
  <c r="A4" i="13"/>
  <c r="A4" i="15" s="1"/>
  <c r="E31" i="12"/>
  <c r="E30" i="12"/>
  <c r="E29" i="12"/>
  <c r="E28" i="12"/>
  <c r="E27" i="12"/>
  <c r="E26" i="12"/>
  <c r="E25" i="12"/>
  <c r="E24" i="12"/>
  <c r="E23" i="12"/>
  <c r="E22" i="12"/>
  <c r="E20" i="12"/>
  <c r="E19" i="12"/>
  <c r="E18" i="12"/>
  <c r="E16" i="12"/>
  <c r="E14" i="12"/>
  <c r="E13" i="12"/>
  <c r="E11" i="12"/>
  <c r="E10" i="12"/>
  <c r="E9" i="12"/>
  <c r="E8" i="12"/>
  <c r="E7" i="12"/>
  <c r="E6" i="12"/>
  <c r="O50" i="11"/>
  <c r="N50" i="11"/>
  <c r="M50" i="11"/>
  <c r="L50" i="11"/>
  <c r="J50" i="11"/>
  <c r="F50" i="11"/>
  <c r="D50" i="11"/>
  <c r="C50" i="11"/>
  <c r="B50" i="11"/>
  <c r="P49" i="11"/>
  <c r="I49" i="13" s="1"/>
  <c r="H49" i="11"/>
  <c r="G49" i="11"/>
  <c r="B49" i="13" s="1"/>
  <c r="G49" i="13" s="1"/>
  <c r="B49" i="15" s="1"/>
  <c r="G49" i="15" s="1"/>
  <c r="P48" i="11"/>
  <c r="I48" i="13" s="1"/>
  <c r="P48" i="13" s="1"/>
  <c r="I48" i="15" s="1"/>
  <c r="P48" i="15" s="1"/>
  <c r="H48" i="11"/>
  <c r="G48" i="11"/>
  <c r="B48" i="13" s="1"/>
  <c r="G48" i="13" s="1"/>
  <c r="B48" i="15" s="1"/>
  <c r="G48" i="15" s="1"/>
  <c r="K47" i="11"/>
  <c r="P47" i="11" s="1"/>
  <c r="I47" i="13" s="1"/>
  <c r="P47" i="13" s="1"/>
  <c r="I47" i="15" s="1"/>
  <c r="P47" i="15" s="1"/>
  <c r="H47" i="11"/>
  <c r="G47" i="11"/>
  <c r="B47" i="13" s="1"/>
  <c r="G47" i="13" s="1"/>
  <c r="B47" i="15" s="1"/>
  <c r="G47" i="15" s="1"/>
  <c r="I46" i="11"/>
  <c r="P46" i="11" s="1"/>
  <c r="I46" i="13" s="1"/>
  <c r="P46" i="13" s="1"/>
  <c r="I46" i="15" s="1"/>
  <c r="P46" i="15" s="1"/>
  <c r="H46" i="11"/>
  <c r="G46" i="11"/>
  <c r="B46" i="13" s="1"/>
  <c r="G46" i="13" s="1"/>
  <c r="B46" i="15" s="1"/>
  <c r="G46" i="15" s="1"/>
  <c r="K45" i="11"/>
  <c r="P45" i="11" s="1"/>
  <c r="I45" i="13" s="1"/>
  <c r="P45" i="13" s="1"/>
  <c r="I45" i="15" s="1"/>
  <c r="P45" i="15" s="1"/>
  <c r="H45" i="11"/>
  <c r="G45" i="11"/>
  <c r="B45" i="13" s="1"/>
  <c r="G45" i="13" s="1"/>
  <c r="B45" i="15" s="1"/>
  <c r="G45" i="15" s="1"/>
  <c r="P44" i="11"/>
  <c r="I44" i="13" s="1"/>
  <c r="P44" i="13" s="1"/>
  <c r="I44" i="15" s="1"/>
  <c r="P44" i="15" s="1"/>
  <c r="H44" i="11"/>
  <c r="G44" i="11"/>
  <c r="B44" i="13" s="1"/>
  <c r="G44" i="13" s="1"/>
  <c r="B44" i="15" s="1"/>
  <c r="G44" i="15" s="1"/>
  <c r="P43" i="11"/>
  <c r="I43" i="13" s="1"/>
  <c r="P43" i="13" s="1"/>
  <c r="I43" i="15" s="1"/>
  <c r="P43" i="15" s="1"/>
  <c r="H43" i="11"/>
  <c r="G43" i="11"/>
  <c r="B43" i="13" s="1"/>
  <c r="G43" i="13" s="1"/>
  <c r="B43" i="15" s="1"/>
  <c r="G43" i="15" s="1"/>
  <c r="P42" i="11"/>
  <c r="I42" i="13" s="1"/>
  <c r="P42" i="13" s="1"/>
  <c r="I42" i="15" s="1"/>
  <c r="P42" i="15" s="1"/>
  <c r="H42" i="11"/>
  <c r="G42" i="11"/>
  <c r="B42" i="13" s="1"/>
  <c r="P41" i="11"/>
  <c r="I41" i="13" s="1"/>
  <c r="P41" i="13" s="1"/>
  <c r="I41" i="15" s="1"/>
  <c r="P41" i="15" s="1"/>
  <c r="H41" i="11"/>
  <c r="G41" i="11"/>
  <c r="B41" i="13" s="1"/>
  <c r="P40" i="11"/>
  <c r="I40" i="13" s="1"/>
  <c r="P40" i="13" s="1"/>
  <c r="I40" i="15" s="1"/>
  <c r="P40" i="15" s="1"/>
  <c r="H40" i="11"/>
  <c r="G40" i="11"/>
  <c r="B40" i="13" s="1"/>
  <c r="G40" i="13" s="1"/>
  <c r="B40" i="15" s="1"/>
  <c r="G40" i="15" s="1"/>
  <c r="P39" i="11"/>
  <c r="I39" i="13" s="1"/>
  <c r="K39" i="11"/>
  <c r="H39" i="11"/>
  <c r="G39" i="11"/>
  <c r="B39" i="13" s="1"/>
  <c r="G39" i="13" s="1"/>
  <c r="B39" i="15" s="1"/>
  <c r="G39" i="15" s="1"/>
  <c r="P38" i="11"/>
  <c r="I38" i="13" s="1"/>
  <c r="P38" i="13" s="1"/>
  <c r="I38" i="15" s="1"/>
  <c r="P38" i="15" s="1"/>
  <c r="H38" i="11"/>
  <c r="G38" i="11"/>
  <c r="B38" i="13" s="1"/>
  <c r="P37" i="11"/>
  <c r="I37" i="13" s="1"/>
  <c r="H37" i="11"/>
  <c r="G37" i="11"/>
  <c r="B37" i="13" s="1"/>
  <c r="G37" i="13" s="1"/>
  <c r="B37" i="15" s="1"/>
  <c r="G37" i="15" s="1"/>
  <c r="P36" i="11"/>
  <c r="I36" i="13" s="1"/>
  <c r="P36" i="13" s="1"/>
  <c r="I36" i="15" s="1"/>
  <c r="P36" i="15" s="1"/>
  <c r="H36" i="11"/>
  <c r="G36" i="11"/>
  <c r="P35" i="11"/>
  <c r="I35" i="13" s="1"/>
  <c r="P35" i="13" s="1"/>
  <c r="I35" i="15" s="1"/>
  <c r="P35" i="15" s="1"/>
  <c r="H35" i="11"/>
  <c r="G35" i="11"/>
  <c r="B35" i="13" s="1"/>
  <c r="G35" i="13" s="1"/>
  <c r="B35" i="15" s="1"/>
  <c r="G35" i="15" s="1"/>
  <c r="K34" i="11"/>
  <c r="E21" i="12" s="1"/>
  <c r="I34" i="11"/>
  <c r="E15" i="12" s="1"/>
  <c r="H34" i="11"/>
  <c r="G34" i="11"/>
  <c r="B34" i="13" s="1"/>
  <c r="G34" i="13" s="1"/>
  <c r="B34" i="15" s="1"/>
  <c r="G34" i="15" s="1"/>
  <c r="P33" i="11"/>
  <c r="I33" i="13" s="1"/>
  <c r="P33" i="13" s="1"/>
  <c r="I33" i="15" s="1"/>
  <c r="P33" i="15" s="1"/>
  <c r="K33" i="11"/>
  <c r="H33" i="11"/>
  <c r="G33" i="11"/>
  <c r="B33" i="13" s="1"/>
  <c r="G33" i="13" s="1"/>
  <c r="B33" i="15" s="1"/>
  <c r="G33" i="15" s="1"/>
  <c r="P32" i="11"/>
  <c r="I32" i="13" s="1"/>
  <c r="P32" i="13" s="1"/>
  <c r="H32" i="11"/>
  <c r="G32" i="11"/>
  <c r="B32" i="13" s="1"/>
  <c r="G32" i="13" s="1"/>
  <c r="B32" i="15" s="1"/>
  <c r="G32" i="15" s="1"/>
  <c r="P31" i="11"/>
  <c r="I31" i="13" s="1"/>
  <c r="P31" i="13" s="1"/>
  <c r="I31" i="15" s="1"/>
  <c r="P31" i="15" s="1"/>
  <c r="H31" i="11"/>
  <c r="G31" i="11"/>
  <c r="B31" i="13" s="1"/>
  <c r="G31" i="13" s="1"/>
  <c r="B31" i="15" s="1"/>
  <c r="G31" i="15" s="1"/>
  <c r="K30" i="11"/>
  <c r="K50" i="11" s="1"/>
  <c r="H30" i="11"/>
  <c r="G30" i="11"/>
  <c r="B30" i="13" s="1"/>
  <c r="G30" i="13" s="1"/>
  <c r="B30" i="15" s="1"/>
  <c r="G30" i="15" s="1"/>
  <c r="P29" i="11"/>
  <c r="I29" i="13" s="1"/>
  <c r="P29" i="13" s="1"/>
  <c r="I29" i="15" s="1"/>
  <c r="K29" i="11"/>
  <c r="H29" i="11"/>
  <c r="E12" i="12"/>
  <c r="P28" i="11"/>
  <c r="I28" i="13" s="1"/>
  <c r="H28" i="11"/>
  <c r="G28" i="11"/>
  <c r="B28" i="13" s="1"/>
  <c r="G28" i="13" s="1"/>
  <c r="B28" i="15" s="1"/>
  <c r="G28" i="15" s="1"/>
  <c r="P27" i="11"/>
  <c r="I27" i="13" s="1"/>
  <c r="H27" i="11"/>
  <c r="G27" i="11"/>
  <c r="B27" i="13" s="1"/>
  <c r="G27" i="13" s="1"/>
  <c r="B27" i="15" s="1"/>
  <c r="G27" i="15" s="1"/>
  <c r="K26" i="11"/>
  <c r="P26" i="11" s="1"/>
  <c r="I26" i="13" s="1"/>
  <c r="P26" i="13" s="1"/>
  <c r="I26" i="15" s="1"/>
  <c r="P26" i="15" s="1"/>
  <c r="H26" i="11"/>
  <c r="G26" i="11"/>
  <c r="B26" i="13" s="1"/>
  <c r="G26" i="13" s="1"/>
  <c r="B26" i="15" s="1"/>
  <c r="G26" i="15" s="1"/>
  <c r="P25" i="11"/>
  <c r="I25" i="13" s="1"/>
  <c r="H25" i="11"/>
  <c r="G25" i="11"/>
  <c r="B25" i="13" s="1"/>
  <c r="G25" i="13" s="1"/>
  <c r="B25" i="15" s="1"/>
  <c r="G25" i="15" s="1"/>
  <c r="P24" i="11"/>
  <c r="I24" i="13" s="1"/>
  <c r="H24" i="11"/>
  <c r="G24" i="11"/>
  <c r="B24" i="13" s="1"/>
  <c r="G24" i="13" s="1"/>
  <c r="B24" i="15" s="1"/>
  <c r="G24" i="15" s="1"/>
  <c r="P23" i="11"/>
  <c r="I23" i="13" s="1"/>
  <c r="K23" i="11"/>
  <c r="H23" i="11"/>
  <c r="G23" i="11"/>
  <c r="B23" i="13" s="1"/>
  <c r="G23" i="13" s="1"/>
  <c r="B23" i="15" s="1"/>
  <c r="G23" i="15" s="1"/>
  <c r="P22" i="11"/>
  <c r="I22" i="13" s="1"/>
  <c r="P22" i="13" s="1"/>
  <c r="I22" i="15" s="1"/>
  <c r="P22" i="15" s="1"/>
  <c r="H22" i="11"/>
  <c r="G22" i="11"/>
  <c r="B22" i="13" s="1"/>
  <c r="G22" i="13" s="1"/>
  <c r="B22" i="15" s="1"/>
  <c r="G22" i="15" s="1"/>
  <c r="P21" i="11"/>
  <c r="I21" i="13" s="1"/>
  <c r="H21" i="11"/>
  <c r="G21" i="11"/>
  <c r="B21" i="13" s="1"/>
  <c r="G21" i="13" s="1"/>
  <c r="B21" i="15" s="1"/>
  <c r="G21" i="15" s="1"/>
  <c r="P20" i="11"/>
  <c r="I20" i="13" s="1"/>
  <c r="H20" i="11"/>
  <c r="G20" i="11"/>
  <c r="B20" i="13" s="1"/>
  <c r="G20" i="13" s="1"/>
  <c r="B20" i="15" s="1"/>
  <c r="G20" i="15" s="1"/>
  <c r="P19" i="11"/>
  <c r="I19" i="13" s="1"/>
  <c r="P19" i="13" s="1"/>
  <c r="I19" i="15" s="1"/>
  <c r="P19" i="15" s="1"/>
  <c r="H19" i="11"/>
  <c r="G19" i="11"/>
  <c r="B19" i="13" s="1"/>
  <c r="G19" i="13" s="1"/>
  <c r="B19" i="15" s="1"/>
  <c r="G19" i="15" s="1"/>
  <c r="P18" i="11"/>
  <c r="I18" i="13" s="1"/>
  <c r="P18" i="13" s="1"/>
  <c r="I18" i="15" s="1"/>
  <c r="P18" i="15" s="1"/>
  <c r="H18" i="11"/>
  <c r="G18" i="11"/>
  <c r="B18" i="13" s="1"/>
  <c r="G18" i="13" s="1"/>
  <c r="B18" i="15" s="1"/>
  <c r="G18" i="15" s="1"/>
  <c r="P17" i="11"/>
  <c r="I17" i="13" s="1"/>
  <c r="H17" i="11"/>
  <c r="G17" i="11"/>
  <c r="B17" i="13" s="1"/>
  <c r="G17" i="13" s="1"/>
  <c r="B17" i="15" s="1"/>
  <c r="G17" i="15" s="1"/>
  <c r="K16" i="11"/>
  <c r="I16" i="11"/>
  <c r="E17" i="12" s="1"/>
  <c r="H16" i="11"/>
  <c r="G16" i="11"/>
  <c r="B16" i="13" s="1"/>
  <c r="G16" i="13" s="1"/>
  <c r="B16" i="15" s="1"/>
  <c r="G16" i="15" s="1"/>
  <c r="P15" i="11"/>
  <c r="I15" i="13" s="1"/>
  <c r="P15" i="13" s="1"/>
  <c r="I15" i="15" s="1"/>
  <c r="K15" i="11"/>
  <c r="H15" i="11"/>
  <c r="G15" i="11"/>
  <c r="B15" i="13" s="1"/>
  <c r="G15" i="13" s="1"/>
  <c r="B15" i="15" s="1"/>
  <c r="P14" i="11"/>
  <c r="I14" i="13" s="1"/>
  <c r="P14" i="13" s="1"/>
  <c r="I14" i="15" s="1"/>
  <c r="I14" i="11"/>
  <c r="I50" i="11" s="1"/>
  <c r="H14" i="11"/>
  <c r="E50" i="11"/>
  <c r="P13" i="11"/>
  <c r="I13" i="13" s="1"/>
  <c r="P13" i="13" s="1"/>
  <c r="I13" i="15" s="1"/>
  <c r="P13" i="15" s="1"/>
  <c r="H13" i="11"/>
  <c r="G13" i="11"/>
  <c r="B13" i="13" s="1"/>
  <c r="G13" i="13" s="1"/>
  <c r="B13" i="15" s="1"/>
  <c r="G13" i="15" s="1"/>
  <c r="P12" i="11"/>
  <c r="I12" i="13" s="1"/>
  <c r="P12" i="13" s="1"/>
  <c r="I12" i="15" s="1"/>
  <c r="P12" i="15" s="1"/>
  <c r="K12" i="11"/>
  <c r="H12" i="11"/>
  <c r="G12" i="11"/>
  <c r="P11" i="11"/>
  <c r="I11" i="13" s="1"/>
  <c r="P11" i="13" s="1"/>
  <c r="I11" i="15" s="1"/>
  <c r="P11" i="15" s="1"/>
  <c r="K11" i="11"/>
  <c r="H11" i="11"/>
  <c r="G11" i="11"/>
  <c r="B11" i="13" s="1"/>
  <c r="G11" i="13" s="1"/>
  <c r="B11" i="15" s="1"/>
  <c r="G11" i="15" s="1"/>
  <c r="P10" i="11"/>
  <c r="I10" i="13" s="1"/>
  <c r="H10" i="11"/>
  <c r="G10" i="11"/>
  <c r="B10" i="13" s="1"/>
  <c r="G10" i="13" s="1"/>
  <c r="B10" i="15" s="1"/>
  <c r="G10" i="15" s="1"/>
  <c r="P9" i="11"/>
  <c r="H9" i="11"/>
  <c r="G9" i="11"/>
  <c r="B9" i="13" s="1"/>
  <c r="P29" i="15" l="1"/>
  <c r="G9" i="13"/>
  <c r="P14" i="15"/>
  <c r="P21" i="13"/>
  <c r="I21" i="15" s="1"/>
  <c r="P21" i="15" s="1"/>
  <c r="J10" i="13"/>
  <c r="P10" i="13" s="1"/>
  <c r="I10" i="15" s="1"/>
  <c r="P10" i="15" s="1"/>
  <c r="P25" i="15"/>
  <c r="G14" i="11"/>
  <c r="B14" i="13" s="1"/>
  <c r="G14" i="13" s="1"/>
  <c r="B14" i="15" s="1"/>
  <c r="G14" i="15" s="1"/>
  <c r="G29" i="11"/>
  <c r="B29" i="13" s="1"/>
  <c r="G29" i="13" s="1"/>
  <c r="B29" i="15" s="1"/>
  <c r="G29" i="15" s="1"/>
  <c r="P30" i="11"/>
  <c r="I30" i="13" s="1"/>
  <c r="P30" i="13" s="1"/>
  <c r="I30" i="15" s="1"/>
  <c r="P34" i="11"/>
  <c r="I34" i="13" s="1"/>
  <c r="P34" i="13" s="1"/>
  <c r="I34" i="15" s="1"/>
  <c r="P34" i="15" s="1"/>
  <c r="J50" i="13"/>
  <c r="J30" i="15"/>
  <c r="E21" i="16" s="1"/>
  <c r="E22" i="16"/>
  <c r="K50" i="15"/>
  <c r="P16" i="11"/>
  <c r="I16" i="13" s="1"/>
  <c r="P16" i="13" s="1"/>
  <c r="I16" i="15" s="1"/>
  <c r="P16" i="15" s="1"/>
  <c r="P37" i="13"/>
  <c r="I37" i="15" s="1"/>
  <c r="P37" i="15" s="1"/>
  <c r="P39" i="13"/>
  <c r="I39" i="15" s="1"/>
  <c r="P39" i="15" s="1"/>
  <c r="G41" i="13"/>
  <c r="B41" i="15" s="1"/>
  <c r="G41" i="15" s="1"/>
  <c r="P9" i="13"/>
  <c r="P23" i="13"/>
  <c r="I23" i="15" s="1"/>
  <c r="P23" i="15" s="1"/>
  <c r="P27" i="13"/>
  <c r="I27" i="15" s="1"/>
  <c r="P27" i="15" s="1"/>
  <c r="P28" i="13"/>
  <c r="I28" i="15" s="1"/>
  <c r="P28" i="15" s="1"/>
  <c r="P49" i="13"/>
  <c r="I49" i="15" s="1"/>
  <c r="P49" i="15" s="1"/>
  <c r="E10" i="14"/>
  <c r="F50" i="13"/>
  <c r="E16" i="14"/>
  <c r="E32" i="16"/>
  <c r="M50" i="15"/>
  <c r="J14" i="15"/>
  <c r="J29" i="15"/>
  <c r="E20" i="16" s="1"/>
  <c r="K50" i="13"/>
  <c r="K49" i="10"/>
  <c r="G49" i="10"/>
  <c r="P48" i="10"/>
  <c r="P47" i="10"/>
  <c r="P46" i="10"/>
  <c r="P45" i="10"/>
  <c r="P44" i="10"/>
  <c r="P43" i="10"/>
  <c r="P42" i="10"/>
  <c r="P41" i="10"/>
  <c r="P40" i="10"/>
  <c r="P39" i="10"/>
  <c r="P38" i="10"/>
  <c r="P37" i="10"/>
  <c r="P36" i="10"/>
  <c r="P35" i="10"/>
  <c r="P34" i="10"/>
  <c r="O33" i="10"/>
  <c r="O49" i="10" s="1"/>
  <c r="N33" i="10"/>
  <c r="N49" i="10" s="1"/>
  <c r="M33" i="10"/>
  <c r="M49" i="10" s="1"/>
  <c r="L33" i="10"/>
  <c r="L49" i="10" s="1"/>
  <c r="K33" i="10"/>
  <c r="J33" i="10"/>
  <c r="J49" i="10" s="1"/>
  <c r="I33" i="10"/>
  <c r="I49" i="10" s="1"/>
  <c r="H33" i="10"/>
  <c r="H49" i="10" s="1"/>
  <c r="G33" i="10"/>
  <c r="F33" i="10"/>
  <c r="F49" i="10" s="1"/>
  <c r="E33" i="10"/>
  <c r="E49" i="10" s="1"/>
  <c r="D33" i="10"/>
  <c r="D49" i="10" s="1"/>
  <c r="P32" i="10"/>
  <c r="P31" i="10"/>
  <c r="P30" i="10"/>
  <c r="P29" i="10"/>
  <c r="P28" i="10"/>
  <c r="P27" i="10"/>
  <c r="P26" i="10"/>
  <c r="P25" i="10"/>
  <c r="P24" i="10"/>
  <c r="P23" i="10"/>
  <c r="P22" i="10"/>
  <c r="P21" i="10"/>
  <c r="P20" i="10"/>
  <c r="P19" i="10"/>
  <c r="P18" i="10"/>
  <c r="P17" i="10"/>
  <c r="P16" i="10"/>
  <c r="P15" i="10"/>
  <c r="P14" i="10"/>
  <c r="P13" i="10"/>
  <c r="P12" i="10"/>
  <c r="P11" i="10"/>
  <c r="P10" i="10"/>
  <c r="P9" i="10"/>
  <c r="P8" i="10"/>
  <c r="D48" i="9"/>
  <c r="B44" i="9"/>
  <c r="B43" i="9"/>
  <c r="B48" i="9" s="1"/>
  <c r="E41" i="9"/>
  <c r="C41" i="9"/>
  <c r="C48" i="9" s="1"/>
  <c r="E40" i="9"/>
  <c r="E48" i="9" s="1"/>
  <c r="E29" i="9"/>
  <c r="E9" i="9"/>
  <c r="E8" i="9"/>
  <c r="K49" i="8"/>
  <c r="J49" i="8"/>
  <c r="K48" i="8"/>
  <c r="J48" i="8"/>
  <c r="K47" i="8"/>
  <c r="J47" i="8"/>
  <c r="K46" i="8"/>
  <c r="J46" i="8"/>
  <c r="K45" i="8"/>
  <c r="J45" i="8"/>
  <c r="K44" i="8"/>
  <c r="J44" i="8"/>
  <c r="K43" i="8"/>
  <c r="J43" i="8"/>
  <c r="O42" i="8"/>
  <c r="K42" i="8"/>
  <c r="J42" i="8"/>
  <c r="E10" i="9"/>
  <c r="O41" i="8"/>
  <c r="E31" i="9" s="1"/>
  <c r="K41" i="8"/>
  <c r="J41" i="8"/>
  <c r="O40" i="8"/>
  <c r="E30" i="9" s="1"/>
  <c r="K40" i="8"/>
  <c r="F40" i="8"/>
  <c r="E13" i="9" s="1"/>
  <c r="J40" i="8"/>
  <c r="E11" i="9"/>
  <c r="K39" i="8"/>
  <c r="J39" i="8"/>
  <c r="F39" i="8"/>
  <c r="E12" i="9" s="1"/>
  <c r="K38" i="8"/>
  <c r="J38" i="8"/>
  <c r="E7" i="9"/>
  <c r="K37" i="8"/>
  <c r="J37" i="8"/>
  <c r="K36" i="8"/>
  <c r="J36" i="8"/>
  <c r="K35" i="8"/>
  <c r="J35" i="8"/>
  <c r="E6" i="9"/>
  <c r="J34" i="8"/>
  <c r="K33" i="8"/>
  <c r="H33" i="8"/>
  <c r="J33" i="8"/>
  <c r="K32" i="8"/>
  <c r="H32" i="8"/>
  <c r="J32" i="8"/>
  <c r="K31" i="8"/>
  <c r="H31" i="8"/>
  <c r="J31" i="8"/>
  <c r="O30" i="8"/>
  <c r="E57" i="9" s="1"/>
  <c r="K30" i="8"/>
  <c r="H30" i="8"/>
  <c r="J30" i="8"/>
  <c r="O29" i="8"/>
  <c r="E56" i="9" s="1"/>
  <c r="E27" i="9"/>
  <c r="K29" i="8"/>
  <c r="H29" i="8"/>
  <c r="J29" i="8"/>
  <c r="O28" i="8"/>
  <c r="E55" i="9" s="1"/>
  <c r="E26" i="9"/>
  <c r="E19" i="9"/>
  <c r="K28" i="8"/>
  <c r="H28" i="8"/>
  <c r="J28" i="8"/>
  <c r="O27" i="8"/>
  <c r="E54" i="9" s="1"/>
  <c r="E25" i="9"/>
  <c r="E18" i="9"/>
  <c r="K27" i="8"/>
  <c r="H27" i="8"/>
  <c r="J27" i="8"/>
  <c r="E15" i="9" s="1"/>
  <c r="O26" i="8"/>
  <c r="E53" i="9" s="1"/>
  <c r="E24" i="9"/>
  <c r="E17" i="9"/>
  <c r="K26" i="8"/>
  <c r="H26" i="8"/>
  <c r="J26" i="8"/>
  <c r="E14" i="9" s="1"/>
  <c r="E23" i="9"/>
  <c r="K25" i="8"/>
  <c r="H25" i="8"/>
  <c r="J25" i="8"/>
  <c r="K24" i="8"/>
  <c r="H24" i="8"/>
  <c r="J24" i="8"/>
  <c r="O23" i="8"/>
  <c r="E52" i="9" s="1"/>
  <c r="E22" i="9"/>
  <c r="E16" i="9"/>
  <c r="K23" i="8"/>
  <c r="H23" i="8"/>
  <c r="J23" i="8"/>
  <c r="O22" i="8"/>
  <c r="E51" i="9" s="1"/>
  <c r="E21" i="9"/>
  <c r="K22" i="8"/>
  <c r="H22" i="8"/>
  <c r="J22" i="8"/>
  <c r="K21" i="8"/>
  <c r="H21" i="8"/>
  <c r="J21" i="8"/>
  <c r="K20" i="8"/>
  <c r="H20" i="8"/>
  <c r="J20" i="8"/>
  <c r="K19" i="8"/>
  <c r="H19" i="8"/>
  <c r="J19" i="8"/>
  <c r="K18" i="8"/>
  <c r="H18" i="8"/>
  <c r="J18" i="8"/>
  <c r="K17" i="8"/>
  <c r="H17" i="8"/>
  <c r="J17" i="8"/>
  <c r="E20" i="9"/>
  <c r="K16" i="8"/>
  <c r="H16" i="8"/>
  <c r="J16" i="8"/>
  <c r="K15" i="8"/>
  <c r="H15" i="8"/>
  <c r="J15" i="8"/>
  <c r="K14" i="8"/>
  <c r="H14" i="8"/>
  <c r="J14" i="8"/>
  <c r="K13" i="8"/>
  <c r="H13" i="8"/>
  <c r="J13" i="8"/>
  <c r="K12" i="8"/>
  <c r="H12" i="8"/>
  <c r="J12" i="8"/>
  <c r="K11" i="8"/>
  <c r="H11" i="8"/>
  <c r="J11" i="8"/>
  <c r="K10" i="8"/>
  <c r="H10" i="8"/>
  <c r="J10" i="8"/>
  <c r="K9" i="8"/>
  <c r="H9" i="8"/>
  <c r="C50" i="8"/>
  <c r="C23" i="7"/>
  <c r="C27" i="7" s="1"/>
  <c r="E16" i="7"/>
  <c r="E15" i="7"/>
  <c r="E14" i="7"/>
  <c r="D12" i="7"/>
  <c r="D10" i="7"/>
  <c r="D9" i="7"/>
  <c r="D8" i="7"/>
  <c r="E6" i="7"/>
  <c r="O50" i="6"/>
  <c r="N50" i="6"/>
  <c r="M50" i="6"/>
  <c r="L50" i="6"/>
  <c r="F50" i="6"/>
  <c r="H49" i="6"/>
  <c r="H49" i="8" s="1"/>
  <c r="G49" i="6"/>
  <c r="B49" i="8" s="1"/>
  <c r="G49" i="8" s="1"/>
  <c r="H48" i="6"/>
  <c r="H48" i="8" s="1"/>
  <c r="J48" i="6"/>
  <c r="H47" i="6"/>
  <c r="H47" i="8" s="1"/>
  <c r="J47" i="6"/>
  <c r="H46" i="6"/>
  <c r="H46" i="8" s="1"/>
  <c r="J46" i="6"/>
  <c r="G46" i="6"/>
  <c r="B46" i="8" s="1"/>
  <c r="H45" i="6"/>
  <c r="H45" i="8" s="1"/>
  <c r="H44" i="6"/>
  <c r="H44" i="8" s="1"/>
  <c r="J44" i="6"/>
  <c r="G44" i="6"/>
  <c r="B44" i="8" s="1"/>
  <c r="H43" i="6"/>
  <c r="H43" i="8" s="1"/>
  <c r="J43" i="6"/>
  <c r="G43" i="6"/>
  <c r="B43" i="8" s="1"/>
  <c r="H42" i="6"/>
  <c r="H42" i="8" s="1"/>
  <c r="J42" i="6"/>
  <c r="P42" i="6" s="1"/>
  <c r="I42" i="8" s="1"/>
  <c r="G42" i="6"/>
  <c r="B42" i="8" s="1"/>
  <c r="G42" i="8" s="1"/>
  <c r="C43" i="1" s="1"/>
  <c r="H41" i="6"/>
  <c r="H41" i="8" s="1"/>
  <c r="G41" i="6"/>
  <c r="B41" i="8" s="1"/>
  <c r="K40" i="6"/>
  <c r="K50" i="6" s="1"/>
  <c r="H40" i="6"/>
  <c r="H40" i="8" s="1"/>
  <c r="E10" i="7"/>
  <c r="D40" i="6"/>
  <c r="D50" i="6" s="1"/>
  <c r="H39" i="6"/>
  <c r="H39" i="8" s="1"/>
  <c r="G39" i="6"/>
  <c r="B39" i="8" s="1"/>
  <c r="G39" i="8" s="1"/>
  <c r="C40" i="1" s="1"/>
  <c r="H38" i="6"/>
  <c r="H38" i="8" s="1"/>
  <c r="J38" i="6"/>
  <c r="C38" i="6"/>
  <c r="E7" i="7" s="1"/>
  <c r="G38" i="6"/>
  <c r="B38" i="8" s="1"/>
  <c r="H37" i="6"/>
  <c r="H37" i="8" s="1"/>
  <c r="J37" i="6"/>
  <c r="G37" i="6"/>
  <c r="B37" i="8" s="1"/>
  <c r="H36" i="6"/>
  <c r="H36" i="8" s="1"/>
  <c r="J36" i="6"/>
  <c r="G36" i="6"/>
  <c r="B36" i="8" s="1"/>
  <c r="H35" i="6"/>
  <c r="H35" i="8" s="1"/>
  <c r="J35" i="6"/>
  <c r="P35" i="6" s="1"/>
  <c r="I35" i="8" s="1"/>
  <c r="P35" i="8" s="1"/>
  <c r="G35" i="6"/>
  <c r="B35" i="8" s="1"/>
  <c r="G35" i="8" s="1"/>
  <c r="H34" i="6"/>
  <c r="H34" i="8" s="1"/>
  <c r="G34" i="6"/>
  <c r="B34" i="8" s="1"/>
  <c r="G34" i="8" s="1"/>
  <c r="H33" i="6"/>
  <c r="J33" i="6"/>
  <c r="J32" i="6"/>
  <c r="H32" i="6"/>
  <c r="G32" i="6"/>
  <c r="B32" i="8" s="1"/>
  <c r="G32" i="8" s="1"/>
  <c r="J31" i="6"/>
  <c r="H31" i="6"/>
  <c r="G31" i="6"/>
  <c r="B31" i="8" s="1"/>
  <c r="H30" i="6"/>
  <c r="J30" i="6"/>
  <c r="H29" i="6"/>
  <c r="G29" i="6"/>
  <c r="B29" i="8" s="1"/>
  <c r="J29" i="6"/>
  <c r="P29" i="6" s="1"/>
  <c r="I29" i="8" s="1"/>
  <c r="H28" i="6"/>
  <c r="E9" i="7"/>
  <c r="H27" i="6"/>
  <c r="J27" i="6"/>
  <c r="H26" i="6"/>
  <c r="J26" i="6"/>
  <c r="H25" i="6"/>
  <c r="J25" i="6"/>
  <c r="G25" i="6"/>
  <c r="B25" i="8" s="1"/>
  <c r="G25" i="8" s="1"/>
  <c r="C30" i="1" s="1"/>
  <c r="H24" i="6"/>
  <c r="H23" i="6"/>
  <c r="H22" i="6"/>
  <c r="J22" i="6"/>
  <c r="H21" i="6"/>
  <c r="J21" i="6"/>
  <c r="G21" i="6"/>
  <c r="B21" i="8" s="1"/>
  <c r="H20" i="6"/>
  <c r="H19" i="6"/>
  <c r="J19" i="6"/>
  <c r="G19" i="6"/>
  <c r="B19" i="8" s="1"/>
  <c r="J18" i="6"/>
  <c r="H18" i="6"/>
  <c r="G18" i="6"/>
  <c r="B18" i="8" s="1"/>
  <c r="H17" i="6"/>
  <c r="H16" i="6"/>
  <c r="J16" i="6"/>
  <c r="G16" i="6"/>
  <c r="B16" i="8" s="1"/>
  <c r="G16" i="8" s="1"/>
  <c r="C19" i="1" s="1"/>
  <c r="J15" i="6"/>
  <c r="H15" i="6"/>
  <c r="G15" i="6"/>
  <c r="B15" i="8" s="1"/>
  <c r="H14" i="6"/>
  <c r="H13" i="6"/>
  <c r="J13" i="6"/>
  <c r="G13" i="6"/>
  <c r="B13" i="8" s="1"/>
  <c r="H12" i="6"/>
  <c r="J12" i="6"/>
  <c r="G12" i="6"/>
  <c r="B12" i="8" s="1"/>
  <c r="G12" i="8" s="1"/>
  <c r="C15" i="1" s="1"/>
  <c r="H11" i="6"/>
  <c r="J11" i="6"/>
  <c r="P11" i="6" s="1"/>
  <c r="I11" i="8" s="1"/>
  <c r="G11" i="6"/>
  <c r="B11" i="8" s="1"/>
  <c r="H10" i="6"/>
  <c r="J9" i="6"/>
  <c r="H9" i="6"/>
  <c r="C6" i="5"/>
  <c r="J38" i="4"/>
  <c r="J32" i="4"/>
  <c r="J30" i="4"/>
  <c r="J15" i="4"/>
  <c r="J14" i="4"/>
  <c r="J13" i="4"/>
  <c r="D6" i="4"/>
  <c r="F42" i="3"/>
  <c r="F41" i="3"/>
  <c r="F40" i="3"/>
  <c r="F39" i="3"/>
  <c r="F38" i="3"/>
  <c r="F37" i="3"/>
  <c r="F33" i="3"/>
  <c r="F32" i="3"/>
  <c r="F31" i="3"/>
  <c r="F30" i="3"/>
  <c r="F29" i="3"/>
  <c r="F28" i="3"/>
  <c r="F27" i="3"/>
  <c r="F26" i="3"/>
  <c r="F25" i="3"/>
  <c r="F24" i="3"/>
  <c r="F23" i="3"/>
  <c r="F22" i="3"/>
  <c r="F18" i="3"/>
  <c r="F17" i="3"/>
  <c r="F16" i="3"/>
  <c r="F15" i="3"/>
  <c r="F14" i="3"/>
  <c r="F13" i="3"/>
  <c r="F12" i="3"/>
  <c r="F11" i="3"/>
  <c r="C7" i="3"/>
  <c r="D43" i="2"/>
  <c r="C43" i="2"/>
  <c r="G42" i="2"/>
  <c r="K41" i="4" s="1"/>
  <c r="D42" i="2"/>
  <c r="C42" i="2"/>
  <c r="G41" i="2"/>
  <c r="K40" i="4" s="1"/>
  <c r="D41" i="2"/>
  <c r="C41" i="2"/>
  <c r="G40" i="2"/>
  <c r="K39" i="4" s="1"/>
  <c r="D40" i="2"/>
  <c r="C40" i="2"/>
  <c r="H39" i="2"/>
  <c r="L38" i="4" s="1"/>
  <c r="G39" i="2"/>
  <c r="K38" i="4" s="1"/>
  <c r="D39" i="2"/>
  <c r="C39" i="2"/>
  <c r="G38" i="2"/>
  <c r="K37" i="4" s="1"/>
  <c r="D38" i="2"/>
  <c r="C38" i="2"/>
  <c r="G34" i="2"/>
  <c r="K33" i="4" s="1"/>
  <c r="D34" i="2"/>
  <c r="C34" i="2"/>
  <c r="H33" i="2"/>
  <c r="L32" i="4" s="1"/>
  <c r="G33" i="2"/>
  <c r="K32" i="4" s="1"/>
  <c r="G32" i="4" s="1"/>
  <c r="D33" i="2"/>
  <c r="C33" i="2"/>
  <c r="G32" i="2"/>
  <c r="K31" i="4" s="1"/>
  <c r="D32" i="2"/>
  <c r="C32" i="2"/>
  <c r="H31" i="2"/>
  <c r="L30" i="4" s="1"/>
  <c r="G31" i="2"/>
  <c r="K30" i="4" s="1"/>
  <c r="G30" i="4" s="1"/>
  <c r="D31" i="2"/>
  <c r="C31" i="2"/>
  <c r="G30" i="2"/>
  <c r="K29" i="4" s="1"/>
  <c r="D30" i="2"/>
  <c r="C30" i="2"/>
  <c r="H29" i="2"/>
  <c r="L28" i="4" s="1"/>
  <c r="G29" i="2"/>
  <c r="K28" i="4" s="1"/>
  <c r="D29" i="2"/>
  <c r="C29" i="2"/>
  <c r="G28" i="2"/>
  <c r="K27" i="4" s="1"/>
  <c r="D28" i="2"/>
  <c r="C28" i="2"/>
  <c r="G27" i="2"/>
  <c r="K26" i="4" s="1"/>
  <c r="D27" i="2"/>
  <c r="C27" i="2"/>
  <c r="H26" i="2"/>
  <c r="G26" i="2"/>
  <c r="K25" i="4" s="1"/>
  <c r="D26" i="2"/>
  <c r="C26" i="2"/>
  <c r="G25" i="2"/>
  <c r="K24" i="4" s="1"/>
  <c r="D25" i="2"/>
  <c r="C25" i="2"/>
  <c r="G24" i="2"/>
  <c r="K23" i="4" s="1"/>
  <c r="D24" i="2"/>
  <c r="C24" i="2"/>
  <c r="G23" i="2"/>
  <c r="K22" i="4" s="1"/>
  <c r="D23" i="2"/>
  <c r="C23" i="2"/>
  <c r="G19" i="2"/>
  <c r="K18" i="4" s="1"/>
  <c r="D19" i="2"/>
  <c r="C19" i="2"/>
  <c r="G18" i="2"/>
  <c r="K17" i="4" s="1"/>
  <c r="D18" i="2"/>
  <c r="C18" i="2"/>
  <c r="G17" i="2"/>
  <c r="K16" i="4" s="1"/>
  <c r="D17" i="2"/>
  <c r="C17" i="2"/>
  <c r="H16" i="2"/>
  <c r="L15" i="4" s="1"/>
  <c r="G16" i="2"/>
  <c r="K15" i="4" s="1"/>
  <c r="G15" i="4" s="1"/>
  <c r="D16" i="2"/>
  <c r="C16" i="2"/>
  <c r="H15" i="2"/>
  <c r="L14" i="4" s="1"/>
  <c r="D15" i="2"/>
  <c r="C15" i="2"/>
  <c r="H14" i="2"/>
  <c r="L13" i="4" s="1"/>
  <c r="G14" i="2"/>
  <c r="K13" i="4" s="1"/>
  <c r="G13" i="4" s="1"/>
  <c r="D14" i="2"/>
  <c r="C14" i="2"/>
  <c r="G13" i="2"/>
  <c r="K12" i="4" s="1"/>
  <c r="D13" i="2"/>
  <c r="C13" i="2"/>
  <c r="G12" i="2"/>
  <c r="K11" i="4" s="1"/>
  <c r="D12" i="2"/>
  <c r="C12" i="2"/>
  <c r="I7" i="2"/>
  <c r="N44" i="1"/>
  <c r="L44" i="1"/>
  <c r="M44" i="1" s="1"/>
  <c r="G43" i="2" s="1"/>
  <c r="K42" i="4" s="1"/>
  <c r="N43" i="1"/>
  <c r="L43" i="1"/>
  <c r="N42" i="1"/>
  <c r="N41" i="1"/>
  <c r="N39" i="1"/>
  <c r="L39" i="1"/>
  <c r="N35" i="1"/>
  <c r="L35" i="1"/>
  <c r="N33" i="1"/>
  <c r="L33" i="1"/>
  <c r="I32" i="1"/>
  <c r="N31" i="1"/>
  <c r="J29" i="4" s="1"/>
  <c r="L31" i="1"/>
  <c r="L30" i="1"/>
  <c r="J28" i="4" s="1"/>
  <c r="N29" i="1"/>
  <c r="L29" i="1"/>
  <c r="N28" i="1"/>
  <c r="L27" i="1"/>
  <c r="J25" i="4" s="1"/>
  <c r="N26" i="1"/>
  <c r="N25" i="1"/>
  <c r="J23" i="4" s="1"/>
  <c r="L25" i="1"/>
  <c r="I25" i="1"/>
  <c r="N24" i="1"/>
  <c r="L24" i="1"/>
  <c r="N20" i="1"/>
  <c r="J18" i="4" s="1"/>
  <c r="I20" i="1"/>
  <c r="N19" i="1"/>
  <c r="J17" i="4" s="1"/>
  <c r="N18" i="1"/>
  <c r="J16" i="4" s="1"/>
  <c r="M16" i="1"/>
  <c r="G15" i="2" s="1"/>
  <c r="K14" i="4" s="1"/>
  <c r="G14" i="4" s="1"/>
  <c r="I16" i="1"/>
  <c r="N14" i="1"/>
  <c r="J12" i="4" s="1"/>
  <c r="N13" i="1"/>
  <c r="J11" i="4" s="1"/>
  <c r="D8" i="1"/>
  <c r="J15" i="15" l="1"/>
  <c r="E9" i="16"/>
  <c r="E50" i="15"/>
  <c r="P30" i="15"/>
  <c r="B9" i="15"/>
  <c r="G50" i="13"/>
  <c r="I50" i="13"/>
  <c r="P50" i="13"/>
  <c r="I9" i="15"/>
  <c r="B50" i="13"/>
  <c r="P50" i="11"/>
  <c r="E16" i="16"/>
  <c r="J50" i="15"/>
  <c r="G50" i="11"/>
  <c r="G15" i="15"/>
  <c r="M50" i="8"/>
  <c r="G11" i="8"/>
  <c r="C14" i="1" s="1"/>
  <c r="G15" i="8"/>
  <c r="C18" i="1" s="1"/>
  <c r="D16" i="4" s="1"/>
  <c r="G19" i="8"/>
  <c r="C24" i="1" s="1"/>
  <c r="D22" i="4" s="1"/>
  <c r="G43" i="8"/>
  <c r="E50" i="8"/>
  <c r="G13" i="8"/>
  <c r="C16" i="1" s="1"/>
  <c r="D14" i="4" s="1"/>
  <c r="H14" i="4" s="1"/>
  <c r="D9" i="5" s="1"/>
  <c r="G21" i="8"/>
  <c r="C26" i="1" s="1"/>
  <c r="C24" i="3" s="1"/>
  <c r="G24" i="3" s="1"/>
  <c r="P29" i="8"/>
  <c r="D34" i="1" s="1"/>
  <c r="I33" i="2" s="1"/>
  <c r="K33" i="2" s="1"/>
  <c r="I32" i="3" s="1"/>
  <c r="G44" i="8"/>
  <c r="G46" i="8"/>
  <c r="C44" i="1" s="1"/>
  <c r="C42" i="3" s="1"/>
  <c r="G42" i="3" s="1"/>
  <c r="P11" i="8"/>
  <c r="C8" i="5" s="1"/>
  <c r="G29" i="8"/>
  <c r="C34" i="1" s="1"/>
  <c r="D32" i="4" s="1"/>
  <c r="H32" i="4" s="1"/>
  <c r="G36" i="8"/>
  <c r="G37" i="8"/>
  <c r="G38" i="8"/>
  <c r="G41" i="8"/>
  <c r="C42" i="1" s="1"/>
  <c r="D40" i="4" s="1"/>
  <c r="P42" i="8"/>
  <c r="D43" i="1" s="1"/>
  <c r="N40" i="8"/>
  <c r="E28" i="9" s="1"/>
  <c r="I50" i="6"/>
  <c r="G14" i="6"/>
  <c r="B14" i="8" s="1"/>
  <c r="G14" i="8" s="1"/>
  <c r="C17" i="1" s="1"/>
  <c r="D15" i="4" s="1"/>
  <c r="H15" i="4" s="1"/>
  <c r="D10" i="5" s="1"/>
  <c r="G17" i="6"/>
  <c r="B17" i="8" s="1"/>
  <c r="G17" i="8" s="1"/>
  <c r="C20" i="1" s="1"/>
  <c r="G20" i="6"/>
  <c r="B20" i="8" s="1"/>
  <c r="G20" i="8" s="1"/>
  <c r="C25" i="1" s="1"/>
  <c r="D23" i="4" s="1"/>
  <c r="P21" i="6"/>
  <c r="I21" i="8" s="1"/>
  <c r="P21" i="8" s="1"/>
  <c r="D26" i="1" s="1"/>
  <c r="E24" i="4" s="1"/>
  <c r="G22" i="6"/>
  <c r="B22" i="8" s="1"/>
  <c r="G22" i="8" s="1"/>
  <c r="C27" i="1" s="1"/>
  <c r="C25" i="3" s="1"/>
  <c r="G25" i="3" s="1"/>
  <c r="G24" i="6"/>
  <c r="B24" i="8" s="1"/>
  <c r="G24" i="8" s="1"/>
  <c r="C29" i="1" s="1"/>
  <c r="P25" i="6"/>
  <c r="I25" i="8" s="1"/>
  <c r="P25" i="8" s="1"/>
  <c r="D30" i="1" s="1"/>
  <c r="P30" i="6"/>
  <c r="I30" i="8" s="1"/>
  <c r="P30" i="8" s="1"/>
  <c r="D35" i="1" s="1"/>
  <c r="D33" i="3" s="1"/>
  <c r="P31" i="6"/>
  <c r="I31" i="8" s="1"/>
  <c r="P31" i="8" s="1"/>
  <c r="P32" i="6"/>
  <c r="I32" i="8" s="1"/>
  <c r="P32" i="8" s="1"/>
  <c r="G45" i="6"/>
  <c r="B45" i="8" s="1"/>
  <c r="G45" i="8" s="1"/>
  <c r="P46" i="6"/>
  <c r="I46" i="8" s="1"/>
  <c r="P46" i="8" s="1"/>
  <c r="D44" i="1" s="1"/>
  <c r="D42" i="3" s="1"/>
  <c r="G47" i="6"/>
  <c r="B47" i="8" s="1"/>
  <c r="G47" i="8" s="1"/>
  <c r="G48" i="6"/>
  <c r="B48" i="8" s="1"/>
  <c r="G48" i="8" s="1"/>
  <c r="P15" i="6"/>
  <c r="I15" i="8" s="1"/>
  <c r="P15" i="8" s="1"/>
  <c r="C11" i="5" s="1"/>
  <c r="P18" i="6"/>
  <c r="I18" i="8" s="1"/>
  <c r="P18" i="8" s="1"/>
  <c r="G30" i="6"/>
  <c r="B30" i="8" s="1"/>
  <c r="G30" i="8" s="1"/>
  <c r="C35" i="1" s="1"/>
  <c r="C33" i="3" s="1"/>
  <c r="G33" i="3" s="1"/>
  <c r="B50" i="6"/>
  <c r="G10" i="6"/>
  <c r="B10" i="8" s="1"/>
  <c r="G10" i="8" s="1"/>
  <c r="C13" i="1" s="1"/>
  <c r="C11" i="3" s="1"/>
  <c r="G11" i="3" s="1"/>
  <c r="G33" i="6"/>
  <c r="B33" i="8" s="1"/>
  <c r="G33" i="8" s="1"/>
  <c r="C39" i="1" s="1"/>
  <c r="D37" i="4" s="1"/>
  <c r="P26" i="6"/>
  <c r="I26" i="8" s="1"/>
  <c r="P26" i="8" s="1"/>
  <c r="D31" i="1" s="1"/>
  <c r="E8" i="7"/>
  <c r="G26" i="6"/>
  <c r="B26" i="8" s="1"/>
  <c r="G26" i="8" s="1"/>
  <c r="C31" i="1" s="1"/>
  <c r="D29" i="4" s="1"/>
  <c r="G27" i="6"/>
  <c r="B27" i="8" s="1"/>
  <c r="G27" i="8" s="1"/>
  <c r="C32" i="1" s="1"/>
  <c r="D30" i="4" s="1"/>
  <c r="H30" i="4" s="1"/>
  <c r="L50" i="8"/>
  <c r="E58" i="9"/>
  <c r="C14" i="3"/>
  <c r="G14" i="3" s="1"/>
  <c r="H25" i="2"/>
  <c r="J24" i="4"/>
  <c r="H27" i="2"/>
  <c r="J26" i="4"/>
  <c r="E29" i="4"/>
  <c r="C30" i="3"/>
  <c r="G30" i="3" s="1"/>
  <c r="D33" i="4"/>
  <c r="D38" i="4"/>
  <c r="C38" i="3"/>
  <c r="G38" i="3" s="1"/>
  <c r="I42" i="2"/>
  <c r="D41" i="3"/>
  <c r="E41" i="4"/>
  <c r="J42" i="4"/>
  <c r="H43" i="2"/>
  <c r="H17" i="2"/>
  <c r="D17" i="4"/>
  <c r="C17" i="3"/>
  <c r="G17" i="3" s="1"/>
  <c r="C18" i="3"/>
  <c r="G18" i="3" s="1"/>
  <c r="D18" i="4"/>
  <c r="D12" i="4"/>
  <c r="C12" i="3"/>
  <c r="G12" i="3" s="1"/>
  <c r="D13" i="4"/>
  <c r="H13" i="4" s="1"/>
  <c r="C13" i="3"/>
  <c r="C15" i="3"/>
  <c r="G15" i="3" s="1"/>
  <c r="J27" i="4"/>
  <c r="C32" i="3"/>
  <c r="G32" i="3" s="1"/>
  <c r="E33" i="4"/>
  <c r="H40" i="2"/>
  <c r="J39" i="4"/>
  <c r="J40" i="4"/>
  <c r="H41" i="2"/>
  <c r="I43" i="2"/>
  <c r="H24" i="2"/>
  <c r="H30" i="2"/>
  <c r="D7" i="3"/>
  <c r="E6" i="4"/>
  <c r="H23" i="2"/>
  <c r="J22" i="4"/>
  <c r="D25" i="4"/>
  <c r="D27" i="4"/>
  <c r="C27" i="3"/>
  <c r="G27" i="3" s="1"/>
  <c r="E32" i="4"/>
  <c r="D32" i="3"/>
  <c r="H38" i="2"/>
  <c r="J37" i="4"/>
  <c r="H42" i="2"/>
  <c r="J41" i="4"/>
  <c r="H12" i="2"/>
  <c r="H18" i="2"/>
  <c r="L25" i="4"/>
  <c r="C22" i="3"/>
  <c r="G22" i="3" s="1"/>
  <c r="D28" i="4"/>
  <c r="C28" i="3"/>
  <c r="G28" i="3" s="1"/>
  <c r="J31" i="4"/>
  <c r="H32" i="2"/>
  <c r="J33" i="4"/>
  <c r="H34" i="2"/>
  <c r="C37" i="3"/>
  <c r="C40" i="3"/>
  <c r="G40" i="3" s="1"/>
  <c r="D41" i="4"/>
  <c r="C41" i="3"/>
  <c r="G41" i="3" s="1"/>
  <c r="H13" i="2"/>
  <c r="H19" i="2"/>
  <c r="H28" i="2"/>
  <c r="G28" i="4"/>
  <c r="G13" i="3"/>
  <c r="P27" i="6"/>
  <c r="I27" i="8" s="1"/>
  <c r="P27" i="8" s="1"/>
  <c r="D32" i="1" s="1"/>
  <c r="P38" i="6"/>
  <c r="I38" i="8" s="1"/>
  <c r="P38" i="8" s="1"/>
  <c r="P47" i="6"/>
  <c r="I47" i="8" s="1"/>
  <c r="P47" i="8" s="1"/>
  <c r="P48" i="6"/>
  <c r="I48" i="8" s="1"/>
  <c r="P48" i="8" s="1"/>
  <c r="P12" i="6"/>
  <c r="I12" i="8" s="1"/>
  <c r="P12" i="8" s="1"/>
  <c r="D15" i="1" s="1"/>
  <c r="P13" i="6"/>
  <c r="I13" i="8" s="1"/>
  <c r="P13" i="8" s="1"/>
  <c r="C9" i="5" s="1"/>
  <c r="P16" i="6"/>
  <c r="I16" i="8" s="1"/>
  <c r="P16" i="8" s="1"/>
  <c r="D19" i="1" s="1"/>
  <c r="P19" i="6"/>
  <c r="I19" i="8" s="1"/>
  <c r="P19" i="8" s="1"/>
  <c r="D24" i="1" s="1"/>
  <c r="F31" i="8"/>
  <c r="F18" i="8" s="1"/>
  <c r="F50" i="8" s="1"/>
  <c r="P33" i="6"/>
  <c r="I33" i="8" s="1"/>
  <c r="P33" i="8" s="1"/>
  <c r="D39" i="1" s="1"/>
  <c r="G25" i="4"/>
  <c r="G38" i="4"/>
  <c r="P22" i="6"/>
  <c r="I22" i="8" s="1"/>
  <c r="P22" i="8" s="1"/>
  <c r="D27" i="1" s="1"/>
  <c r="P36" i="6"/>
  <c r="I36" i="8" s="1"/>
  <c r="P36" i="8" s="1"/>
  <c r="P37" i="6"/>
  <c r="I37" i="8" s="1"/>
  <c r="P37" i="8" s="1"/>
  <c r="P43" i="6"/>
  <c r="I43" i="8" s="1"/>
  <c r="P43" i="8" s="1"/>
  <c r="P44" i="6"/>
  <c r="I44" i="8" s="1"/>
  <c r="P44" i="8" s="1"/>
  <c r="G9" i="6"/>
  <c r="P9" i="6"/>
  <c r="C50" i="6"/>
  <c r="P50" i="10"/>
  <c r="J10" i="6"/>
  <c r="P10" i="6" s="1"/>
  <c r="I10" i="8" s="1"/>
  <c r="P10" i="8" s="1"/>
  <c r="D13" i="1" s="1"/>
  <c r="J14" i="6"/>
  <c r="P14" i="6" s="1"/>
  <c r="I14" i="8" s="1"/>
  <c r="P14" i="8" s="1"/>
  <c r="C10" i="5" s="1"/>
  <c r="J17" i="6"/>
  <c r="P17" i="6" s="1"/>
  <c r="I17" i="8" s="1"/>
  <c r="P17" i="8" s="1"/>
  <c r="D20" i="1" s="1"/>
  <c r="J20" i="6"/>
  <c r="P20" i="6" s="1"/>
  <c r="I20" i="8" s="1"/>
  <c r="P20" i="8" s="1"/>
  <c r="D25" i="1" s="1"/>
  <c r="J24" i="6"/>
  <c r="P24" i="6" s="1"/>
  <c r="I24" i="8" s="1"/>
  <c r="P24" i="8" s="1"/>
  <c r="D29" i="1" s="1"/>
  <c r="J28" i="6"/>
  <c r="J34" i="6"/>
  <c r="P34" i="6" s="1"/>
  <c r="I34" i="8" s="1"/>
  <c r="P34" i="8" s="1"/>
  <c r="J39" i="6"/>
  <c r="P39" i="6" s="1"/>
  <c r="I39" i="8" s="1"/>
  <c r="P39" i="8" s="1"/>
  <c r="C19" i="5" s="1"/>
  <c r="J40" i="6"/>
  <c r="E13" i="7" s="1"/>
  <c r="J41" i="6"/>
  <c r="P41" i="6" s="1"/>
  <c r="I41" i="8" s="1"/>
  <c r="P41" i="8" s="1"/>
  <c r="C21" i="5" s="1"/>
  <c r="J45" i="6"/>
  <c r="P45" i="6" s="1"/>
  <c r="I45" i="8" s="1"/>
  <c r="P45" i="8" s="1"/>
  <c r="J49" i="6"/>
  <c r="P49" i="6" s="1"/>
  <c r="I49" i="8" s="1"/>
  <c r="P49" i="8" s="1"/>
  <c r="P49" i="10"/>
  <c r="G28" i="6"/>
  <c r="B28" i="8" s="1"/>
  <c r="G28" i="8" s="1"/>
  <c r="C33" i="1" s="1"/>
  <c r="G40" i="6"/>
  <c r="B40" i="8" s="1"/>
  <c r="G40" i="8" s="1"/>
  <c r="C41" i="1" s="1"/>
  <c r="O50" i="8"/>
  <c r="P33" i="10"/>
  <c r="K34" i="8" s="1"/>
  <c r="K50" i="8" s="1"/>
  <c r="J9" i="8"/>
  <c r="J50" i="8" s="1"/>
  <c r="D50" i="8"/>
  <c r="N50" i="8"/>
  <c r="H38" i="4" l="1"/>
  <c r="D19" i="5" s="1"/>
  <c r="D42" i="4"/>
  <c r="I50" i="15"/>
  <c r="P9" i="15"/>
  <c r="B50" i="15"/>
  <c r="G9" i="15"/>
  <c r="G50" i="15" s="1"/>
  <c r="E17" i="16"/>
  <c r="P15" i="15"/>
  <c r="C13" i="5"/>
  <c r="G31" i="8"/>
  <c r="C29" i="3"/>
  <c r="G29" i="3" s="1"/>
  <c r="I25" i="2"/>
  <c r="K25" i="2" s="1"/>
  <c r="I24" i="3" s="1"/>
  <c r="K24" i="3" s="1"/>
  <c r="L24" i="3" s="1"/>
  <c r="D24" i="4"/>
  <c r="I34" i="2"/>
  <c r="C16" i="3"/>
  <c r="G16" i="3" s="1"/>
  <c r="G18" i="8"/>
  <c r="D24" i="3"/>
  <c r="E42" i="4"/>
  <c r="I29" i="2"/>
  <c r="K29" i="2" s="1"/>
  <c r="I28" i="3" s="1"/>
  <c r="E28" i="4"/>
  <c r="I28" i="4" s="1"/>
  <c r="K32" i="3"/>
  <c r="L32" i="3" s="1"/>
  <c r="H28" i="4"/>
  <c r="I32" i="4"/>
  <c r="D11" i="4"/>
  <c r="C23" i="3"/>
  <c r="G23" i="3" s="1"/>
  <c r="I30" i="2"/>
  <c r="C21" i="1"/>
  <c r="D29" i="3"/>
  <c r="J23" i="6"/>
  <c r="D28" i="3"/>
  <c r="G23" i="6"/>
  <c r="B23" i="8" s="1"/>
  <c r="G23" i="8" s="1"/>
  <c r="C28" i="1" s="1"/>
  <c r="H25" i="4"/>
  <c r="E50" i="6"/>
  <c r="D11" i="3"/>
  <c r="I12" i="2"/>
  <c r="K12" i="2" s="1"/>
  <c r="I11" i="3" s="1"/>
  <c r="K11" i="3" s="1"/>
  <c r="E11" i="4"/>
  <c r="D39" i="4"/>
  <c r="C39" i="3"/>
  <c r="G39" i="3" s="1"/>
  <c r="E12" i="7"/>
  <c r="P28" i="6"/>
  <c r="I28" i="8" s="1"/>
  <c r="P28" i="8" s="1"/>
  <c r="D33" i="1" s="1"/>
  <c r="D31" i="4"/>
  <c r="C31" i="3"/>
  <c r="G31" i="3" s="1"/>
  <c r="D27" i="3"/>
  <c r="E27" i="4"/>
  <c r="I28" i="2"/>
  <c r="K28" i="2" s="1"/>
  <c r="I27" i="3" s="1"/>
  <c r="K27" i="3" s="1"/>
  <c r="L27" i="3" s="1"/>
  <c r="E25" i="4"/>
  <c r="D25" i="3"/>
  <c r="I26" i="2"/>
  <c r="K26" i="2" s="1"/>
  <c r="I25" i="3" s="1"/>
  <c r="K25" i="3" s="1"/>
  <c r="L25" i="3" s="1"/>
  <c r="E9" i="5"/>
  <c r="F9" i="5" s="1"/>
  <c r="G9" i="5" s="1"/>
  <c r="E14" i="4" s="1"/>
  <c r="L33" i="4"/>
  <c r="G33" i="4" s="1"/>
  <c r="H33" i="4" s="1"/>
  <c r="K34" i="2"/>
  <c r="I33" i="3" s="1"/>
  <c r="K33" i="3" s="1"/>
  <c r="L33" i="3" s="1"/>
  <c r="L11" i="4"/>
  <c r="G11" i="4" s="1"/>
  <c r="L23" i="4"/>
  <c r="G23" i="4" s="1"/>
  <c r="H23" i="4" s="1"/>
  <c r="I33" i="4"/>
  <c r="C19" i="3"/>
  <c r="L26" i="4"/>
  <c r="G26" i="4" s="1"/>
  <c r="E19" i="5"/>
  <c r="D23" i="3"/>
  <c r="E23" i="4"/>
  <c r="I24" i="2"/>
  <c r="K24" i="2" s="1"/>
  <c r="I23" i="3" s="1"/>
  <c r="K23" i="3" s="1"/>
  <c r="L23" i="3" s="1"/>
  <c r="I9" i="8"/>
  <c r="I14" i="2"/>
  <c r="K14" i="2" s="1"/>
  <c r="I13" i="3" s="1"/>
  <c r="K13" i="3" s="1"/>
  <c r="L13" i="3" s="1"/>
  <c r="E13" i="4"/>
  <c r="I13" i="4" s="1"/>
  <c r="D13" i="3"/>
  <c r="E30" i="4"/>
  <c r="I30" i="4" s="1"/>
  <c r="I31" i="2"/>
  <c r="K31" i="2" s="1"/>
  <c r="I30" i="3" s="1"/>
  <c r="K30" i="3" s="1"/>
  <c r="L30" i="3" s="1"/>
  <c r="D30" i="3"/>
  <c r="L12" i="4"/>
  <c r="G12" i="4" s="1"/>
  <c r="H12" i="4" s="1"/>
  <c r="D8" i="5" s="1"/>
  <c r="L17" i="4"/>
  <c r="G17" i="4" s="1"/>
  <c r="H17" i="4" s="1"/>
  <c r="C46" i="1"/>
  <c r="L37" i="4"/>
  <c r="G37" i="4" s="1"/>
  <c r="H37" i="4" s="1"/>
  <c r="L39" i="4"/>
  <c r="G39" i="4" s="1"/>
  <c r="H39" i="4" s="1"/>
  <c r="D20" i="5" s="1"/>
  <c r="E39" i="4" s="1"/>
  <c r="L42" i="4"/>
  <c r="G42" i="4" s="1"/>
  <c r="H42" i="4" s="1"/>
  <c r="I42" i="4" s="1"/>
  <c r="K43" i="2"/>
  <c r="I42" i="3" s="1"/>
  <c r="K42" i="3" s="1"/>
  <c r="L42" i="3" s="1"/>
  <c r="K28" i="3"/>
  <c r="L28" i="3" s="1"/>
  <c r="E18" i="4"/>
  <c r="D18" i="3"/>
  <c r="I19" i="2"/>
  <c r="K19" i="2" s="1"/>
  <c r="I18" i="3" s="1"/>
  <c r="K18" i="3" s="1"/>
  <c r="L18" i="3" s="1"/>
  <c r="B9" i="8"/>
  <c r="G50" i="6"/>
  <c r="E38" i="4"/>
  <c r="E22" i="4"/>
  <c r="I23" i="2"/>
  <c r="K23" i="2" s="1"/>
  <c r="I22" i="3" s="1"/>
  <c r="K22" i="3" s="1"/>
  <c r="D22" i="3"/>
  <c r="L27" i="4"/>
  <c r="G27" i="4" s="1"/>
  <c r="H27" i="4" s="1"/>
  <c r="L31" i="4"/>
  <c r="G31" i="4" s="1"/>
  <c r="H31" i="4" s="1"/>
  <c r="L22" i="4"/>
  <c r="G22" i="4" s="1"/>
  <c r="H22" i="4" s="1"/>
  <c r="G37" i="3"/>
  <c r="L29" i="4"/>
  <c r="G29" i="4" s="1"/>
  <c r="H29" i="4" s="1"/>
  <c r="K30" i="2"/>
  <c r="I29" i="3" s="1"/>
  <c r="K29" i="3" s="1"/>
  <c r="L29" i="3" s="1"/>
  <c r="L40" i="4"/>
  <c r="G40" i="4" s="1"/>
  <c r="H40" i="4" s="1"/>
  <c r="D21" i="5" s="1"/>
  <c r="E40" i="4" s="1"/>
  <c r="L24" i="4"/>
  <c r="G24" i="4" s="1"/>
  <c r="H24" i="4" s="1"/>
  <c r="I24" i="4" s="1"/>
  <c r="E10" i="5"/>
  <c r="P23" i="6"/>
  <c r="I23" i="8" s="1"/>
  <c r="P23" i="8" s="1"/>
  <c r="D28" i="1" s="1"/>
  <c r="I38" i="2"/>
  <c r="K38" i="2" s="1"/>
  <c r="I37" i="3" s="1"/>
  <c r="K37" i="3" s="1"/>
  <c r="D37" i="3"/>
  <c r="E37" i="4"/>
  <c r="I18" i="2"/>
  <c r="K18" i="2" s="1"/>
  <c r="I17" i="3" s="1"/>
  <c r="K17" i="3" s="1"/>
  <c r="L17" i="3" s="1"/>
  <c r="E17" i="4"/>
  <c r="D17" i="3"/>
  <c r="P40" i="6"/>
  <c r="I40" i="8" s="1"/>
  <c r="P40" i="8" s="1"/>
  <c r="C20" i="5" s="1"/>
  <c r="E20" i="5" s="1"/>
  <c r="F20" i="5" s="1"/>
  <c r="L18" i="4"/>
  <c r="G18" i="4" s="1"/>
  <c r="H18" i="4" s="1"/>
  <c r="D44" i="4"/>
  <c r="L41" i="4"/>
  <c r="G41" i="4" s="1"/>
  <c r="H41" i="4" s="1"/>
  <c r="I41" i="4" s="1"/>
  <c r="K42" i="2"/>
  <c r="I41" i="3" s="1"/>
  <c r="K41" i="3" s="1"/>
  <c r="L41" i="3" s="1"/>
  <c r="G19" i="3"/>
  <c r="D19" i="4"/>
  <c r="L16" i="4"/>
  <c r="G16" i="4" s="1"/>
  <c r="H16" i="4" s="1"/>
  <c r="D11" i="5" s="1"/>
  <c r="E11" i="5" s="1"/>
  <c r="F11" i="5" s="1"/>
  <c r="G11" i="5" s="1"/>
  <c r="E16" i="4" s="1"/>
  <c r="I29" i="4"/>
  <c r="P50" i="15" l="1"/>
  <c r="G43" i="3"/>
  <c r="H11" i="4"/>
  <c r="I17" i="4"/>
  <c r="C43" i="3"/>
  <c r="D23" i="5"/>
  <c r="E21" i="5"/>
  <c r="F21" i="5" s="1"/>
  <c r="I25" i="4"/>
  <c r="D26" i="4"/>
  <c r="D34" i="4" s="1"/>
  <c r="D46" i="4" s="1"/>
  <c r="C26" i="3"/>
  <c r="G26" i="3" s="1"/>
  <c r="G34" i="3" s="1"/>
  <c r="G45" i="3" s="1"/>
  <c r="C36" i="1"/>
  <c r="P50" i="6"/>
  <c r="E11" i="7"/>
  <c r="J50" i="6"/>
  <c r="L37" i="3"/>
  <c r="L11" i="3"/>
  <c r="L22" i="3"/>
  <c r="G9" i="8"/>
  <c r="G50" i="8" s="1"/>
  <c r="B50" i="8"/>
  <c r="E44" i="4"/>
  <c r="I37" i="4"/>
  <c r="F19" i="5"/>
  <c r="I27" i="4"/>
  <c r="D31" i="3"/>
  <c r="E31" i="4"/>
  <c r="I31" i="4" s="1"/>
  <c r="I32" i="2"/>
  <c r="K32" i="2" s="1"/>
  <c r="I31" i="3" s="1"/>
  <c r="K31" i="3" s="1"/>
  <c r="L31" i="3" s="1"/>
  <c r="I18" i="4"/>
  <c r="I23" i="4"/>
  <c r="I11" i="4"/>
  <c r="I22" i="4"/>
  <c r="H19" i="4"/>
  <c r="I14" i="4"/>
  <c r="D16" i="1"/>
  <c r="I16" i="4"/>
  <c r="D18" i="1"/>
  <c r="H44" i="4"/>
  <c r="E26" i="4"/>
  <c r="I27" i="2"/>
  <c r="K27" i="2" s="1"/>
  <c r="I26" i="3" s="1"/>
  <c r="K26" i="3" s="1"/>
  <c r="L26" i="3" s="1"/>
  <c r="D26" i="3"/>
  <c r="I40" i="4"/>
  <c r="D42" i="1"/>
  <c r="D36" i="1"/>
  <c r="I38" i="4"/>
  <c r="D40" i="1"/>
  <c r="I39" i="4"/>
  <c r="D41" i="1"/>
  <c r="C48" i="1"/>
  <c r="D13" i="5"/>
  <c r="E8" i="5"/>
  <c r="I50" i="8"/>
  <c r="P9" i="8"/>
  <c r="P50" i="8" s="1"/>
  <c r="C23" i="5"/>
  <c r="D34" i="3" l="1"/>
  <c r="E23" i="5"/>
  <c r="C34" i="3"/>
  <c r="C45" i="3" s="1"/>
  <c r="F23" i="5"/>
  <c r="K44" i="3" s="1"/>
  <c r="L44" i="3" s="1"/>
  <c r="H26" i="4"/>
  <c r="H34" i="4" s="1"/>
  <c r="H46" i="4" s="1"/>
  <c r="L34" i="3"/>
  <c r="F8" i="5"/>
  <c r="E13" i="5"/>
  <c r="D40" i="3"/>
  <c r="I41" i="2"/>
  <c r="K41" i="2" s="1"/>
  <c r="I40" i="3" s="1"/>
  <c r="K40" i="3" s="1"/>
  <c r="L40" i="3" s="1"/>
  <c r="E34" i="4"/>
  <c r="D39" i="3"/>
  <c r="I40" i="2"/>
  <c r="K40" i="2" s="1"/>
  <c r="I39" i="3" s="1"/>
  <c r="K39" i="3" s="1"/>
  <c r="L39" i="3" s="1"/>
  <c r="D16" i="3"/>
  <c r="I17" i="2"/>
  <c r="K17" i="2" s="1"/>
  <c r="I16" i="3" s="1"/>
  <c r="K16" i="3" s="1"/>
  <c r="L16" i="3" s="1"/>
  <c r="I44" i="4"/>
  <c r="I39" i="2"/>
  <c r="K39" i="2" s="1"/>
  <c r="I38" i="3" s="1"/>
  <c r="K38" i="3" s="1"/>
  <c r="D38" i="3"/>
  <c r="D46" i="1"/>
  <c r="D14" i="3"/>
  <c r="I15" i="2"/>
  <c r="K15" i="2" s="1"/>
  <c r="I14" i="3" s="1"/>
  <c r="K14" i="3" s="1"/>
  <c r="L14" i="3" s="1"/>
  <c r="K34" i="3"/>
  <c r="I26" i="4" l="1"/>
  <c r="I34" i="4" s="1"/>
  <c r="D43" i="3"/>
  <c r="L38" i="3"/>
  <c r="L43" i="3" s="1"/>
  <c r="K43" i="3"/>
  <c r="F10" i="5"/>
  <c r="G10" i="5" s="1"/>
  <c r="E15" i="4" s="1"/>
  <c r="G8" i="5"/>
  <c r="F13" i="5" l="1"/>
  <c r="G13" i="5"/>
  <c r="E12" i="4"/>
  <c r="I15" i="4"/>
  <c r="D17" i="1"/>
  <c r="I12" i="4" l="1"/>
  <c r="I19" i="4" s="1"/>
  <c r="I46" i="4" s="1"/>
  <c r="D14" i="1"/>
  <c r="E19" i="4"/>
  <c r="E46" i="4" s="1"/>
  <c r="D15" i="3"/>
  <c r="I16" i="2"/>
  <c r="K16" i="2" s="1"/>
  <c r="I15" i="3" s="1"/>
  <c r="K15" i="3" s="1"/>
  <c r="L15" i="3" s="1"/>
  <c r="D12" i="3" l="1"/>
  <c r="D19" i="3" s="1"/>
  <c r="D45" i="3" s="1"/>
  <c r="I13" i="2"/>
  <c r="K13" i="2" s="1"/>
  <c r="I12" i="3" s="1"/>
  <c r="K12" i="3" s="1"/>
  <c r="D21" i="1"/>
  <c r="D48" i="1" s="1"/>
  <c r="L12" i="3" l="1"/>
  <c r="L19" i="3" s="1"/>
  <c r="L45" i="3" s="1"/>
  <c r="K19" i="3"/>
  <c r="K45" i="3" s="1"/>
</calcChain>
</file>

<file path=xl/sharedStrings.xml><?xml version="1.0" encoding="utf-8"?>
<sst xmlns="http://schemas.openxmlformats.org/spreadsheetml/2006/main" count="1230" uniqueCount="307">
  <si>
    <t xml:space="preserve">FLORIDA PUBLIC UTILITIES </t>
  </si>
  <si>
    <t>COMPARISON OF CURRENT AND PROPOSED DEPRECIATION RATES</t>
  </si>
  <si>
    <t>CURRENT</t>
  </si>
  <si>
    <t>COMPANY PROPOSED</t>
  </si>
  <si>
    <t>AVERAGE</t>
  </si>
  <si>
    <t>SERVICE</t>
  </si>
  <si>
    <t>REMAINING</t>
  </si>
  <si>
    <t>NET</t>
  </si>
  <si>
    <t>(Sch. L)</t>
  </si>
  <si>
    <t>INVESTMENT</t>
  </si>
  <si>
    <t>RESERVE</t>
  </si>
  <si>
    <t>LIFE</t>
  </si>
  <si>
    <t>SALVAGE</t>
  </si>
  <si>
    <t>AGE</t>
  </si>
  <si>
    <t>CURVE</t>
  </si>
  <si>
    <t xml:space="preserve"> </t>
  </si>
  <si>
    <t>ACCOUNT</t>
  </si>
  <si>
    <t>(YRS.)</t>
  </si>
  <si>
    <t>(%)</t>
  </si>
  <si>
    <t>TRANSMISSION PLANT</t>
  </si>
  <si>
    <t>350.1 - Land Rights</t>
  </si>
  <si>
    <t>SQ</t>
  </si>
  <si>
    <t>352 - Structures and Improvements</t>
  </si>
  <si>
    <t>*</t>
  </si>
  <si>
    <t>S5</t>
  </si>
  <si>
    <t>353 - Station Equipment</t>
  </si>
  <si>
    <t>S2</t>
  </si>
  <si>
    <t>S3</t>
  </si>
  <si>
    <t>354 - Towers and Fixtures</t>
  </si>
  <si>
    <t>S6</t>
  </si>
  <si>
    <t>355 - Poles and Fixtures</t>
  </si>
  <si>
    <t>R5</t>
  </si>
  <si>
    <t>R4</t>
  </si>
  <si>
    <t>355.1 - Poles and Fixtures - Concrete</t>
  </si>
  <si>
    <t>356 - Overhead Conductors and Devices</t>
  </si>
  <si>
    <t>359 - Roads and Trails</t>
  </si>
  <si>
    <t>Total Transmission Assets</t>
  </si>
  <si>
    <t>DISTRIBUTION PLANT</t>
  </si>
  <si>
    <t>360.1 - Land Rights</t>
  </si>
  <si>
    <t>361 - Structures and Improvements</t>
  </si>
  <si>
    <t>362 - Station Equipment</t>
  </si>
  <si>
    <t>364 - Poles, Towers, and Fixtures</t>
  </si>
  <si>
    <t>**</t>
  </si>
  <si>
    <t>365 - Overhead Conductors &amp; Devices</t>
  </si>
  <si>
    <t>366 - Underground Conduit</t>
  </si>
  <si>
    <t>367 - Underground Conductors &amp; Devices</t>
  </si>
  <si>
    <t>368 - Line Transformers</t>
  </si>
  <si>
    <t>S4</t>
  </si>
  <si>
    <t>369 - Services</t>
  </si>
  <si>
    <t>370 - Meters</t>
  </si>
  <si>
    <t>371 - Installation on Customers' Premises</t>
  </si>
  <si>
    <t>373 - Street Lighting &amp; Signal Systems</t>
  </si>
  <si>
    <t>R3</t>
  </si>
  <si>
    <t>Total Distribution Assets</t>
  </si>
  <si>
    <t>GENERAL PLANT</t>
  </si>
  <si>
    <t>390 - Structures &amp; Improvements</t>
  </si>
  <si>
    <t>392.1 - Transportation-Cars</t>
  </si>
  <si>
    <t>392.2 - Transportation-Light Trucks &amp; Vans</t>
  </si>
  <si>
    <t>392.3 - Transportation - Heavy Trucks</t>
  </si>
  <si>
    <t>392.4 - Transporation - Trailers</t>
  </si>
  <si>
    <t>396 - Power Operated Equipment</t>
  </si>
  <si>
    <t>Total General Plant Assets</t>
  </si>
  <si>
    <t>GRAND TOTAL</t>
  </si>
  <si>
    <t>Reflects restated reserve after proposed corrective reserve allocations and amortization of transportation reserve surplus.</t>
  </si>
  <si>
    <t>Reflects reserve adjusted for Hurricane Michael unrecovered costs addressed in Docket No. 20190155-EI.</t>
  </si>
  <si>
    <t>FLORIDA PUBLIC UTILITIES</t>
  </si>
  <si>
    <t>COMPARISON OF CURRENT AND PROPOSED DEPRECIATION COMPONENTS</t>
  </si>
  <si>
    <t>CURRENT EFFECTIVE 1/1/2015</t>
  </si>
  <si>
    <t>COMPANY PROPOSED - Proposed Effective Date 1/1/2020</t>
  </si>
  <si>
    <t xml:space="preserve">REMAINING </t>
  </si>
  <si>
    <t>RATE</t>
  </si>
  <si>
    <t xml:space="preserve">COMPARISON OF ANNUAL DEPRECIATION EXPENSES </t>
  </si>
  <si>
    <t>CHANGE</t>
  </si>
  <si>
    <t>EXPENSES</t>
  </si>
  <si>
    <t xml:space="preserve"> EXPENSES</t>
  </si>
  <si>
    <t>TOTAL TRANSMISSION PLANT</t>
  </si>
  <si>
    <t>TOTAL DISTRIBUTION PLANT</t>
  </si>
  <si>
    <t>TOTAL GENERAL PROPERTY</t>
  </si>
  <si>
    <t>4-Yr Amort</t>
  </si>
  <si>
    <t>TOTAL RATES</t>
  </si>
  <si>
    <t>COMPARISON OF ACCUMULATED BOOK RESERVE AND THEORETICAL RESERVE - PROPOSED RATES</t>
  </si>
  <si>
    <t>THEORETICAL</t>
  </si>
  <si>
    <t xml:space="preserve">THEORETICAL </t>
  </si>
  <si>
    <t xml:space="preserve">IMBALANCE </t>
  </si>
  <si>
    <t>WLR</t>
  </si>
  <si>
    <t>ARL</t>
  </si>
  <si>
    <t>SALV</t>
  </si>
  <si>
    <t>(YEARS)</t>
  </si>
  <si>
    <t>PROPOSED RESERVE ALLOCATIONS</t>
  </si>
  <si>
    <t>PROPOSED</t>
  </si>
  <si>
    <t xml:space="preserve">RESTATED </t>
  </si>
  <si>
    <t>BOOK RESERVE*</t>
  </si>
  <si>
    <t>IMBALANCE</t>
  </si>
  <si>
    <t>ALLOCATIONS</t>
  </si>
  <si>
    <t>Structures and Improvements</t>
  </si>
  <si>
    <t>Towers and Fixtures</t>
  </si>
  <si>
    <t>Poles and Fixtures</t>
  </si>
  <si>
    <t>Poles and Fixtures - Concrete</t>
  </si>
  <si>
    <t>TOTAL</t>
  </si>
  <si>
    <t>4-YR.</t>
  </si>
  <si>
    <t>AMORTIZATION</t>
  </si>
  <si>
    <t>Transportation-Cars</t>
  </si>
  <si>
    <t>Transportation-Light Trucks &amp; Vans</t>
  </si>
  <si>
    <t>Transportation-Heavy Trucks</t>
  </si>
  <si>
    <t>Sch. F 2019</t>
  </si>
  <si>
    <t>FLORIDA PUBLIC UTILITIES COMPANY</t>
  </si>
  <si>
    <t>PLANT IN SERVICE ($)</t>
  </si>
  <si>
    <t>RESERVE ($)</t>
  </si>
  <si>
    <t>(CREDIT BALANCES)</t>
  </si>
  <si>
    <t>Plant</t>
  </si>
  <si>
    <t>Beginning</t>
  </si>
  <si>
    <t>Purch.</t>
  </si>
  <si>
    <t>Ending</t>
  </si>
  <si>
    <t>Cost of</t>
  </si>
  <si>
    <t>Acct.</t>
  </si>
  <si>
    <t>Balance</t>
  </si>
  <si>
    <t>Additions</t>
  </si>
  <si>
    <t>Transfers</t>
  </si>
  <si>
    <t>Retirements</t>
  </si>
  <si>
    <t>&amp; Adj.</t>
  </si>
  <si>
    <t>Accruals</t>
  </si>
  <si>
    <t>Salvage</t>
  </si>
  <si>
    <t>Removal</t>
  </si>
  <si>
    <t>Exhibit F 2018 Notes</t>
  </si>
  <si>
    <t>Exhibit</t>
  </si>
  <si>
    <t>Schedule</t>
  </si>
  <si>
    <t>Column</t>
  </si>
  <si>
    <t>Account</t>
  </si>
  <si>
    <t>Value</t>
  </si>
  <si>
    <t>Comment</t>
  </si>
  <si>
    <t>Sch F 2018</t>
  </si>
  <si>
    <t>Plant in Service</t>
  </si>
  <si>
    <t>ASR reported $39,392.  Accounting Software reported as furniture.</t>
  </si>
  <si>
    <t>ASR reported $150,383.  Accounting Software totaling $39,392 was reported as furniture.</t>
  </si>
  <si>
    <t xml:space="preserve">ASR reports ($268,176).  Excluded Meter Retirements totaling ($1800).  </t>
  </si>
  <si>
    <t xml:space="preserve">ASR reports ($32,114).  Meter retirements totaling ($1,800) was booked in account 365. </t>
  </si>
  <si>
    <t>ASR reports ($112,478).  Retirement recorded for Veh#967 was overstated by ($32).</t>
  </si>
  <si>
    <t>Reserve</t>
  </si>
  <si>
    <t>ASR reported $58,803.  Included $34,788 of Allocated Office Furn. &amp; Equip reported under Account 3911 in error and excludes $26,656 of Allocated System Software that should be in 3914.</t>
  </si>
  <si>
    <t>ASR reported $36,346.  Excluded $34,788 of Allocated Office Furn. &amp; Equip reported under Account 3911 in error.</t>
  </si>
  <si>
    <t>ASR reported $10,972.  Includes $26,656 of Allocated Software reported under Account 3911 in error.</t>
  </si>
  <si>
    <r>
      <t xml:space="preserve">Sch. F 2018 includes the following </t>
    </r>
    <r>
      <rPr>
        <b/>
        <u/>
        <sz val="10"/>
        <rFont val="Arial"/>
        <family val="2"/>
      </rPr>
      <t>REVISED</t>
    </r>
    <r>
      <rPr>
        <sz val="10"/>
        <rFont val="Arial"/>
        <family val="2"/>
      </rPr>
      <t xml:space="preserve"> Hurricane Michael Storm Retirements:</t>
    </r>
  </si>
  <si>
    <t>Exhibit F 2019 Notes</t>
  </si>
  <si>
    <t>Sch F 2019</t>
  </si>
  <si>
    <t>ASR reported $121.  Excludes Software additions of $121 in Account 3911 - Computers &amp; Peripherals.  Moved to Account 3914 - Software.</t>
  </si>
  <si>
    <t>ASR reported ($7,069).  Includes Software additions of $121 in Account 3911 - Computers &amp; Peripherals.</t>
  </si>
  <si>
    <t>ASR reported $0.  Transportation account adjusted to correct classifications and amount.</t>
  </si>
  <si>
    <t>ASR reported $267,679.  Transportation account adjusted to correct classifications and amount.</t>
  </si>
  <si>
    <t>ASR reported $0.  Excludes Veh #628 - transferred to another division.</t>
  </si>
  <si>
    <t>Purch. &amp; Adj.</t>
  </si>
  <si>
    <t>ASR reported $373,971.  Excludes $16,000 for transportation adjustment reported on Sch. 2015. In 2015, salvage on Veh#997 totaling $16,000 was reported as a transfer.</t>
  </si>
  <si>
    <t>ASR reported $133,312.  Excludes $32 for transportation adjustment reported on Sch. 2018. In 2018, the retirement of Veh#967 was overstated by ($32).</t>
  </si>
  <si>
    <t>Reserves</t>
  </si>
  <si>
    <t>Retirement</t>
  </si>
  <si>
    <t>ASR reported ($169,543). Excludes station equipment retirements totaling ($52,854) reported in Account 368 - Compressor Station Equipment. Moved to Account 369 - M&amp;R Station Equipment.</t>
  </si>
  <si>
    <t>ASR reported ($419,916).  Includes station equipment retirements totaling ($52,854) reported in Account 368 - Compressor Station Equipment.</t>
  </si>
  <si>
    <t>ASR reported $0. Salvage reported under COR.</t>
  </si>
  <si>
    <t>COR</t>
  </si>
  <si>
    <t xml:space="preserve">ASR reported $14,782.  Excludes COR recorded in account 356 that should be in Accounts 364 and 365  </t>
  </si>
  <si>
    <t>ASR reported ($5,023,553).  Corrected storm invoice allocations and reclass of COR recorded in wrong account.</t>
  </si>
  <si>
    <t>ASR reported ($1,748,265). Corrected storm invoice allocations and reclass of COR recorded in wrong account.</t>
  </si>
  <si>
    <t>ASR reported ($50,109). Corrected storm invoice allocations and reclass of COR recorded in wrong account.</t>
  </si>
  <si>
    <t>ASR reported $5,439. Corrected storm invoice allocations and reclass of COR recorded in wrong account.</t>
  </si>
  <si>
    <t>ASR reported ($263,554).  Corrected storm invoice allocations and reclass of COR recorded in wrong account.</t>
  </si>
  <si>
    <t>ASR reported ($151,784). Corrected storm invoice allocations and reclass of COR recorded in wrong account.</t>
  </si>
  <si>
    <t>ASR reported ($23,595).Corrected storm invoice allocations and reclass of COR recorded in wrong account.</t>
  </si>
  <si>
    <t>ASR reported $67,662 under Transfers.  Excluded adjustments totaling $51,662 for accounts 3922 and 3923 recorded in account 3921.  The remaining $16K variance is for 2015 salvage and is reflected in Account 3921 on Sch. F 2015.</t>
  </si>
  <si>
    <t xml:space="preserve">ASR reported Adjustments of ($6,546) [Under Transfers]. Includes adjustments totaling $11,170 recorded in Account 3921 in error for Vehs #958, #981, #994, #995, and #997. </t>
  </si>
  <si>
    <t>ASR reported Adjustments of ($11,443) [Under Transfers]. Includes adjustments totaling $40,492 recorded in Account 3921 in error for Vehs #996 and #845.</t>
  </si>
  <si>
    <t>Estimated Total Hurricane Michael Activity by Account for 2019:</t>
  </si>
  <si>
    <t>Gross</t>
  </si>
  <si>
    <t>Unrecovered Deprecation</t>
  </si>
  <si>
    <t>Excluded Salvage, COR, and Unrecovered Depreciation Related to Hurricane Michael.  It has been requested in Docket No. 20190155-EI,  under Accumulated Depreciation Asset.</t>
  </si>
  <si>
    <t>Total Unrecovered Costs Adjustments</t>
  </si>
  <si>
    <t>ACCT</t>
  </si>
  <si>
    <t>DESCRIPTION</t>
  </si>
  <si>
    <t>JAN</t>
  </si>
  <si>
    <t>FEB</t>
  </si>
  <si>
    <t>MAR</t>
  </si>
  <si>
    <t>APR</t>
  </si>
  <si>
    <t>MAY</t>
  </si>
  <si>
    <t>JUN</t>
  </si>
  <si>
    <t>JUL</t>
  </si>
  <si>
    <t>AUG</t>
  </si>
  <si>
    <t>SEP</t>
  </si>
  <si>
    <t>OCT</t>
  </si>
  <si>
    <t>NOV</t>
  </si>
  <si>
    <t>DEC</t>
  </si>
  <si>
    <t>n/a</t>
  </si>
  <si>
    <t>Amort 7</t>
  </si>
  <si>
    <t>Amort 5</t>
  </si>
  <si>
    <t>Total</t>
  </si>
  <si>
    <t>PLANT IN SERVICE AND RESERVE SUMMARY</t>
  </si>
  <si>
    <r>
      <t xml:space="preserve">Transfers </t>
    </r>
    <r>
      <rPr>
        <b/>
        <vertAlign val="superscript"/>
        <sz val="10"/>
        <rFont val="Arial"/>
        <family val="2"/>
      </rPr>
      <t>1</t>
    </r>
  </si>
  <si>
    <t>Exhibit F 2015 Notes</t>
  </si>
  <si>
    <t>Sch F 2015</t>
  </si>
  <si>
    <t>ASR reported $200,602.  Retirement corrections totaling $43,905 were reported as Additions.  Moved corrections to Retirements.</t>
  </si>
  <si>
    <t>ASR reported $66,062.  This is for the Outage Management System software and should be in Acct 3914.</t>
  </si>
  <si>
    <t>ASR reported $0.  This is for the Outage Management System software and should be in Acct 3914.</t>
  </si>
  <si>
    <t xml:space="preserve">ASR reported ($65,665).  A rebate of ($65,720) for Veh#996 was included in Additions.  The vehicle for which this rebate belongs was reclassified during the last study to account 3923. In 2016, this rebate was reclassified to account 3923.  </t>
  </si>
  <si>
    <t>ASR reported $23,233.  This is a reclassification of ($16K) for Salvage and $39K for Veh #997 from account 3922.  This occurred in the same month the workorder was closed  to additions so there is no effect on accum. depr. moved reclassification entry to Adj. column and $16K for Salvage is a transfer to Reserve Salvage column.</t>
  </si>
  <si>
    <t>ASR reported ($23,233).  This is a reclassification of ($16K) for Salvage and $39K for Veh #997 to account 3921.  This occurred in the same month the workorder was closed  to additions so there is no effect on accum. depr.</t>
  </si>
  <si>
    <t xml:space="preserve">ASR reported ($65,293).   Retirements of $43,905 were reclassified out of account.  The reclassifications were reported as Additions.   </t>
  </si>
  <si>
    <t>ASR reported $0.  Reclassification reported as a transfer.</t>
  </si>
  <si>
    <t>Beg. Bal.</t>
  </si>
  <si>
    <t>ASR reported $60,188.  Included $31,498 of Allocated Office Furn. &amp; Equip reported under Account 3911 in error.</t>
  </si>
  <si>
    <t>ASR reported $31,498. Excluded $31,498 of Allocated Office Furn. &amp; Equip reported under Account 3911 in error.</t>
  </si>
  <si>
    <t>ASR reported $744,898.  Retirements were reported in Beginning Balance.</t>
  </si>
  <si>
    <t>ASR reported $0.  Retirements were reported as Accruals.</t>
  </si>
  <si>
    <t>ASR reported $0.  Retirements were reported in Beginning Balance.</t>
  </si>
  <si>
    <t xml:space="preserve">ASR reported ($65,293).  Retirement adjustments totaling $43,905 was reported as Reclassifications.   </t>
  </si>
  <si>
    <t>ASR reported $15,258.  Included $36,793 of Allocated Office Furn. &amp; Equip reported under Account 3911 in error.</t>
  </si>
  <si>
    <t>ASR reported $39,907. Excluded $36,793 of Allocated Office Furn. &amp; Equip reported under Account 3911 in error.</t>
  </si>
  <si>
    <t>ASR reported $39,375.  Accruals included Retirements of ($74,358).</t>
  </si>
  <si>
    <t>ASR reported $0.  Salvage was reported as COR.</t>
  </si>
  <si>
    <t>ASR reported $977.  Salvage was reported as COR.</t>
  </si>
  <si>
    <t>ASR reported $4,803.  GL balance for Salvage was $955.  ASR was overstated.</t>
  </si>
  <si>
    <t>ASR reported $0.  Salvage of $16K transferred from Plant in Service.</t>
  </si>
  <si>
    <t>ASR reported ($31,554).  Balance included Salvage.</t>
  </si>
  <si>
    <t>ASR reported ($47,034).  Salvage was reported as COR.</t>
  </si>
  <si>
    <t>ASR reported $11,750.  GL balance for COR is ($7,902).  ASR was overstated.</t>
  </si>
  <si>
    <t>ASR reported $43,905.  This was a retirement adjustment to reclassify conductors to appropriate FERC account.  Moved to retirements.</t>
  </si>
  <si>
    <t>Exhibit F 2016 Notes</t>
  </si>
  <si>
    <t>Sch F 2016</t>
  </si>
  <si>
    <t>ASR reported $721,208.  Reduced balance by $9,825 for CIAC.  CIAC was reported as Purch. &amp; Adj..</t>
  </si>
  <si>
    <t>ASR reported $65,720.  Reclassification of vehicle rebate booked to the incorrect transportation account.  Moved to Adj. Purch. &amp; Adj..</t>
  </si>
  <si>
    <t>ASR reported ($65,720).  Reclassification of vehicle rebate booked to the incorrect transportation account.  Moved to Adj. Purch. &amp; Adj..</t>
  </si>
  <si>
    <t>ASR reported ($69,818).  Retirements were booked at book value and not original costs.  Increased balance by ($557) to correct the error.  GL will be corrected in 2019.</t>
  </si>
  <si>
    <t>ASR reported ($9,825). This was for CIAC and have been moved to Additions.</t>
  </si>
  <si>
    <t>ASR reported $0.  Reclassification of vehicle rebate booked to the incorrect transportation account.  Moved to Adj. Purch. &amp; Adj..</t>
  </si>
  <si>
    <t>ASR reported $15,258.  Included $36,792 of Allocated Office Furn. &amp; Equip reported under Account 3911 in error.</t>
  </si>
  <si>
    <t>ASR reported $36,792. Excluded $36,792 of Allocated Office Furn. &amp; Equip reported under Account 3911 in error.</t>
  </si>
  <si>
    <t>ASR reported $3,241.  Salvage was reported as COR.</t>
  </si>
  <si>
    <t>ASR reported $51.  Salvage was reported as COR.</t>
  </si>
  <si>
    <t>ASR reported $810.  Salvage was reported as COR.</t>
  </si>
  <si>
    <t>ASR reported $772.  Salvage was reported as COR.</t>
  </si>
  <si>
    <t>ASR reported ($34,516).  Salvage was reported as COR.</t>
  </si>
  <si>
    <t>ASR reported ($26,010).  Salvage was reported as COR.</t>
  </si>
  <si>
    <t>ASR reported ($19,494).  Salvage was reported as COR.</t>
  </si>
  <si>
    <t>ASR reported ($3,925).  Salvage was reported as COR.</t>
  </si>
  <si>
    <t>Exhibit F 2017 Notes</t>
  </si>
  <si>
    <t>Sch F 2017</t>
  </si>
  <si>
    <t>ASR reported $196,910.  Accounting software was reported as furniture.  Moved to Acct 3914.</t>
  </si>
  <si>
    <t>ASR reported $0.  This is Accounting Software reported as furniture in Acct 3910</t>
  </si>
  <si>
    <t>ASR reported ($28,850).  Reported retirements for steel poles and foundations totaling ($110,000) under Accounts 3551.</t>
  </si>
  <si>
    <t>ASR reported ($600,297).  Erroneously reported transmission steel pole and foundation retirements totaling ($110,000).  This account is solely for concrete.</t>
  </si>
  <si>
    <t>ASR reported ($58,322).  Booked and reported retirements of street lights totaling ($3,690) in error.</t>
  </si>
  <si>
    <t>ASR reported $0. Erroneously reported meter retirements totaling ($17,252) in Account 371.</t>
  </si>
  <si>
    <t xml:space="preserve">ASR reported ($47,692).  Erroneously reported meter retirements totaling ($17,252). </t>
  </si>
  <si>
    <t>ASR reported ($4,691). Retirements of Street Lights totaling ($3,690) was erroneously booked and reported in Account 369.</t>
  </si>
  <si>
    <t xml:space="preserve">ASR reported $0.  Transferred COR erroneously booked in Plant in Service to Accum. Depreciation.  </t>
  </si>
  <si>
    <t>ASR reported $31,991.  Included $34,788 of Allocated Office Furn. &amp; Equip reported under Account 3911 in error and excludes $8,885 of Allocated System Software that should be in 3914.</t>
  </si>
  <si>
    <t>ASR reported $11,931.  Includes $8,885 of Allocated Software reported under Account 3911 in error.</t>
  </si>
  <si>
    <t>ASR reported $719,324.  Inadvertently reported $345 of COR with Accruals.</t>
  </si>
  <si>
    <t>ASR reported $417,119. Accruals of $274 were reported in COR in error.</t>
  </si>
  <si>
    <t>ASR reported ($16,164).  Reported Salvage as COR.</t>
  </si>
  <si>
    <t>ASR reported $0.  Reported Salvage as COR under Account 355.1.</t>
  </si>
  <si>
    <t>ASR reported $519,602.  Inadvertently reported salvage on Wood poles totaled $48,875.  Also, reported balance was understated by $655.</t>
  </si>
  <si>
    <t>ASR reported $132.  Reported Salvage as COR.</t>
  </si>
  <si>
    <t>ASR reported $33.  Salvage of $689 was reported as COR.</t>
  </si>
  <si>
    <t>ASR reported $23,815.  Inadvertently reported Salvage totaling $23,815 as COR.  $19 of the easement transfer costs for the Transmission Line sold was recorded in account 352.</t>
  </si>
  <si>
    <t xml:space="preserve">ASR reported ($19).  Amount relates to easement transfer costs for transmission line sold.   </t>
  </si>
  <si>
    <t>COR on wooden poles reported as concrete.</t>
  </si>
  <si>
    <t>ASR reported ($852,645).  Inadvertently reported COR for Wood poles totaling ($846,307).  Also, reported balance was understated by $655. This account is solely for concrete.</t>
  </si>
  <si>
    <t xml:space="preserve"> ASR reported (91,435).  ($62,508) of the COR relates to Distribution Pole retirements and should be in Acct 364.  The remaining ($29K) relates to the Coastal Chip Mill Substation Relocation.  Retirements were missed and will be recorded in 2019.  </t>
  </si>
  <si>
    <t>ASR reported ($146,826).  Includes COR of ($62,508) on distribution pole retired and reported in account 362.</t>
  </si>
  <si>
    <t>ASR reported ($67,180).  Inadvertently reported Salvage of ($17,922) as COR.</t>
  </si>
  <si>
    <t>ASR reported ($20,991).  Inadvertently reported $345 of COR with Accruals.</t>
  </si>
  <si>
    <t>ASR reported ($11,643).  Accruals and Salvage totaling $963 were reported as COR.</t>
  </si>
  <si>
    <t>ASR reported ($2,974).  COR was overstated by $1,021 in error.</t>
  </si>
  <si>
    <t>The following are Hurricanes Matthew and Irma Storm Activity:</t>
  </si>
  <si>
    <t>2019 CONSOLIDATED ELECTRIC DIVISIONS</t>
  </si>
  <si>
    <t>2019 MONTHLY DEPRECIATION EXPENSE (ACTUAL THROUGH DECEMBER)</t>
  </si>
  <si>
    <t>Land</t>
  </si>
  <si>
    <t>Land Rights</t>
  </si>
  <si>
    <t>Structures &amp; Improvements</t>
  </si>
  <si>
    <t>Station Equipment</t>
  </si>
  <si>
    <t>Towers &amp; Fixtures</t>
  </si>
  <si>
    <t>Poles &amp; Fixtures</t>
  </si>
  <si>
    <t>Poles &amp; Fixtures - Concrete</t>
  </si>
  <si>
    <t>Overhead Conductors &amp; Devices</t>
  </si>
  <si>
    <t>Roads &amp; Trails</t>
  </si>
  <si>
    <t>Poles, Towers &amp; Fixtures</t>
  </si>
  <si>
    <t>Underground Conduit</t>
  </si>
  <si>
    <t>Underground Conductors &amp; Device</t>
  </si>
  <si>
    <t>Line Transformers</t>
  </si>
  <si>
    <t>Services</t>
  </si>
  <si>
    <t>Meters</t>
  </si>
  <si>
    <t>Installations on Customers' Premises</t>
  </si>
  <si>
    <t>Street Lighting &amp; Signal Systems</t>
  </si>
  <si>
    <t>Land &amp; Land Rights</t>
  </si>
  <si>
    <t>Office Furniture &amp; Equipment</t>
  </si>
  <si>
    <t>Computers &amp; Peripherals</t>
  </si>
  <si>
    <t>Computer Equipment</t>
  </si>
  <si>
    <t>Office Furniture &amp; Fixtures</t>
  </si>
  <si>
    <t>Software</t>
  </si>
  <si>
    <t>Transportation - Cars</t>
  </si>
  <si>
    <t>Transportation - Light Trucks &amp; Vans</t>
  </si>
  <si>
    <t>Transportation - Heavy Trucks</t>
  </si>
  <si>
    <t>Transportation - Trailers</t>
  </si>
  <si>
    <t>Stores Equipment</t>
  </si>
  <si>
    <t>Tools/Shop Equipment</t>
  </si>
  <si>
    <t>Lab Equipment</t>
  </si>
  <si>
    <t>Power Operated Equipment</t>
  </si>
  <si>
    <t>Communications Equipment</t>
  </si>
  <si>
    <t>Miscellaneous Equipment</t>
  </si>
  <si>
    <t>Misc Tangible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</si>
</sst>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41" formatCode="_(* #,##0_);_(* \(#,##0\);_(* &quot;-&quot;_);_(@_)"/>
    <numFmt numFmtId="44" formatCode="_(&quot;$&quot;* #,##0.00_);_(&quot;$&quot;* \(#,##0.00\);_(&quot;$&quot;* &quot;-&quot;??_);_(@_)"/>
    <numFmt numFmtId="43" formatCode="_(* #,##0.00_);_(* \(#,##0.00\);_(* &quot;-&quot;??_);_(@_)"/>
    <numFmt numFmtId="164" formatCode="General;[Red]\-General"/>
    <numFmt numFmtId="165" formatCode="0.0_);\(0.0\)"/>
    <numFmt numFmtId="166" formatCode="#,##0.0;[Red]\-#,##0.0"/>
    <numFmt numFmtId="167" formatCode="#,##0.0"/>
    <numFmt numFmtId="168" formatCode="#,##0.0_);\(#,##0.0\)"/>
    <numFmt numFmtId="169" formatCode="_(* #,##0_);_(* \(#,##0\);_(* &quot;-&quot;??_);_(@_)"/>
    <numFmt numFmtId="170" formatCode="0.00_);\(0.00\)"/>
    <numFmt numFmtId="171" formatCode="0.0"/>
    <numFmt numFmtId="172" formatCode="0_)"/>
    <numFmt numFmtId="173" formatCode="0_);\(0\)"/>
    <numFmt numFmtId="174" formatCode="_(&quot;$&quot;* #,##0_);_(&quot;$&quot;* \(#,##0\);_(&quot;$&quot;* &quot;-&quot;??_);_(@_)"/>
    <numFmt numFmtId="175" formatCode="0.0%"/>
  </numFmts>
  <fonts count="37">
    <font>
      <sz val="11"/>
      <color theme="1"/>
      <name val="Calibri"/>
      <family val="2"/>
      <scheme val="minor"/>
    </font>
    <font>
      <sz val="12"/>
      <name val="Arial"/>
      <family val="2"/>
    </font>
    <font>
      <b/>
      <sz val="14"/>
      <color indexed="8"/>
      <name val="Arial"/>
      <family val="2"/>
    </font>
    <font>
      <sz val="10"/>
      <name val="Arial"/>
      <family val="2"/>
    </font>
    <font>
      <sz val="14"/>
      <name val="Arial"/>
      <family val="2"/>
    </font>
    <font>
      <b/>
      <sz val="12"/>
      <color indexed="8"/>
      <name val="Arial"/>
      <family val="2"/>
    </font>
    <font>
      <b/>
      <sz val="10"/>
      <color indexed="8"/>
      <name val="Arial"/>
      <family val="2"/>
    </font>
    <font>
      <b/>
      <sz val="10"/>
      <name val="Arial"/>
      <family val="2"/>
    </font>
    <font>
      <sz val="8"/>
      <name val="Arial"/>
      <family val="2"/>
    </font>
    <font>
      <b/>
      <sz val="8"/>
      <color indexed="8"/>
      <name val="Arial"/>
      <family val="2"/>
    </font>
    <font>
      <b/>
      <sz val="8"/>
      <name val="Arial"/>
      <family val="2"/>
    </font>
    <font>
      <b/>
      <u/>
      <sz val="10"/>
      <color indexed="8"/>
      <name val="Arial"/>
      <family val="2"/>
    </font>
    <font>
      <sz val="10"/>
      <color indexed="8"/>
      <name val="Arial"/>
      <family val="2"/>
    </font>
    <font>
      <sz val="12"/>
      <color indexed="8"/>
      <name val="Arial"/>
      <family val="2"/>
    </font>
    <font>
      <sz val="8"/>
      <color indexed="8"/>
      <name val="Arial"/>
      <family val="2"/>
    </font>
    <font>
      <b/>
      <u/>
      <sz val="8"/>
      <color indexed="8"/>
      <name val="Arial"/>
      <family val="2"/>
    </font>
    <font>
      <sz val="12"/>
      <color indexed="8"/>
      <name val="SWISS"/>
    </font>
    <font>
      <sz val="14"/>
      <color indexed="8"/>
      <name val="SWISS"/>
    </font>
    <font>
      <sz val="8"/>
      <color indexed="8"/>
      <name val="SWISS"/>
    </font>
    <font>
      <b/>
      <sz val="12"/>
      <color indexed="8"/>
      <name val="SWISS"/>
    </font>
    <font>
      <b/>
      <sz val="8"/>
      <color indexed="8"/>
      <name val="SWISS"/>
    </font>
    <font>
      <sz val="12"/>
      <name val="SWISS"/>
    </font>
    <font>
      <b/>
      <sz val="14"/>
      <name val="Arial"/>
      <family val="2"/>
    </font>
    <font>
      <b/>
      <sz val="12"/>
      <name val="Arial"/>
      <family val="2"/>
    </font>
    <font>
      <u/>
      <sz val="10"/>
      <name val="Arial"/>
      <family val="2"/>
    </font>
    <font>
      <b/>
      <sz val="9"/>
      <name val="Arial"/>
      <family val="2"/>
    </font>
    <font>
      <sz val="10"/>
      <name val="Helv"/>
    </font>
    <font>
      <b/>
      <u/>
      <sz val="10"/>
      <name val="Arial"/>
      <family val="2"/>
    </font>
    <font>
      <b/>
      <sz val="6"/>
      <name val="Arial"/>
      <family val="2"/>
    </font>
    <font>
      <sz val="6"/>
      <name val="Helv"/>
    </font>
    <font>
      <sz val="9"/>
      <name val="Arial"/>
      <family val="2"/>
    </font>
    <font>
      <sz val="12"/>
      <name val="Arial MT"/>
    </font>
    <font>
      <sz val="12"/>
      <color indexed="12"/>
      <name val="Arial"/>
      <family val="2"/>
    </font>
    <font>
      <sz val="10"/>
      <name val="Arial MT"/>
    </font>
    <font>
      <sz val="10"/>
      <name val="Arial"/>
    </font>
    <font>
      <b/>
      <vertAlign val="superscript"/>
      <sz val="10"/>
      <name val="Arial"/>
      <family val="2"/>
    </font>
    <font>
      <sz val="8"/>
      <name val="Helv"/>
    </font>
  </fonts>
  <fills count="6">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0" tint="-0.249977111117893"/>
        <bgColor indexed="64"/>
      </patternFill>
    </fill>
    <fill>
      <patternFill patternType="solid">
        <fgColor rgb="FFFFFF00"/>
        <bgColor indexed="64"/>
      </patternFill>
    </fill>
  </fills>
  <borders count="10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8"/>
      </right>
      <top style="thin">
        <color indexed="64"/>
      </top>
      <bottom style="thin">
        <color indexed="8"/>
      </bottom>
      <diagonal/>
    </border>
    <border>
      <left style="thin">
        <color indexed="8"/>
      </left>
      <right/>
      <top style="thin">
        <color indexed="64"/>
      </top>
      <bottom/>
      <diagonal/>
    </border>
    <border>
      <left style="thin">
        <color indexed="8"/>
      </left>
      <right/>
      <top style="thin">
        <color indexed="64"/>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64"/>
      </bottom>
      <diagonal/>
    </border>
    <border>
      <left style="thin">
        <color indexed="8"/>
      </left>
      <right/>
      <top/>
      <bottom style="hair">
        <color indexed="64"/>
      </bottom>
      <diagonal/>
    </border>
    <border>
      <left style="thin">
        <color indexed="8"/>
      </left>
      <right/>
      <top style="hair">
        <color indexed="64"/>
      </top>
      <bottom style="hair">
        <color indexed="64"/>
      </bottom>
      <diagonal/>
    </border>
    <border>
      <left style="thin">
        <color indexed="64"/>
      </left>
      <right style="thin">
        <color indexed="8"/>
      </right>
      <top/>
      <bottom/>
      <diagonal/>
    </border>
    <border>
      <left style="thin">
        <color indexed="8"/>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top style="thin">
        <color indexed="64"/>
      </top>
      <bottom style="double">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style="double">
        <color indexed="64"/>
      </right>
      <top/>
      <bottom style="double">
        <color indexed="64"/>
      </bottom>
      <diagonal/>
    </border>
    <border>
      <left style="double">
        <color indexed="64"/>
      </left>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172" fontId="31" fillId="0" borderId="0"/>
    <xf numFmtId="0" fontId="34" fillId="0" borderId="0"/>
  </cellStyleXfs>
  <cellXfs count="778">
    <xf numFmtId="0" fontId="0" fillId="0" borderId="0" xfId="0"/>
    <xf numFmtId="0" fontId="4" fillId="0" borderId="0" xfId="4" applyFont="1"/>
    <xf numFmtId="0" fontId="3" fillId="0" borderId="0" xfId="4"/>
    <xf numFmtId="0" fontId="1" fillId="0" borderId="0" xfId="4" applyFont="1"/>
    <xf numFmtId="49" fontId="6" fillId="0" borderId="0" xfId="3" applyNumberFormat="1" applyFont="1" applyAlignment="1"/>
    <xf numFmtId="164" fontId="6" fillId="0" borderId="0" xfId="3" applyNumberFormat="1" applyFont="1" applyAlignment="1"/>
    <xf numFmtId="164" fontId="6" fillId="0" borderId="0" xfId="3" applyNumberFormat="1" applyFont="1" applyAlignment="1">
      <alignment horizontal="center"/>
    </xf>
    <xf numFmtId="0" fontId="7" fillId="0" borderId="0" xfId="3" applyNumberFormat="1" applyFont="1" applyAlignment="1"/>
    <xf numFmtId="0" fontId="7" fillId="0" borderId="0" xfId="3" applyNumberFormat="1" applyFont="1" applyAlignment="1">
      <alignment horizontal="center"/>
    </xf>
    <xf numFmtId="0" fontId="8" fillId="0" borderId="0" xfId="4" applyFont="1"/>
    <xf numFmtId="49" fontId="9" fillId="2" borderId="1" xfId="3" applyNumberFormat="1" applyFont="1" applyFill="1" applyBorder="1" applyAlignment="1"/>
    <xf numFmtId="49" fontId="9" fillId="2" borderId="2" xfId="3" applyNumberFormat="1" applyFont="1" applyFill="1" applyBorder="1" applyAlignment="1"/>
    <xf numFmtId="164" fontId="9" fillId="2" borderId="1" xfId="3" applyNumberFormat="1" applyFont="1" applyFill="1" applyBorder="1" applyAlignment="1"/>
    <xf numFmtId="164" fontId="9" fillId="2" borderId="3" xfId="3" applyNumberFormat="1" applyFont="1" applyFill="1" applyBorder="1" applyAlignment="1"/>
    <xf numFmtId="164" fontId="9" fillId="2" borderId="2" xfId="3" applyNumberFormat="1" applyFont="1" applyFill="1" applyBorder="1" applyAlignment="1"/>
    <xf numFmtId="0" fontId="10" fillId="2" borderId="7" xfId="3" applyNumberFormat="1" applyFont="1" applyFill="1" applyBorder="1"/>
    <xf numFmtId="49" fontId="6" fillId="2" borderId="8" xfId="3" applyNumberFormat="1" applyFont="1" applyFill="1" applyBorder="1" applyAlignment="1"/>
    <xf numFmtId="49" fontId="6" fillId="2" borderId="0" xfId="3" applyNumberFormat="1" applyFont="1" applyFill="1" applyBorder="1" applyAlignment="1"/>
    <xf numFmtId="164" fontId="6" fillId="2" borderId="8" xfId="3" applyNumberFormat="1" applyFont="1" applyFill="1" applyBorder="1" applyAlignment="1">
      <alignment horizontal="center"/>
    </xf>
    <xf numFmtId="164" fontId="6" fillId="2" borderId="9" xfId="3" applyNumberFormat="1" applyFont="1" applyFill="1" applyBorder="1" applyAlignment="1">
      <alignment horizontal="center"/>
    </xf>
    <xf numFmtId="164" fontId="6" fillId="2" borderId="0" xfId="3" applyNumberFormat="1" applyFont="1" applyFill="1" applyBorder="1" applyAlignment="1">
      <alignment horizontal="center"/>
    </xf>
    <xf numFmtId="164" fontId="6" fillId="2" borderId="10" xfId="3" applyNumberFormat="1" applyFont="1" applyFill="1" applyBorder="1" applyAlignment="1">
      <alignment horizontal="center"/>
    </xf>
    <xf numFmtId="164" fontId="6" fillId="2" borderId="11" xfId="3" applyNumberFormat="1" applyFont="1" applyFill="1" applyBorder="1" applyAlignment="1">
      <alignment horizontal="center"/>
    </xf>
    <xf numFmtId="164" fontId="6" fillId="2" borderId="12" xfId="3" applyNumberFormat="1" applyFont="1" applyFill="1" applyBorder="1" applyAlignment="1">
      <alignment horizontal="center"/>
    </xf>
    <xf numFmtId="0" fontId="7" fillId="2" borderId="13" xfId="3" applyNumberFormat="1" applyFont="1" applyFill="1" applyBorder="1" applyAlignment="1">
      <alignment horizontal="center"/>
    </xf>
    <xf numFmtId="0" fontId="7" fillId="2" borderId="0" xfId="3" applyNumberFormat="1" applyFont="1" applyFill="1" applyBorder="1" applyAlignment="1"/>
    <xf numFmtId="14" fontId="6" fillId="2" borderId="8" xfId="3" applyNumberFormat="1" applyFont="1" applyFill="1" applyBorder="1" applyAlignment="1">
      <alignment horizontal="center"/>
    </xf>
    <xf numFmtId="14" fontId="6" fillId="2" borderId="9" xfId="3" applyNumberFormat="1" applyFont="1" applyFill="1" applyBorder="1" applyAlignment="1">
      <alignment horizontal="center"/>
    </xf>
    <xf numFmtId="14" fontId="6" fillId="2" borderId="0" xfId="3" applyNumberFormat="1" applyFont="1" applyFill="1" applyBorder="1" applyAlignment="1">
      <alignment horizontal="center"/>
    </xf>
    <xf numFmtId="49" fontId="11" fillId="2" borderId="8" xfId="3" applyNumberFormat="1" applyFont="1" applyFill="1" applyBorder="1" applyAlignment="1"/>
    <xf numFmtId="49" fontId="6" fillId="2" borderId="14" xfId="3" applyNumberFormat="1" applyFont="1" applyFill="1" applyBorder="1" applyAlignment="1">
      <alignment horizontal="centerContinuous"/>
    </xf>
    <xf numFmtId="49" fontId="6" fillId="2" borderId="15" xfId="3" applyNumberFormat="1" applyFont="1" applyFill="1" applyBorder="1" applyAlignment="1">
      <alignment horizontal="centerContinuous"/>
    </xf>
    <xf numFmtId="164" fontId="6" fillId="2" borderId="14" xfId="3" applyNumberFormat="1" applyFont="1" applyFill="1" applyBorder="1" applyAlignment="1">
      <alignment horizontal="center"/>
    </xf>
    <xf numFmtId="164" fontId="6" fillId="2" borderId="16" xfId="3" applyNumberFormat="1" applyFont="1" applyFill="1" applyBorder="1" applyAlignment="1">
      <alignment horizontal="center"/>
    </xf>
    <xf numFmtId="164" fontId="6" fillId="2" borderId="15" xfId="3" applyNumberFormat="1" applyFont="1" applyFill="1" applyBorder="1" applyAlignment="1">
      <alignment horizontal="center"/>
    </xf>
    <xf numFmtId="0" fontId="7" fillId="2" borderId="13" xfId="3" applyNumberFormat="1" applyFont="1" applyFill="1" applyBorder="1" applyAlignment="1"/>
    <xf numFmtId="49" fontId="6" fillId="0" borderId="17" xfId="3" applyNumberFormat="1" applyFont="1" applyBorder="1" applyAlignment="1"/>
    <xf numFmtId="49" fontId="6" fillId="0" borderId="18" xfId="3" applyNumberFormat="1" applyFont="1" applyBorder="1" applyAlignment="1"/>
    <xf numFmtId="164" fontId="6" fillId="0" borderId="17" xfId="3" applyNumberFormat="1" applyFont="1" applyFill="1" applyBorder="1" applyAlignment="1">
      <alignment horizontal="center"/>
    </xf>
    <xf numFmtId="164" fontId="6" fillId="0" borderId="19" xfId="3" applyNumberFormat="1" applyFont="1" applyFill="1" applyBorder="1" applyAlignment="1">
      <alignment horizontal="center"/>
    </xf>
    <xf numFmtId="164" fontId="6" fillId="0" borderId="18" xfId="3" applyNumberFormat="1" applyFont="1" applyFill="1" applyBorder="1" applyAlignment="1">
      <alignment horizontal="center"/>
    </xf>
    <xf numFmtId="0" fontId="7" fillId="0" borderId="13" xfId="3" applyNumberFormat="1" applyFont="1" applyFill="1" applyBorder="1"/>
    <xf numFmtId="164" fontId="6" fillId="0" borderId="18" xfId="3" applyNumberFormat="1" applyFont="1" applyBorder="1" applyAlignment="1">
      <alignment horizontal="center"/>
    </xf>
    <xf numFmtId="164" fontId="6" fillId="0" borderId="19" xfId="3" applyNumberFormat="1" applyFont="1" applyBorder="1" applyAlignment="1">
      <alignment horizontal="center"/>
    </xf>
    <xf numFmtId="49" fontId="6" fillId="2" borderId="20" xfId="3" applyNumberFormat="1" applyFont="1" applyFill="1" applyBorder="1" applyAlignment="1"/>
    <xf numFmtId="49" fontId="6" fillId="2" borderId="21" xfId="3" applyNumberFormat="1" applyFont="1" applyFill="1" applyBorder="1" applyAlignment="1"/>
    <xf numFmtId="164" fontId="12" fillId="0" borderId="20" xfId="3" applyNumberFormat="1" applyFont="1" applyFill="1" applyBorder="1" applyAlignment="1"/>
    <xf numFmtId="164" fontId="12" fillId="0" borderId="22" xfId="3" applyNumberFormat="1" applyFont="1" applyFill="1" applyBorder="1" applyAlignment="1"/>
    <xf numFmtId="164" fontId="12" fillId="0" borderId="21" xfId="3" applyNumberFormat="1" applyFont="1" applyFill="1" applyBorder="1" applyAlignment="1"/>
    <xf numFmtId="164" fontId="12" fillId="0" borderId="20" xfId="3" applyNumberFormat="1" applyFont="1" applyFill="1" applyBorder="1" applyAlignment="1">
      <alignment horizontal="center"/>
    </xf>
    <xf numFmtId="164" fontId="12" fillId="0" borderId="21" xfId="3" applyNumberFormat="1" applyFont="1" applyFill="1" applyBorder="1" applyAlignment="1">
      <alignment horizontal="center"/>
    </xf>
    <xf numFmtId="164" fontId="12" fillId="0" borderId="22" xfId="3" applyNumberFormat="1" applyFont="1" applyFill="1" applyBorder="1" applyAlignment="1">
      <alignment horizontal="center"/>
    </xf>
    <xf numFmtId="0" fontId="3" fillId="0" borderId="13" xfId="3" applyNumberFormat="1" applyFont="1" applyFill="1" applyBorder="1"/>
    <xf numFmtId="49" fontId="6" fillId="0" borderId="20" xfId="3" applyNumberFormat="1" applyFont="1" applyBorder="1" applyAlignment="1">
      <alignment vertical="center"/>
    </xf>
    <xf numFmtId="49" fontId="6" fillId="0" borderId="21" xfId="3" applyNumberFormat="1" applyFont="1" applyBorder="1" applyAlignment="1">
      <alignment vertical="center" wrapText="1"/>
    </xf>
    <xf numFmtId="5" fontId="12" fillId="0" borderId="20" xfId="3" applyNumberFormat="1" applyFont="1" applyFill="1" applyBorder="1" applyAlignment="1">
      <alignment vertical="center"/>
    </xf>
    <xf numFmtId="5" fontId="12" fillId="0" borderId="22" xfId="3" applyNumberFormat="1" applyFont="1" applyFill="1" applyBorder="1" applyAlignment="1">
      <alignment vertical="center"/>
    </xf>
    <xf numFmtId="5" fontId="12" fillId="0" borderId="21" xfId="3" applyNumberFormat="1" applyFont="1" applyFill="1" applyBorder="1" applyAlignment="1">
      <alignment vertical="center"/>
    </xf>
    <xf numFmtId="165" fontId="12" fillId="0" borderId="20" xfId="3" applyNumberFormat="1" applyFont="1" applyFill="1" applyBorder="1" applyAlignment="1">
      <alignment horizontal="center" vertical="center"/>
    </xf>
    <xf numFmtId="165" fontId="12" fillId="0" borderId="21" xfId="3" applyNumberFormat="1" applyFont="1" applyFill="1" applyBorder="1" applyAlignment="1">
      <alignment horizontal="center" vertical="center"/>
    </xf>
    <xf numFmtId="166" fontId="12" fillId="0" borderId="22" xfId="3" applyNumberFormat="1" applyFont="1" applyFill="1" applyBorder="1" applyAlignment="1">
      <alignment horizontal="center" vertical="center"/>
    </xf>
    <xf numFmtId="167" fontId="3" fillId="0" borderId="13" xfId="3" applyNumberFormat="1" applyFont="1" applyFill="1" applyBorder="1" applyAlignment="1">
      <alignment vertical="center"/>
    </xf>
    <xf numFmtId="168" fontId="12" fillId="0" borderId="20" xfId="3" applyNumberFormat="1" applyFont="1" applyFill="1" applyBorder="1" applyAlignment="1">
      <alignment horizontal="center" vertical="center"/>
    </xf>
    <xf numFmtId="168" fontId="12" fillId="0" borderId="21" xfId="3" applyNumberFormat="1" applyFont="1" applyFill="1" applyBorder="1" applyAlignment="1">
      <alignment horizontal="center" vertical="center"/>
    </xf>
    <xf numFmtId="49" fontId="6" fillId="0" borderId="23" xfId="3" applyNumberFormat="1" applyFont="1" applyBorder="1" applyAlignment="1">
      <alignment vertical="center" wrapText="1"/>
    </xf>
    <xf numFmtId="49" fontId="6" fillId="2" borderId="24" xfId="3" applyNumberFormat="1" applyFont="1" applyFill="1" applyBorder="1" applyAlignment="1">
      <alignment vertical="center" wrapText="1"/>
    </xf>
    <xf numFmtId="5" fontId="6" fillId="0" borderId="25" xfId="3" applyNumberFormat="1" applyFont="1" applyFill="1" applyBorder="1" applyAlignment="1">
      <alignment vertical="center"/>
    </xf>
    <xf numFmtId="5" fontId="6" fillId="0" borderId="26" xfId="3" applyNumberFormat="1" applyFont="1" applyFill="1" applyBorder="1" applyAlignment="1">
      <alignment vertical="center"/>
    </xf>
    <xf numFmtId="5" fontId="6" fillId="0" borderId="0" xfId="3" applyNumberFormat="1" applyFont="1" applyFill="1" applyBorder="1" applyAlignment="1">
      <alignment vertical="center"/>
    </xf>
    <xf numFmtId="165" fontId="6" fillId="0" borderId="20" xfId="3" applyNumberFormat="1" applyFont="1" applyFill="1" applyBorder="1" applyAlignment="1">
      <alignment horizontal="center" vertical="center"/>
    </xf>
    <xf numFmtId="165" fontId="6" fillId="0" borderId="21" xfId="3" applyNumberFormat="1" applyFont="1" applyFill="1" applyBorder="1" applyAlignment="1">
      <alignment horizontal="center" vertical="center"/>
    </xf>
    <xf numFmtId="166" fontId="6" fillId="0" borderId="22" xfId="3" applyNumberFormat="1" applyFont="1" applyFill="1" applyBorder="1" applyAlignment="1">
      <alignment horizontal="center" vertical="center"/>
    </xf>
    <xf numFmtId="167" fontId="7" fillId="0" borderId="13" xfId="3" applyNumberFormat="1" applyFont="1" applyFill="1" applyBorder="1" applyAlignment="1">
      <alignment vertical="center"/>
    </xf>
    <xf numFmtId="168" fontId="6" fillId="0" borderId="20" xfId="3" applyNumberFormat="1" applyFont="1" applyFill="1" applyBorder="1" applyAlignment="1">
      <alignment horizontal="center" vertical="center"/>
    </xf>
    <xf numFmtId="168" fontId="6" fillId="0" borderId="21" xfId="3" applyNumberFormat="1" applyFont="1" applyFill="1" applyBorder="1" applyAlignment="1">
      <alignment horizontal="center" vertical="center"/>
    </xf>
    <xf numFmtId="0" fontId="10" fillId="0" borderId="0" xfId="4" applyFont="1"/>
    <xf numFmtId="49" fontId="6" fillId="0" borderId="18" xfId="3" applyNumberFormat="1" applyFont="1" applyBorder="1" applyAlignment="1">
      <alignment vertical="center" wrapText="1"/>
    </xf>
    <xf numFmtId="5" fontId="12" fillId="0" borderId="17" xfId="3" applyNumberFormat="1" applyFont="1" applyFill="1" applyBorder="1" applyAlignment="1">
      <alignment vertical="center"/>
    </xf>
    <xf numFmtId="5" fontId="12" fillId="0" borderId="19" xfId="3" applyNumberFormat="1" applyFont="1" applyFill="1" applyBorder="1" applyAlignment="1">
      <alignment vertical="center"/>
    </xf>
    <xf numFmtId="5" fontId="12" fillId="0" borderId="18" xfId="3" applyNumberFormat="1" applyFont="1" applyFill="1" applyBorder="1" applyAlignment="1">
      <alignment vertical="center"/>
    </xf>
    <xf numFmtId="49" fontId="6" fillId="2" borderId="20" xfId="3" applyNumberFormat="1" applyFont="1" applyFill="1" applyBorder="1" applyAlignment="1">
      <alignment vertical="center"/>
    </xf>
    <xf numFmtId="49" fontId="6" fillId="2" borderId="21" xfId="3" applyNumberFormat="1" applyFont="1" applyFill="1" applyBorder="1" applyAlignment="1">
      <alignment vertical="center" wrapText="1"/>
    </xf>
    <xf numFmtId="49" fontId="6" fillId="0" borderId="23" xfId="3" applyNumberFormat="1" applyFont="1" applyBorder="1" applyAlignment="1">
      <alignment vertical="center"/>
    </xf>
    <xf numFmtId="5" fontId="12" fillId="0" borderId="27" xfId="3" applyNumberFormat="1" applyFont="1" applyFill="1" applyBorder="1" applyAlignment="1">
      <alignment vertical="center"/>
    </xf>
    <xf numFmtId="5" fontId="12" fillId="0" borderId="28" xfId="3" applyNumberFormat="1" applyFont="1" applyFill="1" applyBorder="1" applyAlignment="1">
      <alignment vertical="center"/>
    </xf>
    <xf numFmtId="5" fontId="12" fillId="0" borderId="23" xfId="3" applyNumberFormat="1" applyFont="1" applyFill="1" applyBorder="1" applyAlignment="1">
      <alignment vertical="center"/>
    </xf>
    <xf numFmtId="167" fontId="3" fillId="0" borderId="20" xfId="3" applyNumberFormat="1" applyFont="1" applyFill="1" applyBorder="1" applyAlignment="1">
      <alignment horizontal="center" vertical="center"/>
    </xf>
    <xf numFmtId="167" fontId="3" fillId="0" borderId="21" xfId="3" applyNumberFormat="1" applyFont="1" applyFill="1" applyBorder="1" applyAlignment="1">
      <alignment horizontal="center" vertical="center"/>
    </xf>
    <xf numFmtId="167" fontId="3" fillId="0" borderId="22" xfId="3" applyNumberFormat="1" applyFont="1" applyFill="1" applyBorder="1" applyAlignment="1">
      <alignment horizontal="center" vertical="center"/>
    </xf>
    <xf numFmtId="49" fontId="6" fillId="0" borderId="20" xfId="3" applyNumberFormat="1" applyFont="1" applyBorder="1" applyAlignment="1"/>
    <xf numFmtId="49" fontId="6" fillId="2" borderId="24" xfId="3" applyNumberFormat="1" applyFont="1" applyFill="1" applyBorder="1" applyAlignment="1"/>
    <xf numFmtId="5" fontId="6" fillId="0" borderId="25" xfId="3" applyNumberFormat="1" applyFont="1" applyFill="1" applyBorder="1" applyAlignment="1"/>
    <xf numFmtId="5" fontId="6" fillId="0" borderId="26" xfId="3" applyNumberFormat="1" applyFont="1" applyFill="1" applyBorder="1" applyAlignment="1"/>
    <xf numFmtId="5" fontId="6" fillId="0" borderId="0" xfId="3" applyNumberFormat="1" applyFont="1" applyFill="1" applyBorder="1" applyAlignment="1"/>
    <xf numFmtId="165" fontId="6" fillId="0" borderId="20" xfId="3" applyNumberFormat="1" applyFont="1" applyFill="1" applyBorder="1" applyAlignment="1">
      <alignment horizontal="center"/>
    </xf>
    <xf numFmtId="165" fontId="6" fillId="0" borderId="21" xfId="3" applyNumberFormat="1" applyFont="1" applyFill="1" applyBorder="1" applyAlignment="1">
      <alignment horizontal="center"/>
    </xf>
    <xf numFmtId="166" fontId="6" fillId="0" borderId="22" xfId="3" applyNumberFormat="1" applyFont="1" applyFill="1" applyBorder="1" applyAlignment="1">
      <alignment horizontal="center"/>
    </xf>
    <xf numFmtId="167" fontId="7" fillId="0" borderId="13" xfId="3" applyNumberFormat="1" applyFont="1" applyFill="1" applyBorder="1"/>
    <xf numFmtId="167" fontId="7" fillId="0" borderId="20" xfId="3" applyNumberFormat="1" applyFont="1" applyFill="1" applyBorder="1" applyAlignment="1">
      <alignment horizontal="center"/>
    </xf>
    <xf numFmtId="167" fontId="7" fillId="0" borderId="21" xfId="3" applyNumberFormat="1" applyFont="1" applyFill="1" applyBorder="1" applyAlignment="1">
      <alignment horizontal="center"/>
    </xf>
    <xf numFmtId="167" fontId="7" fillId="0" borderId="22" xfId="3" applyNumberFormat="1" applyFont="1" applyFill="1" applyBorder="1" applyAlignment="1">
      <alignment horizontal="center"/>
    </xf>
    <xf numFmtId="49" fontId="6" fillId="0" borderId="27" xfId="3" applyNumberFormat="1" applyFont="1" applyBorder="1" applyAlignment="1"/>
    <xf numFmtId="49" fontId="6" fillId="0" borderId="0" xfId="3" applyNumberFormat="1" applyFont="1" applyBorder="1" applyAlignment="1"/>
    <xf numFmtId="5" fontId="12" fillId="0" borderId="8" xfId="3" applyNumberFormat="1" applyFont="1" applyFill="1" applyBorder="1" applyAlignment="1"/>
    <xf numFmtId="5" fontId="12" fillId="0" borderId="9" xfId="3" applyNumberFormat="1" applyFont="1" applyFill="1" applyBorder="1" applyAlignment="1"/>
    <xf numFmtId="5" fontId="12" fillId="0" borderId="0" xfId="3" applyNumberFormat="1" applyFont="1" applyFill="1" applyBorder="1" applyAlignment="1"/>
    <xf numFmtId="165" fontId="12" fillId="0" borderId="20" xfId="3" applyNumberFormat="1" applyFont="1" applyFill="1" applyBorder="1" applyAlignment="1">
      <alignment horizontal="center"/>
    </xf>
    <xf numFmtId="165" fontId="12" fillId="0" borderId="21" xfId="3" applyNumberFormat="1" applyFont="1" applyFill="1" applyBorder="1" applyAlignment="1">
      <alignment horizontal="center"/>
    </xf>
    <xf numFmtId="166" fontId="12" fillId="0" borderId="22" xfId="3" applyNumberFormat="1" applyFont="1" applyFill="1" applyBorder="1" applyAlignment="1">
      <alignment horizontal="center"/>
    </xf>
    <xf numFmtId="167" fontId="3" fillId="0" borderId="13" xfId="3" applyNumberFormat="1" applyFont="1" applyFill="1" applyBorder="1"/>
    <xf numFmtId="167" fontId="3" fillId="0" borderId="20" xfId="3" applyNumberFormat="1" applyFont="1" applyFill="1" applyBorder="1" applyAlignment="1">
      <alignment horizontal="center"/>
    </xf>
    <xf numFmtId="167" fontId="3" fillId="0" borderId="21" xfId="3" applyNumberFormat="1" applyFont="1" applyBorder="1" applyAlignment="1">
      <alignment horizontal="center"/>
    </xf>
    <xf numFmtId="167" fontId="3" fillId="0" borderId="22" xfId="3" applyNumberFormat="1" applyFont="1" applyBorder="1" applyAlignment="1">
      <alignment horizontal="center"/>
    </xf>
    <xf numFmtId="49" fontId="6" fillId="2" borderId="29" xfId="3" applyNumberFormat="1" applyFont="1" applyFill="1" applyBorder="1" applyAlignment="1"/>
    <xf numFmtId="41" fontId="6" fillId="2" borderId="29" xfId="3" applyNumberFormat="1" applyFont="1" applyFill="1" applyBorder="1" applyAlignment="1"/>
    <xf numFmtId="41" fontId="6" fillId="2" borderId="30" xfId="3" applyNumberFormat="1" applyFont="1" applyFill="1" applyBorder="1" applyAlignment="1"/>
    <xf numFmtId="41" fontId="6" fillId="0" borderId="0" xfId="3" applyNumberFormat="1" applyFont="1" applyFill="1" applyBorder="1" applyAlignment="1"/>
    <xf numFmtId="167" fontId="7" fillId="0" borderId="21" xfId="3" applyNumberFormat="1" applyFont="1" applyBorder="1" applyAlignment="1">
      <alignment horizontal="center"/>
    </xf>
    <xf numFmtId="167" fontId="7" fillId="0" borderId="22" xfId="3" applyNumberFormat="1" applyFont="1" applyBorder="1" applyAlignment="1">
      <alignment horizontal="center"/>
    </xf>
    <xf numFmtId="0" fontId="7" fillId="0" borderId="14" xfId="3" applyNumberFormat="1" applyFont="1" applyBorder="1" applyAlignment="1"/>
    <xf numFmtId="0" fontId="7" fillId="0" borderId="15" xfId="3" applyNumberFormat="1" applyFont="1" applyBorder="1" applyAlignment="1"/>
    <xf numFmtId="41" fontId="3" fillId="0" borderId="14" xfId="3" applyNumberFormat="1" applyFont="1" applyBorder="1" applyAlignment="1"/>
    <xf numFmtId="41" fontId="3" fillId="0" borderId="16" xfId="3" applyNumberFormat="1" applyFont="1" applyBorder="1" applyAlignment="1"/>
    <xf numFmtId="41" fontId="3" fillId="0" borderId="15" xfId="3" applyNumberFormat="1" applyFont="1" applyBorder="1" applyAlignment="1"/>
    <xf numFmtId="165" fontId="3" fillId="0" borderId="14" xfId="3" applyNumberFormat="1" applyFont="1" applyBorder="1" applyAlignment="1">
      <alignment horizontal="center"/>
    </xf>
    <xf numFmtId="165" fontId="3" fillId="0" borderId="15" xfId="3" applyNumberFormat="1" applyFont="1" applyBorder="1" applyAlignment="1">
      <alignment horizontal="center"/>
    </xf>
    <xf numFmtId="0" fontId="3" fillId="0" borderId="16" xfId="3" applyNumberFormat="1" applyFont="1" applyBorder="1" applyAlignment="1">
      <alignment horizontal="center"/>
    </xf>
    <xf numFmtId="0" fontId="3" fillId="0" borderId="31" xfId="3" applyNumberFormat="1" applyFont="1" applyBorder="1" applyAlignment="1"/>
    <xf numFmtId="0" fontId="3" fillId="0" borderId="14" xfId="3" applyNumberFormat="1" applyFont="1" applyBorder="1" applyAlignment="1">
      <alignment horizontal="center"/>
    </xf>
    <xf numFmtId="0" fontId="3" fillId="0" borderId="15" xfId="3" applyNumberFormat="1" applyFont="1" applyBorder="1" applyAlignment="1">
      <alignment horizontal="center"/>
    </xf>
    <xf numFmtId="49" fontId="1" fillId="0" borderId="0" xfId="3" applyNumberFormat="1" applyFont="1" applyAlignment="1">
      <alignment horizontal="right"/>
    </xf>
    <xf numFmtId="49" fontId="3" fillId="0" borderId="0" xfId="3" applyNumberFormat="1" applyFont="1" applyAlignment="1"/>
    <xf numFmtId="41" fontId="3" fillId="0" borderId="0" xfId="4" quotePrefix="1" applyNumberFormat="1"/>
    <xf numFmtId="169" fontId="3" fillId="0" borderId="0" xfId="4" applyNumberFormat="1"/>
    <xf numFmtId="164" fontId="2" fillId="0" borderId="0" xfId="3" applyNumberFormat="1" applyFont="1" applyAlignment="1">
      <alignment horizontal="center"/>
    </xf>
    <xf numFmtId="164" fontId="5" fillId="0" borderId="0" xfId="3" applyNumberFormat="1" applyFont="1" applyAlignment="1">
      <alignment horizontal="center"/>
    </xf>
    <xf numFmtId="49" fontId="9" fillId="0" borderId="0" xfId="3" applyNumberFormat="1" applyFont="1" applyAlignment="1">
      <alignment horizontal="centerContinuous"/>
    </xf>
    <xf numFmtId="164" fontId="9" fillId="0" borderId="0" xfId="3" applyNumberFormat="1" applyFont="1" applyAlignment="1">
      <alignment horizontal="centerContinuous"/>
    </xf>
    <xf numFmtId="164" fontId="9" fillId="0" borderId="0" xfId="3" applyNumberFormat="1" applyFont="1" applyBorder="1" applyAlignment="1">
      <alignment horizontal="centerContinuous"/>
    </xf>
    <xf numFmtId="49" fontId="9" fillId="2" borderId="3" xfId="3" applyNumberFormat="1" applyFont="1" applyFill="1" applyBorder="1" applyAlignment="1"/>
    <xf numFmtId="164" fontId="9" fillId="2" borderId="33" xfId="3" applyNumberFormat="1" applyFont="1" applyFill="1" applyBorder="1" applyAlignment="1"/>
    <xf numFmtId="164" fontId="9" fillId="0" borderId="0" xfId="3" applyNumberFormat="1" applyFont="1" applyBorder="1" applyAlignment="1"/>
    <xf numFmtId="49" fontId="9" fillId="2" borderId="8" xfId="3" applyNumberFormat="1" applyFont="1" applyFill="1" applyBorder="1" applyAlignment="1"/>
    <xf numFmtId="49" fontId="9" fillId="2" borderId="9" xfId="3" applyNumberFormat="1" applyFont="1" applyFill="1" applyBorder="1" applyAlignment="1"/>
    <xf numFmtId="164" fontId="9" fillId="2" borderId="11" xfId="3" applyNumberFormat="1" applyFont="1" applyFill="1" applyBorder="1" applyAlignment="1">
      <alignment horizontal="center"/>
    </xf>
    <xf numFmtId="164" fontId="9" fillId="2" borderId="11" xfId="3" applyNumberFormat="1" applyFont="1" applyFill="1" applyBorder="1" applyAlignment="1"/>
    <xf numFmtId="164" fontId="9" fillId="2" borderId="35" xfId="3" applyNumberFormat="1" applyFont="1" applyFill="1" applyBorder="1" applyAlignment="1"/>
    <xf numFmtId="164" fontId="9" fillId="2" borderId="36" xfId="3" applyNumberFormat="1" applyFont="1" applyFill="1" applyBorder="1" applyAlignment="1">
      <alignment horizontal="center"/>
    </xf>
    <xf numFmtId="164" fontId="9" fillId="2" borderId="12" xfId="3" applyNumberFormat="1" applyFont="1" applyFill="1" applyBorder="1" applyAlignment="1">
      <alignment horizontal="center"/>
    </xf>
    <xf numFmtId="164" fontId="9" fillId="2" borderId="0" xfId="3" applyNumberFormat="1" applyFont="1" applyFill="1" applyBorder="1" applyAlignment="1">
      <alignment horizontal="center"/>
    </xf>
    <xf numFmtId="164" fontId="9" fillId="2" borderId="35" xfId="3" applyNumberFormat="1" applyFont="1" applyFill="1" applyBorder="1" applyAlignment="1">
      <alignment horizontal="center"/>
    </xf>
    <xf numFmtId="14" fontId="9" fillId="2" borderId="0" xfId="3" applyNumberFormat="1" applyFont="1" applyFill="1" applyBorder="1" applyAlignment="1">
      <alignment horizontal="center"/>
    </xf>
    <xf numFmtId="164" fontId="9" fillId="2" borderId="9" xfId="3" applyNumberFormat="1" applyFont="1" applyFill="1" applyBorder="1" applyAlignment="1">
      <alignment horizontal="center"/>
    </xf>
    <xf numFmtId="49" fontId="9" fillId="2" borderId="14" xfId="3" applyNumberFormat="1" applyFont="1" applyFill="1" applyBorder="1" applyAlignment="1">
      <alignment horizontal="centerContinuous"/>
    </xf>
    <xf numFmtId="49" fontId="10" fillId="2" borderId="16" xfId="3" applyNumberFormat="1" applyFont="1" applyFill="1" applyBorder="1" applyAlignment="1">
      <alignment horizontal="centerContinuous"/>
    </xf>
    <xf numFmtId="164" fontId="9" fillId="2" borderId="15" xfId="3" applyNumberFormat="1" applyFont="1" applyFill="1" applyBorder="1" applyAlignment="1">
      <alignment horizontal="center"/>
    </xf>
    <xf numFmtId="164" fontId="9" fillId="2" borderId="37" xfId="3" applyNumberFormat="1" applyFont="1" applyFill="1" applyBorder="1" applyAlignment="1">
      <alignment horizontal="center"/>
    </xf>
    <xf numFmtId="164" fontId="9" fillId="2" borderId="16" xfId="3" applyNumberFormat="1" applyFont="1" applyFill="1" applyBorder="1" applyAlignment="1">
      <alignment horizontal="center"/>
    </xf>
    <xf numFmtId="49" fontId="10" fillId="0" borderId="17" xfId="3" applyNumberFormat="1" applyFont="1" applyBorder="1" applyAlignment="1"/>
    <xf numFmtId="49" fontId="10" fillId="0" borderId="18" xfId="3" applyNumberFormat="1" applyFont="1" applyBorder="1" applyAlignment="1"/>
    <xf numFmtId="166" fontId="9" fillId="0" borderId="38" xfId="3" applyNumberFormat="1" applyFont="1" applyBorder="1" applyAlignment="1"/>
    <xf numFmtId="166" fontId="9" fillId="0" borderId="18" xfId="3" applyNumberFormat="1" applyFont="1" applyBorder="1" applyAlignment="1"/>
    <xf numFmtId="164" fontId="9" fillId="0" borderId="38" xfId="3" applyNumberFormat="1" applyFont="1" applyBorder="1" applyAlignment="1"/>
    <xf numFmtId="0" fontId="14" fillId="0" borderId="38" xfId="3" applyNumberFormat="1" applyFont="1" applyFill="1" applyBorder="1" applyAlignment="1"/>
    <xf numFmtId="0" fontId="8" fillId="0" borderId="18" xfId="3" applyNumberFormat="1" applyFont="1" applyFill="1" applyBorder="1" applyAlignment="1"/>
    <xf numFmtId="0" fontId="14" fillId="0" borderId="19" xfId="3" applyNumberFormat="1" applyFont="1" applyFill="1" applyBorder="1" applyAlignment="1"/>
    <xf numFmtId="164" fontId="14" fillId="0" borderId="18" xfId="3" applyNumberFormat="1" applyFont="1" applyBorder="1" applyAlignment="1"/>
    <xf numFmtId="49" fontId="15" fillId="2" borderId="20" xfId="3" applyNumberFormat="1" applyFont="1" applyFill="1" applyBorder="1" applyAlignment="1"/>
    <xf numFmtId="49" fontId="9" fillId="2" borderId="21" xfId="3" applyNumberFormat="1" applyFont="1" applyFill="1" applyBorder="1" applyAlignment="1"/>
    <xf numFmtId="166" fontId="12" fillId="0" borderId="39" xfId="3" applyNumberFormat="1" applyFont="1" applyBorder="1" applyAlignment="1"/>
    <xf numFmtId="166" fontId="12" fillId="0" borderId="21" xfId="3" applyNumberFormat="1" applyFont="1" applyBorder="1" applyAlignment="1"/>
    <xf numFmtId="164" fontId="12" fillId="0" borderId="39" xfId="3" applyNumberFormat="1" applyFont="1" applyBorder="1" applyAlignment="1"/>
    <xf numFmtId="0" fontId="12" fillId="0" borderId="39" xfId="3" applyNumberFormat="1" applyFont="1" applyFill="1" applyBorder="1" applyAlignment="1"/>
    <xf numFmtId="0" fontId="3" fillId="0" borderId="21" xfId="3" applyNumberFormat="1" applyFont="1" applyFill="1" applyBorder="1" applyAlignment="1"/>
    <xf numFmtId="0" fontId="12" fillId="0" borderId="22" xfId="3" applyNumberFormat="1" applyFont="1" applyFill="1" applyBorder="1" applyAlignment="1"/>
    <xf numFmtId="164" fontId="16" fillId="0" borderId="0" xfId="3" applyNumberFormat="1" applyFont="1" applyBorder="1" applyAlignment="1"/>
    <xf numFmtId="49" fontId="9" fillId="0" borderId="20" xfId="3" applyNumberFormat="1" applyFont="1" applyBorder="1" applyAlignment="1"/>
    <xf numFmtId="49" fontId="9" fillId="0" borderId="21" xfId="3" applyNumberFormat="1" applyFont="1" applyBorder="1" applyAlignment="1"/>
    <xf numFmtId="166" fontId="12" fillId="0" borderId="39" xfId="3" applyNumberFormat="1" applyFont="1" applyBorder="1" applyAlignment="1">
      <alignment horizontal="center"/>
    </xf>
    <xf numFmtId="168" fontId="12" fillId="0" borderId="21" xfId="3" applyNumberFormat="1" applyFont="1" applyBorder="1" applyAlignment="1">
      <alignment horizontal="center"/>
    </xf>
    <xf numFmtId="164" fontId="12" fillId="0" borderId="39" xfId="3" applyNumberFormat="1" applyFont="1" applyBorder="1" applyAlignment="1">
      <alignment horizontal="center"/>
    </xf>
    <xf numFmtId="168" fontId="12" fillId="0" borderId="39" xfId="3" applyNumberFormat="1" applyFont="1" applyFill="1" applyBorder="1" applyAlignment="1">
      <alignment horizontal="center"/>
    </xf>
    <xf numFmtId="168" fontId="12" fillId="0" borderId="21" xfId="3" applyNumberFormat="1" applyFont="1" applyFill="1" applyBorder="1" applyAlignment="1">
      <alignment horizontal="center"/>
    </xf>
    <xf numFmtId="2" fontId="12" fillId="0" borderId="21" xfId="3" applyNumberFormat="1" applyFont="1" applyFill="1" applyBorder="1" applyAlignment="1">
      <alignment horizontal="center"/>
    </xf>
    <xf numFmtId="168" fontId="12" fillId="0" borderId="22" xfId="3" applyNumberFormat="1" applyFont="1" applyFill="1" applyBorder="1" applyAlignment="1">
      <alignment horizontal="center"/>
    </xf>
    <xf numFmtId="164" fontId="17" fillId="0" borderId="0" xfId="3" applyNumberFormat="1" applyFont="1" applyBorder="1" applyAlignment="1"/>
    <xf numFmtId="49" fontId="9" fillId="0" borderId="21" xfId="3" applyNumberFormat="1" applyFont="1" applyFill="1" applyBorder="1" applyAlignment="1"/>
    <xf numFmtId="166" fontId="12" fillId="0" borderId="39" xfId="3" applyNumberFormat="1" applyFont="1" applyFill="1" applyBorder="1" applyAlignment="1">
      <alignment horizontal="center"/>
    </xf>
    <xf numFmtId="164" fontId="12" fillId="0" borderId="39" xfId="3" applyNumberFormat="1" applyFont="1" applyFill="1" applyBorder="1" applyAlignment="1">
      <alignment horizontal="center"/>
    </xf>
    <xf numFmtId="166" fontId="14" fillId="0" borderId="39" xfId="3" applyNumberFormat="1" applyFont="1" applyBorder="1" applyAlignment="1">
      <alignment horizontal="center"/>
    </xf>
    <xf numFmtId="166" fontId="14" fillId="0" borderId="21" xfId="3" applyNumberFormat="1" applyFont="1" applyBorder="1" applyAlignment="1">
      <alignment horizontal="center"/>
    </xf>
    <xf numFmtId="164" fontId="14" fillId="0" borderId="39" xfId="3" applyNumberFormat="1" applyFont="1" applyBorder="1" applyAlignment="1">
      <alignment horizontal="center"/>
    </xf>
    <xf numFmtId="168" fontId="14" fillId="0" borderId="22" xfId="3" applyNumberFormat="1" applyFont="1" applyFill="1" applyBorder="1" applyAlignment="1">
      <alignment horizontal="center"/>
    </xf>
    <xf numFmtId="164" fontId="18" fillId="0" borderId="0" xfId="3" applyNumberFormat="1" applyFont="1" applyBorder="1" applyAlignment="1"/>
    <xf numFmtId="49" fontId="10" fillId="0" borderId="21" xfId="3" applyNumberFormat="1" applyFont="1" applyBorder="1" applyAlignment="1"/>
    <xf numFmtId="164" fontId="14" fillId="0" borderId="21" xfId="3" applyNumberFormat="1" applyFont="1" applyBorder="1" applyAlignment="1">
      <alignment horizontal="center"/>
    </xf>
    <xf numFmtId="168" fontId="14" fillId="0" borderId="39" xfId="3" applyNumberFormat="1" applyFont="1" applyFill="1" applyBorder="1" applyAlignment="1">
      <alignment horizontal="center"/>
    </xf>
    <xf numFmtId="168" fontId="14" fillId="0" borderId="21" xfId="3" applyNumberFormat="1" applyFont="1" applyFill="1" applyBorder="1" applyAlignment="1">
      <alignment horizontal="center"/>
    </xf>
    <xf numFmtId="2" fontId="14" fillId="0" borderId="21" xfId="3" applyNumberFormat="1" applyFont="1" applyFill="1" applyBorder="1" applyAlignment="1">
      <alignment horizontal="center"/>
    </xf>
    <xf numFmtId="166" fontId="12" fillId="0" borderId="21" xfId="3" applyNumberFormat="1" applyFont="1" applyBorder="1" applyAlignment="1">
      <alignment horizontal="center"/>
    </xf>
    <xf numFmtId="164" fontId="12" fillId="0" borderId="21" xfId="3" applyNumberFormat="1" applyFont="1" applyBorder="1" applyAlignment="1">
      <alignment horizontal="center"/>
    </xf>
    <xf numFmtId="164" fontId="19" fillId="0" borderId="0" xfId="3" applyNumberFormat="1" applyFont="1" applyBorder="1" applyAlignment="1"/>
    <xf numFmtId="166" fontId="14" fillId="0" borderId="22" xfId="3" applyNumberFormat="1" applyFont="1" applyFill="1" applyBorder="1" applyAlignment="1">
      <alignment horizontal="center"/>
    </xf>
    <xf numFmtId="164" fontId="20" fillId="0" borderId="0" xfId="3" applyNumberFormat="1" applyFont="1" applyBorder="1" applyAlignment="1"/>
    <xf numFmtId="0" fontId="12" fillId="0" borderId="21" xfId="3" applyNumberFormat="1" applyFont="1" applyBorder="1" applyAlignment="1">
      <alignment horizontal="center"/>
    </xf>
    <xf numFmtId="49" fontId="9" fillId="0" borderId="14" xfId="3" applyNumberFormat="1" applyFont="1" applyBorder="1" applyAlignment="1"/>
    <xf numFmtId="49" fontId="9" fillId="0" borderId="15" xfId="3" applyNumberFormat="1" applyFont="1" applyBorder="1" applyAlignment="1"/>
    <xf numFmtId="166" fontId="14" fillId="0" borderId="37" xfId="3" applyNumberFormat="1" applyFont="1" applyBorder="1" applyAlignment="1">
      <alignment horizontal="center"/>
    </xf>
    <xf numFmtId="166" fontId="14" fillId="0" borderId="15" xfId="3" applyNumberFormat="1" applyFont="1" applyBorder="1" applyAlignment="1">
      <alignment horizontal="center"/>
    </xf>
    <xf numFmtId="164" fontId="14" fillId="0" borderId="37" xfId="3" applyNumberFormat="1" applyFont="1" applyBorder="1" applyAlignment="1">
      <alignment horizontal="center"/>
    </xf>
    <xf numFmtId="166" fontId="14" fillId="0" borderId="16" xfId="3" applyNumberFormat="1" applyFont="1" applyBorder="1" applyAlignment="1">
      <alignment horizontal="center"/>
    </xf>
    <xf numFmtId="0" fontId="3" fillId="0" borderId="0" xfId="4" applyAlignment="1">
      <alignment horizontal="right"/>
    </xf>
    <xf numFmtId="49" fontId="3" fillId="0" borderId="0" xfId="4" applyNumberFormat="1"/>
    <xf numFmtId="49" fontId="7" fillId="0" borderId="0" xfId="3" applyNumberFormat="1" applyFont="1" applyAlignment="1">
      <alignment horizontal="centerContinuous"/>
    </xf>
    <xf numFmtId="166" fontId="6" fillId="0" borderId="0" xfId="3" applyNumberFormat="1" applyFont="1" applyAlignment="1">
      <alignment horizontal="centerContinuous"/>
    </xf>
    <xf numFmtId="166" fontId="6" fillId="0" borderId="0" xfId="3" applyNumberFormat="1" applyFont="1" applyBorder="1" applyAlignment="1">
      <alignment horizontal="centerContinuous"/>
    </xf>
    <xf numFmtId="167" fontId="7" fillId="0" borderId="0" xfId="3" applyNumberFormat="1" applyFont="1" applyAlignment="1">
      <alignment horizontal="centerContinuous"/>
    </xf>
    <xf numFmtId="166" fontId="9" fillId="0" borderId="0" xfId="3" applyNumberFormat="1" applyFont="1" applyAlignment="1">
      <alignment horizontal="centerContinuous"/>
    </xf>
    <xf numFmtId="166" fontId="9" fillId="0" borderId="0" xfId="3" applyNumberFormat="1" applyFont="1" applyBorder="1" applyAlignment="1">
      <alignment horizontal="centerContinuous"/>
    </xf>
    <xf numFmtId="166" fontId="9" fillId="2" borderId="1" xfId="3" applyNumberFormat="1" applyFont="1" applyFill="1" applyBorder="1" applyAlignment="1"/>
    <xf numFmtId="166" fontId="9" fillId="2" borderId="3" xfId="3" applyNumberFormat="1" applyFont="1" applyFill="1" applyBorder="1" applyAlignment="1"/>
    <xf numFmtId="166" fontId="9" fillId="2" borderId="2" xfId="3" applyNumberFormat="1" applyFont="1" applyFill="1" applyBorder="1" applyAlignment="1"/>
    <xf numFmtId="166" fontId="9" fillId="3" borderId="40" xfId="3" applyNumberFormat="1" applyFont="1" applyFill="1" applyBorder="1" applyAlignment="1">
      <alignment horizontal="centerContinuous"/>
    </xf>
    <xf numFmtId="49" fontId="9" fillId="2" borderId="0" xfId="3" applyNumberFormat="1" applyFont="1" applyFill="1" applyBorder="1" applyAlignment="1"/>
    <xf numFmtId="14" fontId="9" fillId="2" borderId="8" xfId="3" applyNumberFormat="1" applyFont="1" applyFill="1" applyBorder="1" applyAlignment="1">
      <alignment horizontal="center"/>
    </xf>
    <xf numFmtId="14" fontId="9" fillId="2" borderId="9" xfId="3" applyNumberFormat="1" applyFont="1" applyFill="1" applyBorder="1" applyAlignment="1">
      <alignment horizontal="center"/>
    </xf>
    <xf numFmtId="166" fontId="9" fillId="0" borderId="40" xfId="3" applyNumberFormat="1" applyFont="1" applyFill="1" applyBorder="1" applyAlignment="1"/>
    <xf numFmtId="166" fontId="9" fillId="2" borderId="35" xfId="3" applyNumberFormat="1" applyFont="1" applyFill="1" applyBorder="1" applyAlignment="1"/>
    <xf numFmtId="166" fontId="9" fillId="2" borderId="0" xfId="3" applyNumberFormat="1" applyFont="1" applyFill="1" applyBorder="1" applyAlignment="1"/>
    <xf numFmtId="166" fontId="9" fillId="2" borderId="7" xfId="3" applyNumberFormat="1" applyFont="1" applyFill="1" applyBorder="1" applyAlignment="1">
      <alignment horizontal="center"/>
    </xf>
    <xf numFmtId="49" fontId="9" fillId="2" borderId="15" xfId="3" applyNumberFormat="1" applyFont="1" applyFill="1" applyBorder="1" applyAlignment="1">
      <alignment horizontal="centerContinuous"/>
    </xf>
    <xf numFmtId="166" fontId="9" fillId="2" borderId="14" xfId="3" applyNumberFormat="1" applyFont="1" applyFill="1" applyBorder="1" applyAlignment="1">
      <alignment horizontal="center"/>
    </xf>
    <xf numFmtId="166" fontId="9" fillId="2" borderId="16" xfId="3" applyNumberFormat="1" applyFont="1" applyFill="1" applyBorder="1" applyAlignment="1">
      <alignment horizontal="center"/>
    </xf>
    <xf numFmtId="166" fontId="9" fillId="2" borderId="15" xfId="3" applyNumberFormat="1" applyFont="1" applyFill="1" applyBorder="1" applyAlignment="1">
      <alignment horizontal="center"/>
    </xf>
    <xf numFmtId="166" fontId="9" fillId="0" borderId="40" xfId="3" applyNumberFormat="1" applyFont="1" applyFill="1" applyBorder="1" applyAlignment="1">
      <alignment horizontal="center"/>
    </xf>
    <xf numFmtId="166" fontId="9" fillId="2" borderId="37" xfId="3" applyNumberFormat="1" applyFont="1" applyFill="1" applyBorder="1" applyAlignment="1">
      <alignment horizontal="center"/>
    </xf>
    <xf numFmtId="166" fontId="9" fillId="2" borderId="31" xfId="3" applyNumberFormat="1" applyFont="1" applyFill="1" applyBorder="1" applyAlignment="1">
      <alignment horizontal="center"/>
    </xf>
    <xf numFmtId="49" fontId="9" fillId="0" borderId="17" xfId="3" applyNumberFormat="1" applyFont="1" applyBorder="1" applyAlignment="1">
      <alignment horizontal="centerContinuous"/>
    </xf>
    <xf numFmtId="49" fontId="9" fillId="0" borderId="18" xfId="3" applyNumberFormat="1" applyFont="1" applyBorder="1" applyAlignment="1">
      <alignment horizontal="centerContinuous"/>
    </xf>
    <xf numFmtId="166" fontId="9" fillId="0" borderId="42" xfId="3" applyNumberFormat="1" applyFont="1" applyFill="1" applyBorder="1" applyAlignment="1">
      <alignment horizontal="center"/>
    </xf>
    <xf numFmtId="166" fontId="9" fillId="0" borderId="43" xfId="3" applyNumberFormat="1" applyFont="1" applyFill="1" applyBorder="1" applyAlignment="1">
      <alignment horizontal="center"/>
    </xf>
    <xf numFmtId="166" fontId="9" fillId="0" borderId="18" xfId="3" applyNumberFormat="1" applyFont="1" applyFill="1" applyBorder="1" applyAlignment="1">
      <alignment horizontal="center"/>
    </xf>
    <xf numFmtId="166" fontId="9" fillId="0" borderId="38" xfId="3" applyNumberFormat="1" applyFont="1" applyFill="1" applyBorder="1" applyAlignment="1">
      <alignment horizontal="center"/>
    </xf>
    <xf numFmtId="166" fontId="9" fillId="0" borderId="44" xfId="3" applyNumberFormat="1" applyFont="1" applyFill="1" applyBorder="1" applyAlignment="1">
      <alignment horizontal="center"/>
    </xf>
    <xf numFmtId="49" fontId="9" fillId="2" borderId="20" xfId="3" applyNumberFormat="1" applyFont="1" applyFill="1" applyBorder="1" applyAlignment="1"/>
    <xf numFmtId="166" fontId="12" fillId="0" borderId="45" xfId="3" applyNumberFormat="1" applyFont="1" applyFill="1" applyBorder="1" applyAlignment="1"/>
    <xf numFmtId="166" fontId="12" fillId="0" borderId="22" xfId="3" applyNumberFormat="1" applyFont="1" applyFill="1" applyBorder="1" applyAlignment="1"/>
    <xf numFmtId="166" fontId="12" fillId="0" borderId="21" xfId="3" applyNumberFormat="1" applyFont="1" applyFill="1" applyBorder="1" applyAlignment="1"/>
    <xf numFmtId="166" fontId="12" fillId="0" borderId="40" xfId="3" applyNumberFormat="1" applyFont="1" applyFill="1" applyBorder="1" applyAlignment="1"/>
    <xf numFmtId="166" fontId="12" fillId="0" borderId="39" xfId="3" applyNumberFormat="1" applyFont="1" applyFill="1" applyBorder="1" applyAlignment="1"/>
    <xf numFmtId="49" fontId="10" fillId="0" borderId="20" xfId="3" applyNumberFormat="1" applyFont="1" applyBorder="1" applyAlignment="1"/>
    <xf numFmtId="5" fontId="12" fillId="0" borderId="45" xfId="3" applyNumberFormat="1" applyFont="1" applyFill="1" applyBorder="1" applyAlignment="1"/>
    <xf numFmtId="5" fontId="12" fillId="0" borderId="22" xfId="3" applyNumberFormat="1" applyFont="1" applyFill="1" applyBorder="1" applyAlignment="1"/>
    <xf numFmtId="5" fontId="12" fillId="0" borderId="21" xfId="3" applyNumberFormat="1" applyFont="1" applyFill="1" applyBorder="1" applyAlignment="1"/>
    <xf numFmtId="41" fontId="12" fillId="0" borderId="40" xfId="3" applyNumberFormat="1" applyFont="1" applyFill="1" applyBorder="1" applyAlignment="1"/>
    <xf numFmtId="49" fontId="9" fillId="0" borderId="23" xfId="3" applyNumberFormat="1" applyFont="1" applyBorder="1" applyAlignment="1"/>
    <xf numFmtId="49" fontId="9" fillId="2" borderId="24" xfId="3" applyNumberFormat="1" applyFont="1" applyFill="1" applyBorder="1" applyAlignment="1"/>
    <xf numFmtId="5" fontId="12" fillId="0" borderId="46" xfId="3" applyNumberFormat="1" applyFont="1" applyFill="1" applyBorder="1" applyAlignment="1"/>
    <xf numFmtId="5" fontId="12" fillId="0" borderId="26" xfId="3" applyNumberFormat="1" applyFont="1" applyFill="1" applyBorder="1" applyAlignment="1"/>
    <xf numFmtId="5" fontId="12" fillId="0" borderId="24" xfId="3" applyNumberFormat="1" applyFont="1" applyFill="1" applyBorder="1" applyAlignment="1"/>
    <xf numFmtId="166" fontId="12" fillId="0" borderId="24" xfId="3" applyNumberFormat="1" applyFont="1" applyFill="1" applyBorder="1" applyAlignment="1"/>
    <xf numFmtId="166" fontId="12" fillId="0" borderId="41" xfId="3" applyNumberFormat="1" applyFont="1" applyFill="1" applyBorder="1" applyAlignment="1"/>
    <xf numFmtId="49" fontId="10" fillId="0" borderId="20" xfId="3" applyNumberFormat="1" applyFont="1" applyFill="1" applyBorder="1" applyAlignment="1"/>
    <xf numFmtId="49" fontId="9" fillId="0" borderId="18" xfId="3" applyNumberFormat="1" applyFont="1" applyFill="1" applyBorder="1" applyAlignment="1"/>
    <xf numFmtId="5" fontId="14" fillId="0" borderId="44" xfId="3" applyNumberFormat="1" applyFont="1" applyFill="1" applyBorder="1" applyAlignment="1"/>
    <xf numFmtId="5" fontId="14" fillId="0" borderId="19" xfId="3" applyNumberFormat="1" applyFont="1" applyFill="1" applyBorder="1" applyAlignment="1"/>
    <xf numFmtId="5" fontId="14" fillId="0" borderId="18" xfId="3" applyNumberFormat="1" applyFont="1" applyFill="1" applyBorder="1" applyAlignment="1"/>
    <xf numFmtId="166" fontId="14" fillId="0" borderId="18" xfId="3" applyNumberFormat="1" applyFont="1" applyFill="1" applyBorder="1" applyAlignment="1"/>
    <xf numFmtId="41" fontId="14" fillId="0" borderId="40" xfId="3" applyNumberFormat="1" applyFont="1" applyFill="1" applyBorder="1" applyAlignment="1"/>
    <xf numFmtId="166" fontId="14" fillId="0" borderId="38" xfId="3" applyNumberFormat="1" applyFont="1" applyFill="1" applyBorder="1" applyAlignment="1"/>
    <xf numFmtId="49" fontId="9" fillId="0" borderId="20" xfId="3" applyNumberFormat="1" applyFont="1" applyFill="1" applyBorder="1" applyAlignment="1"/>
    <xf numFmtId="49" fontId="9" fillId="0" borderId="0" xfId="3" applyNumberFormat="1" applyFont="1" applyFill="1" applyBorder="1" applyAlignment="1"/>
    <xf numFmtId="5" fontId="14" fillId="0" borderId="13" xfId="3" applyNumberFormat="1" applyFont="1" applyFill="1" applyBorder="1" applyAlignment="1"/>
    <xf numFmtId="5" fontId="14" fillId="0" borderId="9" xfId="3" applyNumberFormat="1" applyFont="1" applyFill="1" applyBorder="1" applyAlignment="1"/>
    <xf numFmtId="5" fontId="14" fillId="0" borderId="0" xfId="3" applyNumberFormat="1" applyFont="1" applyFill="1" applyBorder="1" applyAlignment="1"/>
    <xf numFmtId="166" fontId="14" fillId="0" borderId="0" xfId="3" applyNumberFormat="1" applyFont="1" applyFill="1" applyBorder="1" applyAlignment="1"/>
    <xf numFmtId="166" fontId="14" fillId="0" borderId="35" xfId="3" applyNumberFormat="1" applyFont="1" applyFill="1" applyBorder="1" applyAlignment="1"/>
    <xf numFmtId="49" fontId="9" fillId="2" borderId="29" xfId="3" applyNumberFormat="1" applyFont="1" applyFill="1" applyBorder="1" applyAlignment="1"/>
    <xf numFmtId="5" fontId="12" fillId="0" borderId="47" xfId="3" applyNumberFormat="1" applyFont="1" applyFill="1" applyBorder="1" applyAlignment="1"/>
    <xf numFmtId="5" fontId="12" fillId="0" borderId="30" xfId="3" applyNumberFormat="1" applyFont="1" applyFill="1" applyBorder="1" applyAlignment="1"/>
    <xf numFmtId="5" fontId="12" fillId="0" borderId="29" xfId="3" applyNumberFormat="1" applyFont="1" applyFill="1" applyBorder="1" applyAlignment="1"/>
    <xf numFmtId="166" fontId="12" fillId="0" borderId="29" xfId="3" applyNumberFormat="1" applyFont="1" applyFill="1" applyBorder="1" applyAlignment="1"/>
    <xf numFmtId="166" fontId="12" fillId="0" borderId="48" xfId="3" applyNumberFormat="1" applyFont="1" applyFill="1" applyBorder="1" applyAlignment="1"/>
    <xf numFmtId="49" fontId="8" fillId="0" borderId="49" xfId="3" applyNumberFormat="1" applyFont="1" applyBorder="1" applyAlignment="1"/>
    <xf numFmtId="49" fontId="8" fillId="0" borderId="15" xfId="3" applyNumberFormat="1" applyFont="1" applyBorder="1" applyAlignment="1"/>
    <xf numFmtId="167" fontId="8" fillId="0" borderId="31" xfId="3" applyNumberFormat="1" applyFont="1" applyBorder="1" applyAlignment="1"/>
    <xf numFmtId="167" fontId="8" fillId="0" borderId="16" xfId="3" applyNumberFormat="1" applyFont="1" applyBorder="1" applyAlignment="1"/>
    <xf numFmtId="167" fontId="8" fillId="0" borderId="15" xfId="3" applyNumberFormat="1" applyFont="1" applyBorder="1" applyAlignment="1"/>
    <xf numFmtId="49" fontId="1" fillId="0" borderId="0" xfId="3" applyNumberFormat="1" applyFont="1" applyAlignment="1"/>
    <xf numFmtId="167" fontId="21" fillId="0" borderId="0" xfId="3" applyNumberFormat="1" applyFont="1" applyAlignment="1"/>
    <xf numFmtId="0" fontId="7" fillId="0" borderId="0" xfId="3" applyNumberFormat="1" applyFont="1" applyFill="1" applyBorder="1" applyAlignment="1"/>
    <xf numFmtId="0" fontId="23" fillId="0" borderId="0" xfId="3" applyNumberFormat="1" applyFont="1" applyFill="1" applyBorder="1" applyAlignment="1"/>
    <xf numFmtId="0" fontId="7" fillId="0" borderId="0" xfId="3" applyNumberFormat="1" applyFont="1" applyFill="1" applyBorder="1" applyAlignment="1">
      <alignment horizontal="centerContinuous"/>
    </xf>
    <xf numFmtId="49" fontId="10" fillId="0" borderId="0" xfId="3" applyNumberFormat="1" applyFont="1" applyFill="1" applyBorder="1" applyAlignment="1">
      <alignment horizontal="centerContinuous"/>
    </xf>
    <xf numFmtId="0" fontId="10" fillId="0" borderId="0" xfId="3" applyNumberFormat="1" applyFont="1" applyFill="1" applyBorder="1" applyAlignment="1">
      <alignment horizontal="centerContinuous"/>
    </xf>
    <xf numFmtId="0" fontId="10" fillId="0" borderId="0" xfId="3" applyNumberFormat="1" applyFont="1" applyFill="1" applyBorder="1" applyAlignment="1"/>
    <xf numFmtId="49" fontId="7" fillId="2" borderId="1" xfId="3" applyNumberFormat="1" applyFont="1" applyFill="1" applyBorder="1" applyAlignment="1"/>
    <xf numFmtId="49" fontId="7" fillId="2" borderId="2" xfId="3" applyNumberFormat="1" applyFont="1" applyFill="1" applyBorder="1" applyAlignment="1">
      <alignment horizontal="center"/>
    </xf>
    <xf numFmtId="14" fontId="6" fillId="2" borderId="1" xfId="3" applyNumberFormat="1" applyFont="1" applyFill="1" applyBorder="1" applyAlignment="1">
      <alignment horizontal="center"/>
    </xf>
    <xf numFmtId="14" fontId="6" fillId="2" borderId="3" xfId="3" applyNumberFormat="1" applyFont="1" applyFill="1" applyBorder="1" applyAlignment="1">
      <alignment horizontal="center"/>
    </xf>
    <xf numFmtId="0" fontId="7" fillId="2" borderId="7" xfId="3" applyNumberFormat="1" applyFont="1" applyFill="1" applyBorder="1" applyAlignment="1">
      <alignment horizontal="center"/>
    </xf>
    <xf numFmtId="0" fontId="7" fillId="2" borderId="7" xfId="3" applyNumberFormat="1" applyFont="1" applyFill="1" applyBorder="1" applyAlignment="1"/>
    <xf numFmtId="49" fontId="7" fillId="2" borderId="8" xfId="3" applyNumberFormat="1" applyFont="1" applyFill="1" applyBorder="1" applyAlignment="1"/>
    <xf numFmtId="49" fontId="7" fillId="2" borderId="0" xfId="3" applyNumberFormat="1" applyFont="1" applyFill="1" applyBorder="1" applyAlignment="1">
      <alignment horizontal="center"/>
    </xf>
    <xf numFmtId="49" fontId="7" fillId="2" borderId="50" xfId="3" applyNumberFormat="1" applyFont="1" applyFill="1" applyBorder="1" applyAlignment="1">
      <alignment horizontal="centerContinuous"/>
    </xf>
    <xf numFmtId="49" fontId="7" fillId="2" borderId="51" xfId="3" applyNumberFormat="1" applyFont="1" applyFill="1" applyBorder="1" applyAlignment="1">
      <alignment horizontal="centerContinuous"/>
    </xf>
    <xf numFmtId="0" fontId="7" fillId="2" borderId="50" xfId="3" applyNumberFormat="1" applyFont="1" applyFill="1" applyBorder="1" applyAlignment="1">
      <alignment horizontal="center"/>
    </xf>
    <xf numFmtId="0" fontId="7" fillId="2" borderId="52" xfId="3" applyNumberFormat="1" applyFont="1" applyFill="1" applyBorder="1" applyAlignment="1">
      <alignment horizontal="center"/>
    </xf>
    <xf numFmtId="0" fontId="7" fillId="2" borderId="53" xfId="3" applyNumberFormat="1" applyFont="1" applyFill="1" applyBorder="1" applyAlignment="1">
      <alignment horizontal="center"/>
    </xf>
    <xf numFmtId="0" fontId="7" fillId="0" borderId="44" xfId="3" applyNumberFormat="1" applyFont="1" applyFill="1" applyBorder="1" applyAlignment="1"/>
    <xf numFmtId="0" fontId="7" fillId="0" borderId="44" xfId="3" applyNumberFormat="1" applyFont="1" applyBorder="1"/>
    <xf numFmtId="0" fontId="8" fillId="0" borderId="18" xfId="3" applyNumberFormat="1" applyFont="1" applyBorder="1"/>
    <xf numFmtId="0" fontId="8" fillId="0" borderId="18" xfId="3" applyNumberFormat="1" applyFont="1" applyBorder="1" applyAlignment="1"/>
    <xf numFmtId="0" fontId="3" fillId="0" borderId="45" xfId="3" applyNumberFormat="1" applyFont="1" applyFill="1" applyBorder="1"/>
    <xf numFmtId="0" fontId="3" fillId="0" borderId="45" xfId="3" applyNumberFormat="1" applyFont="1" applyBorder="1"/>
    <xf numFmtId="0" fontId="1" fillId="0" borderId="21" xfId="3" applyNumberFormat="1" applyFont="1" applyBorder="1"/>
    <xf numFmtId="0" fontId="1" fillId="0" borderId="21" xfId="3" applyNumberFormat="1" applyFont="1" applyBorder="1" applyAlignment="1"/>
    <xf numFmtId="49" fontId="6" fillId="0" borderId="21" xfId="3" applyNumberFormat="1" applyFont="1" applyBorder="1" applyAlignment="1"/>
    <xf numFmtId="5" fontId="12" fillId="0" borderId="20" xfId="3" applyNumberFormat="1" applyFont="1" applyFill="1" applyBorder="1" applyAlignment="1"/>
    <xf numFmtId="170" fontId="3" fillId="0" borderId="45" xfId="3" applyNumberFormat="1" applyFont="1" applyFill="1" applyBorder="1" applyAlignment="1">
      <alignment horizontal="center"/>
    </xf>
    <xf numFmtId="165" fontId="3" fillId="0" borderId="45" xfId="3" applyNumberFormat="1" applyFont="1" applyBorder="1" applyAlignment="1">
      <alignment horizontal="center"/>
    </xf>
    <xf numFmtId="166" fontId="12" fillId="0" borderId="45" xfId="3" applyNumberFormat="1" applyFont="1" applyBorder="1" applyAlignment="1">
      <alignment horizontal="center"/>
    </xf>
    <xf numFmtId="0" fontId="1" fillId="0" borderId="35" xfId="3" applyNumberFormat="1" applyFont="1" applyBorder="1"/>
    <xf numFmtId="0" fontId="1" fillId="0" borderId="0" xfId="3" applyNumberFormat="1" applyFont="1" applyAlignment="1"/>
    <xf numFmtId="165" fontId="3" fillId="0" borderId="45" xfId="3" applyNumberFormat="1" applyFont="1" applyFill="1" applyBorder="1" applyAlignment="1">
      <alignment horizontal="center"/>
    </xf>
    <xf numFmtId="166" fontId="12" fillId="0" borderId="45" xfId="3" applyNumberFormat="1" applyFont="1" applyFill="1" applyBorder="1" applyAlignment="1">
      <alignment horizontal="center"/>
    </xf>
    <xf numFmtId="49" fontId="6" fillId="0" borderId="23" xfId="3" applyNumberFormat="1" applyFont="1" applyBorder="1" applyAlignment="1"/>
    <xf numFmtId="170" fontId="6" fillId="0" borderId="46" xfId="3" applyNumberFormat="1" applyFont="1" applyFill="1" applyBorder="1" applyAlignment="1">
      <alignment horizontal="center"/>
    </xf>
    <xf numFmtId="5" fontId="6" fillId="0" borderId="46" xfId="3" applyNumberFormat="1" applyFont="1" applyFill="1" applyBorder="1" applyAlignment="1"/>
    <xf numFmtId="165" fontId="7" fillId="0" borderId="46" xfId="3" applyNumberFormat="1" applyFont="1" applyFill="1" applyBorder="1" applyAlignment="1">
      <alignment horizontal="center"/>
    </xf>
    <xf numFmtId="171" fontId="7" fillId="0" borderId="46" xfId="3" applyNumberFormat="1" applyFont="1" applyFill="1" applyBorder="1" applyAlignment="1">
      <alignment horizontal="center"/>
    </xf>
    <xf numFmtId="0" fontId="23" fillId="0" borderId="35" xfId="3" applyNumberFormat="1" applyFont="1" applyBorder="1"/>
    <xf numFmtId="0" fontId="23" fillId="0" borderId="0" xfId="3" applyNumberFormat="1" applyFont="1" applyAlignment="1"/>
    <xf numFmtId="5" fontId="12" fillId="0" borderId="17" xfId="3" applyNumberFormat="1" applyFont="1" applyFill="1" applyBorder="1" applyAlignment="1"/>
    <xf numFmtId="5" fontId="12" fillId="0" borderId="19" xfId="3" applyNumberFormat="1" applyFont="1" applyFill="1" applyBorder="1" applyAlignment="1"/>
    <xf numFmtId="170" fontId="3" fillId="0" borderId="44" xfId="3" applyNumberFormat="1" applyFont="1" applyFill="1" applyBorder="1" applyAlignment="1">
      <alignment horizontal="center"/>
    </xf>
    <xf numFmtId="5" fontId="12" fillId="0" borderId="44" xfId="3" applyNumberFormat="1" applyFont="1" applyFill="1" applyBorder="1" applyAlignment="1"/>
    <xf numFmtId="165" fontId="3" fillId="0" borderId="44" xfId="3" applyNumberFormat="1" applyFont="1" applyFill="1" applyBorder="1" applyAlignment="1">
      <alignment horizontal="center"/>
    </xf>
    <xf numFmtId="171" fontId="3" fillId="0" borderId="44" xfId="3" applyNumberFormat="1" applyFont="1" applyFill="1" applyBorder="1" applyAlignment="1">
      <alignment horizontal="center"/>
    </xf>
    <xf numFmtId="171" fontId="3" fillId="0" borderId="45" xfId="3" applyNumberFormat="1" applyFont="1" applyFill="1" applyBorder="1" applyAlignment="1">
      <alignment horizontal="center"/>
    </xf>
    <xf numFmtId="0" fontId="3" fillId="0" borderId="44" xfId="3" applyNumberFormat="1" applyFont="1" applyFill="1" applyBorder="1" applyAlignment="1">
      <alignment horizontal="center"/>
    </xf>
    <xf numFmtId="0" fontId="3" fillId="0" borderId="45" xfId="3" applyNumberFormat="1" applyFont="1" applyFill="1" applyBorder="1" applyAlignment="1">
      <alignment horizontal="center"/>
    </xf>
    <xf numFmtId="49" fontId="6" fillId="0" borderId="21" xfId="3" applyNumberFormat="1" applyFont="1" applyFill="1" applyBorder="1" applyAlignment="1"/>
    <xf numFmtId="5" fontId="12" fillId="0" borderId="27" xfId="3" applyNumberFormat="1" applyFont="1" applyFill="1" applyBorder="1" applyAlignment="1"/>
    <xf numFmtId="5" fontId="12" fillId="0" borderId="28" xfId="3" applyNumberFormat="1" applyFont="1" applyFill="1" applyBorder="1" applyAlignment="1"/>
    <xf numFmtId="165" fontId="3" fillId="0" borderId="54" xfId="3" applyNumberFormat="1" applyFont="1" applyFill="1" applyBorder="1" applyAlignment="1">
      <alignment horizontal="center"/>
    </xf>
    <xf numFmtId="5" fontId="12" fillId="0" borderId="54" xfId="3" applyNumberFormat="1" applyFont="1" applyFill="1" applyBorder="1" applyAlignment="1"/>
    <xf numFmtId="0" fontId="3" fillId="0" borderId="54" xfId="3" applyNumberFormat="1" applyFont="1" applyFill="1" applyBorder="1" applyAlignment="1">
      <alignment horizontal="center"/>
    </xf>
    <xf numFmtId="0" fontId="7" fillId="0" borderId="46" xfId="3" applyNumberFormat="1" applyFont="1" applyFill="1" applyBorder="1" applyAlignment="1">
      <alignment horizontal="center"/>
    </xf>
    <xf numFmtId="165" fontId="3" fillId="0" borderId="13" xfId="3" applyNumberFormat="1" applyFont="1" applyFill="1" applyBorder="1" applyAlignment="1">
      <alignment horizontal="center"/>
    </xf>
    <xf numFmtId="5" fontId="12" fillId="0" borderId="13" xfId="3" applyNumberFormat="1" applyFont="1" applyFill="1" applyBorder="1" applyAlignment="1"/>
    <xf numFmtId="0" fontId="3" fillId="0" borderId="13" xfId="3" applyNumberFormat="1" applyFont="1" applyFill="1" applyBorder="1" applyAlignment="1">
      <alignment horizontal="center"/>
    </xf>
    <xf numFmtId="49" fontId="6" fillId="2" borderId="48" xfId="3" applyNumberFormat="1" applyFont="1" applyFill="1" applyBorder="1" applyAlignment="1"/>
    <xf numFmtId="49" fontId="6" fillId="2" borderId="30" xfId="3" applyNumberFormat="1" applyFont="1" applyFill="1" applyBorder="1" applyAlignment="1"/>
    <xf numFmtId="5" fontId="6" fillId="0" borderId="55" xfId="3" applyNumberFormat="1" applyFont="1" applyFill="1" applyBorder="1" applyAlignment="1"/>
    <xf numFmtId="5" fontId="6" fillId="0" borderId="30" xfId="3" applyNumberFormat="1" applyFont="1" applyFill="1" applyBorder="1" applyAlignment="1"/>
    <xf numFmtId="165" fontId="7" fillId="0" borderId="47" xfId="3" applyNumberFormat="1" applyFont="1" applyFill="1" applyBorder="1" applyAlignment="1">
      <alignment horizontal="center"/>
    </xf>
    <xf numFmtId="5" fontId="6" fillId="0" borderId="47" xfId="3" applyNumberFormat="1" applyFont="1" applyFill="1" applyBorder="1" applyAlignment="1"/>
    <xf numFmtId="0" fontId="7" fillId="0" borderId="47" xfId="3" applyNumberFormat="1" applyFont="1" applyFill="1" applyBorder="1" applyAlignment="1">
      <alignment horizontal="center"/>
    </xf>
    <xf numFmtId="49" fontId="7" fillId="0" borderId="14" xfId="3" applyNumberFormat="1" applyFont="1" applyBorder="1" applyAlignment="1"/>
    <xf numFmtId="0" fontId="3" fillId="0" borderId="56" xfId="3" applyNumberFormat="1" applyFont="1" applyBorder="1" applyAlignment="1"/>
    <xf numFmtId="49" fontId="7" fillId="0" borderId="15" xfId="3" applyNumberFormat="1" applyFont="1" applyBorder="1" applyAlignment="1"/>
    <xf numFmtId="0" fontId="3" fillId="0" borderId="14" xfId="3" applyNumberFormat="1" applyFont="1" applyFill="1" applyBorder="1" applyAlignment="1"/>
    <xf numFmtId="0" fontId="3" fillId="0" borderId="16" xfId="3" applyNumberFormat="1" applyFont="1" applyFill="1" applyBorder="1" applyAlignment="1"/>
    <xf numFmtId="0" fontId="3" fillId="0" borderId="31" xfId="3" applyNumberFormat="1" applyFont="1" applyFill="1" applyBorder="1" applyAlignment="1"/>
    <xf numFmtId="0" fontId="7" fillId="0" borderId="0" xfId="4" applyFont="1" applyAlignment="1">
      <alignment horizontal="center"/>
    </xf>
    <xf numFmtId="0" fontId="7" fillId="2" borderId="57" xfId="4" applyFont="1" applyFill="1" applyBorder="1"/>
    <xf numFmtId="0" fontId="7" fillId="2" borderId="58" xfId="4" applyFont="1" applyFill="1" applyBorder="1"/>
    <xf numFmtId="0" fontId="7" fillId="2" borderId="58" xfId="4" applyFont="1" applyFill="1" applyBorder="1" applyAlignment="1">
      <alignment horizontal="center"/>
    </xf>
    <xf numFmtId="0" fontId="7" fillId="2" borderId="59" xfId="4" applyFont="1" applyFill="1" applyBorder="1"/>
    <xf numFmtId="0" fontId="7" fillId="0" borderId="0" xfId="4" applyFont="1"/>
    <xf numFmtId="0" fontId="7" fillId="2" borderId="60" xfId="4" applyFont="1" applyFill="1" applyBorder="1"/>
    <xf numFmtId="0" fontId="7" fillId="2" borderId="0" xfId="4" applyFont="1" applyFill="1" applyBorder="1"/>
    <xf numFmtId="14" fontId="7" fillId="2" borderId="0" xfId="4" applyNumberFormat="1" applyFont="1" applyFill="1" applyBorder="1" applyAlignment="1">
      <alignment horizontal="center"/>
    </xf>
    <xf numFmtId="0" fontId="7" fillId="2" borderId="0" xfId="4" applyFont="1" applyFill="1" applyBorder="1" applyAlignment="1">
      <alignment horizontal="center"/>
    </xf>
    <xf numFmtId="0" fontId="7" fillId="2" borderId="61" xfId="4" applyFont="1" applyFill="1" applyBorder="1" applyAlignment="1">
      <alignment horizontal="center"/>
    </xf>
    <xf numFmtId="0" fontId="7" fillId="2" borderId="62" xfId="4" applyFont="1" applyFill="1" applyBorder="1"/>
    <xf numFmtId="0" fontId="7" fillId="2" borderId="51" xfId="4" applyFont="1" applyFill="1" applyBorder="1"/>
    <xf numFmtId="0" fontId="7" fillId="2" borderId="51" xfId="4" applyFont="1" applyFill="1" applyBorder="1" applyAlignment="1">
      <alignment horizontal="center"/>
    </xf>
    <xf numFmtId="0" fontId="7" fillId="2" borderId="63" xfId="4" applyFont="1" applyFill="1" applyBorder="1" applyAlignment="1">
      <alignment horizontal="center"/>
    </xf>
    <xf numFmtId="0" fontId="3" fillId="0" borderId="64" xfId="4" applyFont="1" applyBorder="1"/>
    <xf numFmtId="0" fontId="3" fillId="0" borderId="31" xfId="4" applyFont="1" applyBorder="1"/>
    <xf numFmtId="37" fontId="3" fillId="0" borderId="31" xfId="4" applyNumberFormat="1" applyFont="1" applyBorder="1" applyAlignment="1">
      <alignment horizontal="right"/>
    </xf>
    <xf numFmtId="37" fontId="3" fillId="0" borderId="31" xfId="4" applyNumberFormat="1" applyFont="1" applyBorder="1"/>
    <xf numFmtId="37" fontId="3" fillId="0" borderId="65" xfId="4" applyNumberFormat="1" applyFont="1" applyBorder="1"/>
    <xf numFmtId="0" fontId="3" fillId="0" borderId="0" xfId="4" applyFont="1"/>
    <xf numFmtId="0" fontId="3" fillId="0" borderId="66" xfId="4" applyFont="1" applyBorder="1"/>
    <xf numFmtId="0" fontId="3" fillId="0" borderId="46" xfId="4" applyFont="1" applyBorder="1"/>
    <xf numFmtId="37" fontId="3" fillId="0" borderId="46" xfId="4" applyNumberFormat="1" applyFont="1" applyBorder="1" applyAlignment="1">
      <alignment horizontal="right"/>
    </xf>
    <xf numFmtId="37" fontId="3" fillId="0" borderId="46" xfId="4" applyNumberFormat="1" applyFont="1" applyBorder="1"/>
    <xf numFmtId="37" fontId="3" fillId="0" borderId="67" xfId="4" applyNumberFormat="1" applyFont="1" applyBorder="1"/>
    <xf numFmtId="3" fontId="3" fillId="0" borderId="66" xfId="4" applyNumberFormat="1" applyFont="1" applyBorder="1"/>
    <xf numFmtId="0" fontId="7" fillId="0" borderId="68" xfId="4" applyFont="1" applyBorder="1"/>
    <xf numFmtId="0" fontId="7" fillId="2" borderId="47" xfId="4" applyFont="1" applyFill="1" applyBorder="1"/>
    <xf numFmtId="37" fontId="7" fillId="0" borderId="47" xfId="4" applyNumberFormat="1" applyFont="1" applyBorder="1"/>
    <xf numFmtId="37" fontId="7" fillId="0" borderId="69" xfId="4" applyNumberFormat="1" applyFont="1" applyBorder="1"/>
    <xf numFmtId="37" fontId="7" fillId="0" borderId="0" xfId="4" applyNumberFormat="1" applyFont="1"/>
    <xf numFmtId="0" fontId="7" fillId="2" borderId="57" xfId="4" applyFont="1" applyFill="1" applyBorder="1" applyAlignment="1">
      <alignment horizontal="center"/>
    </xf>
    <xf numFmtId="14" fontId="7" fillId="2" borderId="58" xfId="4" applyNumberFormat="1" applyFont="1" applyFill="1" applyBorder="1" applyAlignment="1">
      <alignment horizontal="center"/>
    </xf>
    <xf numFmtId="0" fontId="7" fillId="2" borderId="59" xfId="4" applyFont="1" applyFill="1" applyBorder="1" applyAlignment="1">
      <alignment horizontal="center"/>
    </xf>
    <xf numFmtId="37" fontId="3" fillId="0" borderId="31" xfId="4" applyNumberFormat="1" applyFont="1" applyFill="1" applyBorder="1" applyAlignment="1">
      <alignment horizontal="right"/>
    </xf>
    <xf numFmtId="37" fontId="3" fillId="0" borderId="31" xfId="4" applyNumberFormat="1" applyFont="1" applyFill="1" applyBorder="1"/>
    <xf numFmtId="37" fontId="3" fillId="0" borderId="65" xfId="4" applyNumberFormat="1" applyFont="1" applyFill="1" applyBorder="1"/>
    <xf numFmtId="37" fontId="3" fillId="0" borderId="46" xfId="4" applyNumberFormat="1" applyFont="1" applyFill="1" applyBorder="1"/>
    <xf numFmtId="37" fontId="3" fillId="0" borderId="67" xfId="4" applyNumberFormat="1" applyFont="1" applyFill="1" applyBorder="1"/>
    <xf numFmtId="0" fontId="3" fillId="0" borderId="46" xfId="4" applyFont="1" applyFill="1" applyBorder="1"/>
    <xf numFmtId="37" fontId="7" fillId="0" borderId="47" xfId="4" applyNumberFormat="1" applyFont="1" applyFill="1" applyBorder="1"/>
    <xf numFmtId="37" fontId="7" fillId="0" borderId="69" xfId="4" applyNumberFormat="1" applyFont="1" applyFill="1" applyBorder="1"/>
    <xf numFmtId="37" fontId="3" fillId="0" borderId="0" xfId="4" applyNumberFormat="1" applyFont="1"/>
    <xf numFmtId="0" fontId="3" fillId="0" borderId="0" xfId="4" applyFont="1" applyFill="1" applyAlignment="1">
      <alignment horizontal="left" indent="6"/>
    </xf>
    <xf numFmtId="3" fontId="3" fillId="0" borderId="0" xfId="4" applyNumberFormat="1" applyFont="1"/>
    <xf numFmtId="37" fontId="3" fillId="0" borderId="0" xfId="4" applyNumberFormat="1" applyFont="1" applyFill="1" applyBorder="1" applyAlignment="1">
      <alignment horizontal="right"/>
    </xf>
    <xf numFmtId="37" fontId="3" fillId="0" borderId="0" xfId="4" applyNumberFormat="1" applyFont="1" applyFill="1"/>
    <xf numFmtId="3" fontId="24" fillId="0" borderId="0" xfId="4" applyNumberFormat="1" applyFont="1"/>
    <xf numFmtId="0" fontId="3" fillId="0" borderId="0" xfId="4" applyFont="1" applyFill="1"/>
    <xf numFmtId="0" fontId="22" fillId="0" borderId="0" xfId="4" applyFont="1" applyFill="1"/>
    <xf numFmtId="0" fontId="1" fillId="0" borderId="0" xfId="4" applyFont="1" applyFill="1"/>
    <xf numFmtId="0" fontId="23" fillId="0" borderId="0" xfId="4" applyFont="1" applyFill="1"/>
    <xf numFmtId="0" fontId="7" fillId="0" borderId="0" xfId="4" applyFont="1" applyFill="1"/>
    <xf numFmtId="0" fontId="25" fillId="0" borderId="0" xfId="4" applyFont="1" applyFill="1" applyAlignment="1"/>
    <xf numFmtId="0" fontId="3" fillId="0" borderId="0" xfId="4" applyFill="1"/>
    <xf numFmtId="172" fontId="7" fillId="0" borderId="0" xfId="4" applyNumberFormat="1" applyFont="1" applyFill="1" applyBorder="1" applyAlignment="1" applyProtection="1">
      <alignment horizontal="center"/>
    </xf>
    <xf numFmtId="0" fontId="3" fillId="0" borderId="0" xfId="4" applyFont="1" applyFill="1" applyBorder="1"/>
    <xf numFmtId="172" fontId="7" fillId="4" borderId="57" xfId="4" applyNumberFormat="1" applyFont="1" applyFill="1" applyBorder="1" applyAlignment="1" applyProtection="1">
      <alignment horizontal="center"/>
    </xf>
    <xf numFmtId="0" fontId="7" fillId="4" borderId="58" xfId="4" applyFont="1" applyFill="1" applyBorder="1" applyAlignment="1">
      <alignment horizontal="center"/>
    </xf>
    <xf numFmtId="172" fontId="7" fillId="4" borderId="70" xfId="4" applyNumberFormat="1" applyFont="1" applyFill="1" applyBorder="1" applyAlignment="1" applyProtection="1">
      <alignment horizontal="center"/>
    </xf>
    <xf numFmtId="0" fontId="7" fillId="4" borderId="59" xfId="4" applyFont="1" applyFill="1" applyBorder="1" applyAlignment="1">
      <alignment horizontal="center"/>
    </xf>
    <xf numFmtId="0" fontId="26" fillId="0" borderId="0" xfId="4" applyFont="1" applyFill="1" applyBorder="1" applyAlignment="1">
      <alignment horizontal="center"/>
    </xf>
    <xf numFmtId="0" fontId="26" fillId="0" borderId="0" xfId="4" applyFont="1" applyFill="1" applyAlignment="1">
      <alignment horizontal="center"/>
    </xf>
    <xf numFmtId="172" fontId="7" fillId="4" borderId="62" xfId="4" applyNumberFormat="1" applyFont="1" applyFill="1" applyBorder="1" applyAlignment="1" applyProtection="1">
      <alignment horizontal="center"/>
    </xf>
    <xf numFmtId="0" fontId="7" fillId="4" borderId="51" xfId="4" applyFont="1" applyFill="1" applyBorder="1" applyAlignment="1">
      <alignment horizontal="center"/>
    </xf>
    <xf numFmtId="172" fontId="7" fillId="4" borderId="71" xfId="4" applyNumberFormat="1" applyFont="1" applyFill="1" applyBorder="1" applyAlignment="1" applyProtection="1">
      <alignment horizontal="center"/>
    </xf>
    <xf numFmtId="0" fontId="7" fillId="4" borderId="63" xfId="4" applyFont="1" applyFill="1" applyBorder="1" applyAlignment="1">
      <alignment horizontal="center"/>
    </xf>
    <xf numFmtId="0" fontId="7" fillId="0" borderId="60" xfId="4" applyNumberFormat="1" applyFont="1" applyFill="1" applyBorder="1" applyAlignment="1" applyProtection="1">
      <alignment horizontal="right"/>
    </xf>
    <xf numFmtId="169" fontId="3" fillId="0" borderId="0" xfId="1" applyNumberFormat="1" applyFont="1" applyFill="1" applyBorder="1" applyProtection="1"/>
    <xf numFmtId="169" fontId="3" fillId="0" borderId="0" xfId="1" applyNumberFormat="1" applyFont="1" applyFill="1" applyBorder="1" applyProtection="1">
      <protection locked="0"/>
    </xf>
    <xf numFmtId="0" fontId="7" fillId="0" borderId="72" xfId="4" applyNumberFormat="1" applyFont="1" applyFill="1" applyBorder="1" applyAlignment="1" applyProtection="1">
      <alignment horizontal="right"/>
    </xf>
    <xf numFmtId="41" fontId="3" fillId="0" borderId="0" xfId="1" applyNumberFormat="1" applyFont="1" applyFill="1" applyBorder="1" applyProtection="1"/>
    <xf numFmtId="41" fontId="3" fillId="0" borderId="61" xfId="1" applyNumberFormat="1" applyFont="1" applyFill="1" applyBorder="1" applyProtection="1"/>
    <xf numFmtId="169" fontId="26" fillId="0" borderId="0" xfId="4" applyNumberFormat="1" applyFont="1" applyFill="1"/>
    <xf numFmtId="0" fontId="26" fillId="0" borderId="0" xfId="4" applyFont="1" applyFill="1"/>
    <xf numFmtId="41" fontId="3" fillId="0" borderId="61" xfId="4" applyNumberFormat="1" applyFont="1" applyFill="1" applyBorder="1" applyProtection="1"/>
    <xf numFmtId="0" fontId="7" fillId="0" borderId="60" xfId="4" applyNumberFormat="1" applyFont="1" applyFill="1" applyBorder="1" applyAlignment="1">
      <alignment horizontal="right"/>
    </xf>
    <xf numFmtId="0" fontId="7" fillId="0" borderId="60" xfId="1" applyNumberFormat="1" applyFont="1" applyFill="1" applyBorder="1" applyAlignment="1">
      <alignment horizontal="right"/>
    </xf>
    <xf numFmtId="169" fontId="3" fillId="0" borderId="0" xfId="1" applyNumberFormat="1" applyFont="1" applyFill="1" applyBorder="1"/>
    <xf numFmtId="41" fontId="3" fillId="0" borderId="61" xfId="1" applyNumberFormat="1" applyFont="1" applyFill="1" applyBorder="1"/>
    <xf numFmtId="0" fontId="7" fillId="0" borderId="73" xfId="4" applyFont="1" applyFill="1" applyBorder="1" applyAlignment="1">
      <alignment horizontal="left"/>
    </xf>
    <xf numFmtId="37" fontId="3" fillId="0" borderId="29" xfId="4" applyNumberFormat="1" applyFont="1" applyFill="1" applyBorder="1" applyProtection="1"/>
    <xf numFmtId="37" fontId="7" fillId="0" borderId="29" xfId="4" applyNumberFormat="1" applyFont="1" applyFill="1" applyBorder="1" applyAlignment="1" applyProtection="1">
      <alignment horizontal="center"/>
    </xf>
    <xf numFmtId="41" fontId="3" fillId="0" borderId="74" xfId="4" applyNumberFormat="1" applyFont="1" applyFill="1" applyBorder="1" applyProtection="1"/>
    <xf numFmtId="0" fontId="3" fillId="0" borderId="0" xfId="4" applyFill="1" applyAlignment="1">
      <alignment horizontal="left"/>
    </xf>
    <xf numFmtId="37" fontId="3" fillId="0" borderId="0" xfId="4" applyNumberFormat="1" applyFill="1"/>
    <xf numFmtId="0" fontId="3" fillId="0" borderId="0" xfId="4" applyFill="1" applyBorder="1"/>
    <xf numFmtId="0" fontId="10" fillId="0" borderId="0" xfId="4" applyFont="1" applyFill="1" applyAlignment="1">
      <alignment horizontal="right"/>
    </xf>
    <xf numFmtId="169" fontId="10" fillId="0" borderId="0" xfId="1" applyNumberFormat="1" applyFont="1" applyFill="1" applyBorder="1" applyProtection="1"/>
    <xf numFmtId="41" fontId="3" fillId="0" borderId="0" xfId="4" applyNumberFormat="1" applyFill="1"/>
    <xf numFmtId="0" fontId="22" fillId="0" borderId="0" xfId="5" applyNumberFormat="1" applyFont="1" applyAlignment="1">
      <alignment wrapText="1"/>
    </xf>
    <xf numFmtId="0" fontId="4" fillId="0" borderId="0" xfId="6" applyFont="1" applyAlignment="1">
      <alignment wrapText="1"/>
    </xf>
    <xf numFmtId="0" fontId="1" fillId="0" borderId="0" xfId="5" applyNumberFormat="1" applyFont="1" applyAlignment="1">
      <alignment wrapText="1"/>
    </xf>
    <xf numFmtId="0" fontId="1" fillId="0" borderId="0" xfId="6" applyFont="1" applyAlignment="1">
      <alignment wrapText="1"/>
    </xf>
    <xf numFmtId="0" fontId="1" fillId="0" borderId="0" xfId="6" applyFont="1" applyFill="1" applyAlignment="1">
      <alignment wrapText="1"/>
    </xf>
    <xf numFmtId="169" fontId="3" fillId="0" borderId="0" xfId="5" applyNumberFormat="1" applyFont="1" applyAlignment="1">
      <alignment horizontal="right" wrapText="1"/>
    </xf>
    <xf numFmtId="0" fontId="3" fillId="0" borderId="0" xfId="6" applyFont="1" applyFill="1" applyAlignment="1">
      <alignment wrapText="1"/>
    </xf>
    <xf numFmtId="174" fontId="3" fillId="0" borderId="0" xfId="2" applyNumberFormat="1" applyFont="1" applyFill="1" applyAlignment="1">
      <alignment wrapText="1"/>
    </xf>
    <xf numFmtId="0" fontId="3" fillId="0" borderId="0" xfId="6" applyFont="1" applyAlignment="1">
      <alignment wrapText="1"/>
    </xf>
    <xf numFmtId="43" fontId="7" fillId="4" borderId="75" xfId="5" applyFont="1" applyFill="1" applyBorder="1" applyAlignment="1">
      <alignment horizontal="center" wrapText="1"/>
    </xf>
    <xf numFmtId="43" fontId="7" fillId="4" borderId="76" xfId="5" applyFont="1" applyFill="1" applyBorder="1" applyAlignment="1">
      <alignment horizontal="center" wrapText="1"/>
    </xf>
    <xf numFmtId="174" fontId="7" fillId="4" borderId="76" xfId="2" applyNumberFormat="1" applyFont="1" applyFill="1" applyBorder="1" applyAlignment="1">
      <alignment horizontal="center" wrapText="1"/>
    </xf>
    <xf numFmtId="43" fontId="7" fillId="4" borderId="77" xfId="5" applyFont="1" applyFill="1" applyBorder="1" applyAlignment="1">
      <alignment horizontal="center" wrapText="1"/>
    </xf>
    <xf numFmtId="43" fontId="7" fillId="0" borderId="0" xfId="5" applyFont="1" applyAlignment="1">
      <alignment horizontal="center" wrapText="1"/>
    </xf>
    <xf numFmtId="0" fontId="3" fillId="0" borderId="66" xfId="4" applyFont="1" applyBorder="1" applyAlignment="1"/>
    <xf numFmtId="0" fontId="3" fillId="0" borderId="46" xfId="4" applyBorder="1" applyAlignment="1"/>
    <xf numFmtId="0" fontId="3" fillId="0" borderId="46" xfId="4" applyFont="1" applyBorder="1" applyAlignment="1"/>
    <xf numFmtId="0" fontId="3" fillId="0" borderId="46" xfId="4" applyBorder="1" applyAlignment="1">
      <alignment horizontal="center"/>
    </xf>
    <xf numFmtId="174" fontId="0" fillId="0" borderId="46" xfId="2" applyNumberFormat="1" applyFont="1" applyBorder="1" applyAlignment="1"/>
    <xf numFmtId="0" fontId="3" fillId="0" borderId="67" xfId="4" applyFont="1" applyBorder="1" applyAlignment="1">
      <alignment wrapText="1"/>
    </xf>
    <xf numFmtId="0" fontId="3" fillId="0" borderId="0" xfId="4" applyAlignment="1"/>
    <xf numFmtId="174" fontId="3" fillId="0" borderId="0" xfId="4" applyNumberFormat="1" applyAlignment="1"/>
    <xf numFmtId="43" fontId="0" fillId="0" borderId="0" xfId="1" applyFont="1" applyAlignment="1"/>
    <xf numFmtId="0" fontId="3" fillId="0" borderId="0" xfId="4" applyFont="1" applyAlignment="1"/>
    <xf numFmtId="174" fontId="0" fillId="0" borderId="0" xfId="2" applyNumberFormat="1" applyFont="1" applyAlignment="1"/>
    <xf numFmtId="0" fontId="3" fillId="0" borderId="0" xfId="4" applyFont="1" applyAlignment="1">
      <alignment wrapText="1"/>
    </xf>
    <xf numFmtId="0" fontId="3" fillId="0" borderId="0" xfId="4" applyAlignment="1">
      <alignment wrapText="1"/>
    </xf>
    <xf numFmtId="0" fontId="7" fillId="4" borderId="57" xfId="4" applyFont="1" applyFill="1" applyBorder="1" applyAlignment="1">
      <alignment horizontal="center"/>
    </xf>
    <xf numFmtId="174" fontId="7" fillId="4" borderId="58" xfId="2" applyNumberFormat="1" applyFont="1" applyFill="1" applyBorder="1" applyAlignment="1">
      <alignment horizontal="center"/>
    </xf>
    <xf numFmtId="174" fontId="7" fillId="4" borderId="59" xfId="2" applyNumberFormat="1" applyFont="1" applyFill="1" applyBorder="1" applyAlignment="1">
      <alignment horizontal="center"/>
    </xf>
    <xf numFmtId="0" fontId="7" fillId="4" borderId="60" xfId="4" applyFont="1" applyFill="1" applyBorder="1" applyAlignment="1">
      <alignment horizontal="center"/>
    </xf>
    <xf numFmtId="174" fontId="7" fillId="4" borderId="61" xfId="2" applyNumberFormat="1" applyFont="1" applyFill="1" applyBorder="1" applyAlignment="1">
      <alignment horizontal="center"/>
    </xf>
    <xf numFmtId="0" fontId="3" fillId="0" borderId="82" xfId="4" applyBorder="1" applyAlignment="1">
      <alignment horizontal="center"/>
    </xf>
    <xf numFmtId="0" fontId="3" fillId="0" borderId="60" xfId="4" applyBorder="1" applyAlignment="1">
      <alignment horizontal="center"/>
    </xf>
    <xf numFmtId="174" fontId="0" fillId="0" borderId="0" xfId="2" applyNumberFormat="1" applyFont="1" applyBorder="1" applyAlignment="1"/>
    <xf numFmtId="0" fontId="3" fillId="0" borderId="84" xfId="4" applyBorder="1" applyAlignment="1">
      <alignment horizontal="center"/>
    </xf>
    <xf numFmtId="174" fontId="0" fillId="0" borderId="15" xfId="2" applyNumberFormat="1" applyFont="1" applyBorder="1" applyAlignment="1"/>
    <xf numFmtId="43" fontId="0" fillId="0" borderId="0" xfId="1" applyFont="1" applyFill="1" applyAlignment="1"/>
    <xf numFmtId="174" fontId="0" fillId="0" borderId="0" xfId="2" applyNumberFormat="1" applyFont="1" applyFill="1" applyAlignment="1"/>
    <xf numFmtId="0" fontId="7" fillId="0" borderId="0" xfId="4" applyFont="1" applyFill="1" applyAlignment="1">
      <alignment horizontal="centerContinuous"/>
    </xf>
    <xf numFmtId="0" fontId="1" fillId="0" borderId="0" xfId="4" applyFont="1" applyFill="1" applyAlignment="1">
      <alignment horizontal="centerContinuous"/>
    </xf>
    <xf numFmtId="0" fontId="7" fillId="4" borderId="86" xfId="4" applyFont="1" applyFill="1" applyBorder="1" applyAlignment="1">
      <alignment horizontal="center"/>
    </xf>
    <xf numFmtId="172" fontId="7" fillId="4" borderId="58" xfId="4" applyNumberFormat="1" applyFont="1" applyFill="1" applyBorder="1" applyAlignment="1" applyProtection="1">
      <alignment horizontal="center"/>
    </xf>
    <xf numFmtId="0" fontId="7" fillId="4" borderId="87" xfId="4" applyFont="1" applyFill="1" applyBorder="1" applyAlignment="1">
      <alignment horizontal="center"/>
    </xf>
    <xf numFmtId="172" fontId="7" fillId="4" borderId="51" xfId="4" applyNumberFormat="1" applyFont="1" applyFill="1" applyBorder="1" applyAlignment="1" applyProtection="1">
      <alignment horizontal="center"/>
    </xf>
    <xf numFmtId="169" fontId="3" fillId="0" borderId="0" xfId="1" applyNumberFormat="1" applyFont="1" applyFill="1" applyBorder="1" applyAlignment="1">
      <alignment horizontal="center"/>
    </xf>
    <xf numFmtId="41" fontId="3" fillId="0" borderId="0" xfId="4" applyNumberFormat="1" applyFont="1" applyFill="1" applyBorder="1" applyAlignment="1">
      <alignment horizontal="center"/>
    </xf>
    <xf numFmtId="169" fontId="3" fillId="0" borderId="88" xfId="1" applyNumberFormat="1" applyFont="1" applyFill="1" applyBorder="1" applyProtection="1">
      <protection locked="0"/>
    </xf>
    <xf numFmtId="172" fontId="7" fillId="0" borderId="0" xfId="4" applyNumberFormat="1" applyFont="1" applyFill="1" applyBorder="1" applyAlignment="1" applyProtection="1">
      <alignment horizontal="right"/>
    </xf>
    <xf numFmtId="169" fontId="3" fillId="0" borderId="0" xfId="1" applyNumberFormat="1" applyFont="1" applyFill="1" applyBorder="1" applyAlignment="1">
      <alignment horizontal="right"/>
    </xf>
    <xf numFmtId="0" fontId="28" fillId="0" borderId="0" xfId="4" applyFont="1" applyFill="1" applyBorder="1" applyAlignment="1">
      <alignment horizontal="center"/>
    </xf>
    <xf numFmtId="37" fontId="3" fillId="0" borderId="61" xfId="4" applyNumberFormat="1" applyFont="1" applyFill="1" applyBorder="1" applyProtection="1"/>
    <xf numFmtId="169" fontId="26" fillId="0" borderId="0" xfId="4" applyNumberFormat="1" applyFont="1" applyFill="1" applyBorder="1"/>
    <xf numFmtId="0" fontId="29" fillId="0" borderId="0" xfId="4" applyFont="1" applyFill="1" applyAlignment="1">
      <alignment horizontal="center"/>
    </xf>
    <xf numFmtId="37" fontId="3" fillId="0" borderId="0" xfId="4" applyNumberFormat="1" applyFont="1" applyFill="1" applyBorder="1" applyProtection="1"/>
    <xf numFmtId="0" fontId="26" fillId="0" borderId="0" xfId="4" applyFont="1" applyFill="1" applyBorder="1"/>
    <xf numFmtId="43" fontId="3" fillId="0" borderId="0" xfId="4" applyNumberFormat="1" applyFont="1" applyFill="1" applyBorder="1" applyAlignment="1">
      <alignment horizontal="center"/>
    </xf>
    <xf numFmtId="0" fontId="7" fillId="0" borderId="0" xfId="4" applyNumberFormat="1" applyFont="1" applyFill="1" applyBorder="1" applyAlignment="1" applyProtection="1">
      <alignment horizontal="right"/>
    </xf>
    <xf numFmtId="37" fontId="3" fillId="0" borderId="89" xfId="4" applyNumberFormat="1" applyFont="1" applyFill="1" applyBorder="1" applyProtection="1"/>
    <xf numFmtId="37" fontId="3" fillId="0" borderId="74" xfId="4" applyNumberFormat="1" applyFont="1" applyFill="1" applyBorder="1" applyProtection="1"/>
    <xf numFmtId="169" fontId="3" fillId="0" borderId="0" xfId="4" applyNumberFormat="1" applyFont="1" applyFill="1"/>
    <xf numFmtId="0" fontId="3" fillId="0" borderId="0" xfId="4" applyFont="1" applyFill="1" applyAlignment="1">
      <alignment horizontal="left"/>
    </xf>
    <xf numFmtId="41" fontId="3" fillId="0" borderId="0" xfId="4" applyNumberFormat="1" applyFont="1" applyFill="1"/>
    <xf numFmtId="43" fontId="7" fillId="4" borderId="90" xfId="5" applyFont="1" applyFill="1" applyBorder="1" applyAlignment="1">
      <alignment horizontal="center" wrapText="1"/>
    </xf>
    <xf numFmtId="43" fontId="7" fillId="4" borderId="91" xfId="5" applyFont="1" applyFill="1" applyBorder="1" applyAlignment="1">
      <alignment horizontal="center" wrapText="1"/>
    </xf>
    <xf numFmtId="174" fontId="7" fillId="4" borderId="91" xfId="2" applyNumberFormat="1" applyFont="1" applyFill="1" applyBorder="1" applyAlignment="1">
      <alignment horizontal="center" wrapText="1"/>
    </xf>
    <xf numFmtId="43" fontId="7" fillId="4" borderId="92" xfId="5" applyFont="1" applyFill="1" applyBorder="1" applyAlignment="1">
      <alignment horizontal="center" wrapText="1"/>
    </xf>
    <xf numFmtId="0" fontId="3" fillId="0" borderId="64" xfId="4" applyFont="1" applyBorder="1" applyAlignment="1"/>
    <xf numFmtId="0" fontId="3" fillId="0" borderId="31" xfId="4" applyBorder="1" applyAlignment="1"/>
    <xf numFmtId="0" fontId="3" fillId="0" borderId="31" xfId="4" applyFont="1" applyBorder="1" applyAlignment="1">
      <alignment horizontal="left"/>
    </xf>
    <xf numFmtId="174" fontId="0" fillId="0" borderId="31" xfId="2" applyNumberFormat="1" applyFont="1" applyBorder="1" applyAlignment="1"/>
    <xf numFmtId="0" fontId="3" fillId="0" borderId="46" xfId="4" applyFill="1" applyBorder="1" applyAlignment="1">
      <alignment horizontal="center"/>
    </xf>
    <xf numFmtId="0" fontId="3" fillId="0" borderId="31" xfId="4" applyBorder="1" applyAlignment="1">
      <alignment horizontal="center"/>
    </xf>
    <xf numFmtId="0" fontId="3" fillId="0" borderId="65" xfId="4" applyFont="1" applyBorder="1" applyAlignment="1">
      <alignment wrapText="1"/>
    </xf>
    <xf numFmtId="0" fontId="3" fillId="0" borderId="46" xfId="4" applyFont="1" applyBorder="1" applyAlignment="1">
      <alignment horizontal="left"/>
    </xf>
    <xf numFmtId="174" fontId="0" fillId="0" borderId="46" xfId="2" applyNumberFormat="1" applyFont="1" applyFill="1" applyBorder="1" applyAlignment="1"/>
    <xf numFmtId="174" fontId="3" fillId="0" borderId="0" xfId="4" applyNumberFormat="1" applyFill="1" applyAlignment="1"/>
    <xf numFmtId="0" fontId="3" fillId="0" borderId="0" xfId="4" applyFill="1" applyAlignment="1"/>
    <xf numFmtId="0" fontId="3" fillId="0" borderId="67" xfId="4" applyFont="1" applyFill="1" applyBorder="1" applyAlignment="1">
      <alignment wrapText="1"/>
    </xf>
    <xf numFmtId="0" fontId="3" fillId="0" borderId="0" xfId="4" applyFont="1" applyFill="1" applyAlignment="1">
      <alignment wrapText="1"/>
    </xf>
    <xf numFmtId="0" fontId="3" fillId="0" borderId="0" xfId="4" applyFill="1" applyAlignment="1">
      <alignment wrapText="1"/>
    </xf>
    <xf numFmtId="0" fontId="27" fillId="0" borderId="0" xfId="4" applyFont="1" applyAlignment="1"/>
    <xf numFmtId="0" fontId="7" fillId="4" borderId="84" xfId="4" applyFont="1" applyFill="1" applyBorder="1" applyAlignment="1">
      <alignment horizontal="center"/>
    </xf>
    <xf numFmtId="174" fontId="7" fillId="4" borderId="15" xfId="2" applyNumberFormat="1" applyFont="1" applyFill="1" applyBorder="1" applyAlignment="1">
      <alignment horizontal="center"/>
    </xf>
    <xf numFmtId="174" fontId="7" fillId="4" borderId="85" xfId="2" applyNumberFormat="1" applyFont="1" applyFill="1" applyBorder="1" applyAlignment="1">
      <alignment horizontal="center"/>
    </xf>
    <xf numFmtId="174" fontId="3" fillId="0" borderId="0" xfId="2" applyNumberFormat="1" applyFont="1" applyBorder="1" applyAlignment="1">
      <alignment horizontal="center"/>
    </xf>
    <xf numFmtId="174" fontId="7" fillId="0" borderId="0" xfId="2" applyNumberFormat="1" applyFont="1" applyBorder="1" applyAlignment="1">
      <alignment horizontal="center"/>
    </xf>
    <xf numFmtId="174" fontId="7" fillId="0" borderId="61" xfId="2" applyNumberFormat="1" applyFont="1" applyFill="1" applyBorder="1" applyAlignment="1">
      <alignment horizontal="center"/>
    </xf>
    <xf numFmtId="174" fontId="0" fillId="0" borderId="0" xfId="2" applyNumberFormat="1" applyFont="1" applyFill="1" applyBorder="1" applyAlignment="1"/>
    <xf numFmtId="174" fontId="3" fillId="0" borderId="0" xfId="2" applyNumberFormat="1" applyFont="1" applyFill="1" applyBorder="1" applyAlignment="1"/>
    <xf numFmtId="174" fontId="0" fillId="0" borderId="61" xfId="2" applyNumberFormat="1" applyFont="1" applyFill="1" applyBorder="1" applyAlignment="1"/>
    <xf numFmtId="174" fontId="30" fillId="0" borderId="0" xfId="4" applyNumberFormat="1" applyFont="1" applyAlignment="1"/>
    <xf numFmtId="174" fontId="0" fillId="0" borderId="15" xfId="2" applyNumberFormat="1" applyFont="1" applyFill="1" applyBorder="1" applyAlignment="1"/>
    <xf numFmtId="174" fontId="0" fillId="0" borderId="85" xfId="2" applyNumberFormat="1" applyFont="1" applyFill="1" applyBorder="1" applyAlignment="1"/>
    <xf numFmtId="0" fontId="7" fillId="0" borderId="93" xfId="4" applyFont="1" applyBorder="1" applyAlignment="1">
      <alignment horizontal="right"/>
    </xf>
    <xf numFmtId="174" fontId="7" fillId="0" borderId="94" xfId="2" applyNumberFormat="1" applyFont="1" applyBorder="1" applyAlignment="1"/>
    <xf numFmtId="174" fontId="7" fillId="0" borderId="94" xfId="2" applyNumberFormat="1" applyFont="1" applyFill="1" applyBorder="1" applyAlignment="1"/>
    <xf numFmtId="174" fontId="7" fillId="0" borderId="95" xfId="2" applyNumberFormat="1" applyFont="1" applyFill="1" applyBorder="1" applyAlignment="1"/>
    <xf numFmtId="0" fontId="3" fillId="0" borderId="0" xfId="4" applyAlignment="1">
      <alignment horizontal="center"/>
    </xf>
    <xf numFmtId="0" fontId="3" fillId="0" borderId="64" xfId="4" applyFont="1" applyFill="1" applyBorder="1" applyAlignment="1"/>
    <xf numFmtId="0" fontId="3" fillId="0" borderId="31" xfId="4" applyFill="1" applyBorder="1" applyAlignment="1"/>
    <xf numFmtId="0" fontId="3" fillId="0" borderId="31" xfId="4" applyFont="1" applyFill="1" applyBorder="1" applyAlignment="1">
      <alignment horizontal="left"/>
    </xf>
    <xf numFmtId="0" fontId="3" fillId="0" borderId="31" xfId="4" applyFill="1" applyBorder="1" applyAlignment="1">
      <alignment horizontal="center"/>
    </xf>
    <xf numFmtId="174" fontId="0" fillId="0" borderId="31" xfId="2" applyNumberFormat="1" applyFont="1" applyFill="1" applyBorder="1" applyAlignment="1">
      <alignment horizontal="center"/>
    </xf>
    <xf numFmtId="0" fontId="3" fillId="0" borderId="66" xfId="4" applyFont="1" applyFill="1" applyBorder="1" applyAlignment="1"/>
    <xf numFmtId="0" fontId="3" fillId="0" borderId="46" xfId="4" applyFill="1" applyBorder="1" applyAlignment="1"/>
    <xf numFmtId="0" fontId="3" fillId="0" borderId="46" xfId="4" applyFont="1" applyFill="1" applyBorder="1" applyAlignment="1">
      <alignment horizontal="left"/>
    </xf>
    <xf numFmtId="174" fontId="0" fillId="0" borderId="46" xfId="2" applyNumberFormat="1" applyFont="1" applyFill="1" applyBorder="1" applyAlignment="1">
      <alignment horizontal="center"/>
    </xf>
    <xf numFmtId="0" fontId="3" fillId="0" borderId="96" xfId="4" applyFont="1" applyFill="1" applyBorder="1" applyAlignment="1"/>
    <xf numFmtId="0" fontId="3" fillId="0" borderId="97" xfId="4" applyFill="1" applyBorder="1" applyAlignment="1"/>
    <xf numFmtId="0" fontId="3" fillId="0" borderId="97" xfId="4" applyFont="1" applyFill="1" applyBorder="1" applyAlignment="1">
      <alignment horizontal="left"/>
    </xf>
    <xf numFmtId="0" fontId="7" fillId="0" borderId="97" xfId="4" applyFont="1" applyFill="1" applyBorder="1" applyAlignment="1">
      <alignment horizontal="right"/>
    </xf>
    <xf numFmtId="174" fontId="7" fillId="0" borderId="97" xfId="2" applyNumberFormat="1" applyFont="1" applyFill="1" applyBorder="1" applyAlignment="1">
      <alignment horizontal="center"/>
    </xf>
    <xf numFmtId="172" fontId="4" fillId="0" borderId="0" xfId="8" applyFont="1"/>
    <xf numFmtId="43" fontId="22" fillId="0" borderId="0" xfId="8" applyNumberFormat="1" applyFont="1" applyFill="1" applyAlignment="1">
      <alignment horizontal="centerContinuous"/>
    </xf>
    <xf numFmtId="175" fontId="4" fillId="0" borderId="0" xfId="8" applyNumberFormat="1" applyFont="1" applyAlignment="1">
      <alignment horizontal="centerContinuous"/>
    </xf>
    <xf numFmtId="172" fontId="4" fillId="0" borderId="0" xfId="8" applyFont="1" applyAlignment="1">
      <alignment horizontal="centerContinuous"/>
    </xf>
    <xf numFmtId="41" fontId="4" fillId="0" borderId="0" xfId="8" applyNumberFormat="1" applyFont="1" applyFill="1" applyBorder="1" applyAlignment="1">
      <alignment horizontal="centerContinuous"/>
    </xf>
    <xf numFmtId="41" fontId="4" fillId="0" borderId="0" xfId="8" applyNumberFormat="1" applyFont="1" applyFill="1" applyBorder="1" applyAlignment="1" applyProtection="1">
      <alignment horizontal="centerContinuous"/>
    </xf>
    <xf numFmtId="172" fontId="1" fillId="0" borderId="0" xfId="8" applyFont="1"/>
    <xf numFmtId="43" fontId="1" fillId="0" borderId="0" xfId="8" applyNumberFormat="1" applyFont="1" applyFill="1" applyAlignment="1">
      <alignment horizontal="centerContinuous"/>
    </xf>
    <xf numFmtId="175" fontId="1" fillId="0" borderId="0" xfId="8" applyNumberFormat="1" applyFont="1" applyAlignment="1">
      <alignment horizontal="centerContinuous"/>
    </xf>
    <xf numFmtId="172" fontId="1" fillId="0" borderId="0" xfId="8" applyFont="1" applyAlignment="1">
      <alignment horizontal="centerContinuous"/>
    </xf>
    <xf numFmtId="41" fontId="1" fillId="0" borderId="0" xfId="8" applyNumberFormat="1" applyFont="1" applyFill="1" applyBorder="1" applyAlignment="1">
      <alignment horizontal="centerContinuous"/>
    </xf>
    <xf numFmtId="41" fontId="32" fillId="0" borderId="0" xfId="8" applyNumberFormat="1" applyFont="1" applyFill="1" applyBorder="1" applyAlignment="1" applyProtection="1">
      <alignment horizontal="centerContinuous"/>
      <protection locked="0"/>
    </xf>
    <xf numFmtId="43" fontId="23" fillId="0" borderId="0" xfId="8" applyNumberFormat="1" applyFont="1" applyFill="1" applyAlignment="1">
      <alignment horizontal="centerContinuous"/>
    </xf>
    <xf numFmtId="175" fontId="1" fillId="0" borderId="0" xfId="8" applyNumberFormat="1" applyFont="1" applyFill="1" applyAlignment="1">
      <alignment horizontal="centerContinuous" wrapText="1"/>
    </xf>
    <xf numFmtId="41" fontId="1" fillId="0" borderId="0" xfId="8" applyNumberFormat="1" applyFont="1" applyFill="1" applyBorder="1" applyAlignment="1" applyProtection="1">
      <alignment horizontal="centerContinuous"/>
      <protection locked="0"/>
    </xf>
    <xf numFmtId="43" fontId="3" fillId="0" borderId="0" xfId="8" applyNumberFormat="1" applyFont="1" applyFill="1" applyBorder="1"/>
    <xf numFmtId="173" fontId="7" fillId="0" borderId="0" xfId="8" applyNumberFormat="1" applyFont="1" applyFill="1" applyAlignment="1">
      <alignment horizontal="centerContinuous" vertical="center"/>
    </xf>
    <xf numFmtId="43" fontId="7" fillId="0" borderId="0" xfId="8" applyNumberFormat="1" applyFont="1" applyFill="1" applyAlignment="1">
      <alignment horizontal="centerContinuous" wrapText="1"/>
    </xf>
    <xf numFmtId="175" fontId="7" fillId="0" borderId="0" xfId="8" applyNumberFormat="1" applyFont="1" applyFill="1" applyAlignment="1">
      <alignment horizontal="center" wrapText="1"/>
    </xf>
    <xf numFmtId="41" fontId="7" fillId="0" borderId="0" xfId="8" applyNumberFormat="1" applyFont="1" applyFill="1" applyBorder="1" applyAlignment="1">
      <alignment horizontal="centerContinuous"/>
    </xf>
    <xf numFmtId="172" fontId="3" fillId="0" borderId="0" xfId="8" applyFont="1"/>
    <xf numFmtId="173" fontId="7" fillId="4" borderId="57" xfId="8" applyNumberFormat="1" applyFont="1" applyFill="1" applyBorder="1" applyAlignment="1">
      <alignment horizontal="center" vertical="center"/>
    </xf>
    <xf numFmtId="0" fontId="7" fillId="4" borderId="98" xfId="8" applyNumberFormat="1" applyFont="1" applyFill="1" applyBorder="1" applyAlignment="1" applyProtection="1">
      <alignment horizontal="center" vertical="center" wrapText="1"/>
    </xf>
    <xf numFmtId="41" fontId="7" fillId="4" borderId="58" xfId="8" applyNumberFormat="1" applyFont="1" applyFill="1" applyBorder="1" applyAlignment="1" applyProtection="1">
      <alignment horizontal="center"/>
    </xf>
    <xf numFmtId="49" fontId="7" fillId="4" borderId="98" xfId="8" applyNumberFormat="1" applyFont="1" applyFill="1" applyBorder="1" applyAlignment="1">
      <alignment horizontal="center"/>
    </xf>
    <xf numFmtId="41" fontId="7" fillId="4" borderId="59" xfId="8" applyNumberFormat="1" applyFont="1" applyFill="1" applyBorder="1" applyAlignment="1">
      <alignment horizontal="center"/>
    </xf>
    <xf numFmtId="172" fontId="1" fillId="0" borderId="0" xfId="8" applyFont="1" applyBorder="1"/>
    <xf numFmtId="172" fontId="3" fillId="0" borderId="0" xfId="8" applyFont="1" applyBorder="1"/>
    <xf numFmtId="173" fontId="7" fillId="4" borderId="84" xfId="8" applyNumberFormat="1" applyFont="1" applyFill="1" applyBorder="1" applyAlignment="1" applyProtection="1">
      <alignment horizontal="center" vertical="center"/>
    </xf>
    <xf numFmtId="0" fontId="7" fillId="4" borderId="16" xfId="8" applyNumberFormat="1" applyFont="1" applyFill="1" applyBorder="1" applyAlignment="1" applyProtection="1">
      <alignment horizontal="center" vertical="center" wrapText="1"/>
    </xf>
    <xf numFmtId="41" fontId="7" fillId="4" borderId="15" xfId="8" applyNumberFormat="1" applyFont="1" applyFill="1" applyBorder="1" applyAlignment="1" applyProtection="1">
      <alignment horizontal="center"/>
    </xf>
    <xf numFmtId="41" fontId="7" fillId="4" borderId="16" xfId="8" applyNumberFormat="1" applyFont="1" applyFill="1" applyBorder="1" applyAlignment="1" applyProtection="1">
      <alignment horizontal="center"/>
    </xf>
    <xf numFmtId="41" fontId="7" fillId="4" borderId="85" xfId="8" applyNumberFormat="1" applyFont="1" applyFill="1" applyBorder="1" applyAlignment="1" applyProtection="1">
      <alignment horizontal="center"/>
    </xf>
    <xf numFmtId="173" fontId="7" fillId="0" borderId="60" xfId="8" applyNumberFormat="1" applyFont="1" applyFill="1" applyBorder="1" applyAlignment="1" applyProtection="1">
      <alignment horizontal="center" vertical="center"/>
    </xf>
    <xf numFmtId="49" fontId="3" fillId="0" borderId="0" xfId="8" applyNumberFormat="1" applyFont="1" applyFill="1" applyBorder="1" applyAlignment="1">
      <alignment horizontal="left" vertical="center" wrapText="1"/>
    </xf>
    <xf numFmtId="175" fontId="3" fillId="0" borderId="13" xfId="8" applyNumberFormat="1" applyFont="1" applyFill="1" applyBorder="1" applyAlignment="1">
      <alignment horizontal="center" vertical="center" wrapText="1"/>
    </xf>
    <xf numFmtId="41" fontId="3" fillId="0" borderId="0" xfId="8" applyNumberFormat="1" applyFont="1" applyFill="1" applyBorder="1" applyAlignment="1">
      <alignment vertical="center" wrapText="1"/>
    </xf>
    <xf numFmtId="169" fontId="33" fillId="0" borderId="81" xfId="1" applyNumberFormat="1" applyFont="1" applyBorder="1" applyAlignment="1">
      <alignment vertical="center"/>
    </xf>
    <xf numFmtId="172" fontId="31" fillId="0" borderId="0" xfId="8" applyAlignment="1">
      <alignment vertical="center"/>
    </xf>
    <xf numFmtId="173" fontId="7" fillId="0" borderId="73" xfId="8" applyNumberFormat="1" applyFont="1" applyFill="1" applyBorder="1" applyAlignment="1">
      <alignment horizontal="center" vertical="center"/>
    </xf>
    <xf numFmtId="49" fontId="7" fillId="0" borderId="29" xfId="8" applyNumberFormat="1" applyFont="1" applyFill="1" applyBorder="1" applyAlignment="1">
      <alignment horizontal="center" vertical="center" wrapText="1"/>
    </xf>
    <xf numFmtId="175" fontId="7" fillId="0" borderId="74" xfId="8" applyNumberFormat="1" applyFont="1" applyFill="1" applyBorder="1" applyAlignment="1">
      <alignment horizontal="center" wrapText="1"/>
    </xf>
    <xf numFmtId="41" fontId="7" fillId="0" borderId="73" xfId="8" applyNumberFormat="1" applyFont="1" applyFill="1" applyBorder="1" applyProtection="1"/>
    <xf numFmtId="41" fontId="7" fillId="0" borderId="29" xfId="8" applyNumberFormat="1" applyFont="1" applyFill="1" applyBorder="1" applyProtection="1"/>
    <xf numFmtId="41" fontId="7" fillId="0" borderId="30" xfId="8" applyNumberFormat="1" applyFont="1" applyFill="1" applyBorder="1" applyProtection="1"/>
    <xf numFmtId="169" fontId="7" fillId="0" borderId="69" xfId="1" applyNumberFormat="1" applyFont="1" applyFill="1" applyBorder="1" applyAlignment="1">
      <alignment vertical="center" wrapText="1"/>
    </xf>
    <xf numFmtId="173" fontId="7" fillId="0" borderId="0" xfId="8" applyNumberFormat="1" applyFont="1" applyFill="1" applyAlignment="1">
      <alignment horizontal="center" vertical="center"/>
    </xf>
    <xf numFmtId="43" fontId="7" fillId="0" borderId="0" xfId="8" applyNumberFormat="1" applyFont="1" applyFill="1" applyAlignment="1">
      <alignment wrapText="1"/>
    </xf>
    <xf numFmtId="41" fontId="7" fillId="0" borderId="0" xfId="8" applyNumberFormat="1" applyFont="1" applyFill="1" applyBorder="1"/>
    <xf numFmtId="169" fontId="3" fillId="0" borderId="99" xfId="1" applyNumberFormat="1" applyFont="1" applyFill="1" applyBorder="1" applyAlignment="1">
      <alignment vertical="center" wrapText="1"/>
    </xf>
    <xf numFmtId="172" fontId="7" fillId="0" borderId="0" xfId="8" applyFont="1"/>
    <xf numFmtId="175" fontId="7" fillId="0" borderId="0" xfId="8" applyNumberFormat="1" applyFont="1" applyAlignment="1">
      <alignment horizontal="center"/>
    </xf>
    <xf numFmtId="1" fontId="7" fillId="0" borderId="0" xfId="8" applyNumberFormat="1" applyFont="1"/>
    <xf numFmtId="172" fontId="23" fillId="0" borderId="0" xfId="8" applyFont="1"/>
    <xf numFmtId="175" fontId="3" fillId="0" borderId="0" xfId="8" applyNumberFormat="1" applyFont="1" applyAlignment="1">
      <alignment horizontal="center"/>
    </xf>
    <xf numFmtId="0" fontId="7" fillId="0" borderId="62" xfId="4" applyFont="1" applyBorder="1" applyAlignment="1">
      <alignment horizontal="right"/>
    </xf>
    <xf numFmtId="174" fontId="7" fillId="0" borderId="63" xfId="2" applyNumberFormat="1" applyFont="1" applyBorder="1" applyAlignment="1"/>
    <xf numFmtId="0" fontId="3" fillId="0" borderId="78" xfId="4" applyFont="1" applyFill="1" applyBorder="1" applyAlignment="1"/>
    <xf numFmtId="0" fontId="3" fillId="0" borderId="53" xfId="4" applyFill="1" applyBorder="1" applyAlignment="1"/>
    <xf numFmtId="0" fontId="3" fillId="0" borderId="53" xfId="4" applyFont="1" applyFill="1" applyBorder="1" applyAlignment="1"/>
    <xf numFmtId="0" fontId="3" fillId="0" borderId="53" xfId="4" applyFill="1" applyBorder="1" applyAlignment="1">
      <alignment horizontal="center"/>
    </xf>
    <xf numFmtId="174" fontId="0" fillId="0" borderId="53" xfId="2" applyNumberFormat="1" applyFont="1" applyFill="1" applyBorder="1" applyAlignment="1"/>
    <xf numFmtId="0" fontId="3" fillId="0" borderId="79" xfId="4" applyFont="1" applyFill="1" applyBorder="1" applyAlignment="1">
      <alignment wrapText="1"/>
    </xf>
    <xf numFmtId="169" fontId="33" fillId="0" borderId="81" xfId="1" applyNumberFormat="1" applyFont="1" applyFill="1" applyBorder="1" applyAlignment="1">
      <alignment vertical="center"/>
    </xf>
    <xf numFmtId="172" fontId="31" fillId="0" borderId="0" xfId="8" applyFill="1" applyAlignment="1">
      <alignment vertical="center"/>
    </xf>
    <xf numFmtId="0" fontId="22" fillId="0" borderId="0" xfId="9" applyFont="1" applyFill="1"/>
    <xf numFmtId="0" fontId="1" fillId="0" borderId="0" xfId="9" applyFont="1" applyFill="1"/>
    <xf numFmtId="0" fontId="23" fillId="0" borderId="0" xfId="9" applyFont="1" applyFill="1"/>
    <xf numFmtId="0" fontId="7" fillId="0" borderId="0" xfId="9" applyFont="1" applyFill="1"/>
    <xf numFmtId="0" fontId="7" fillId="0" borderId="0" xfId="9" applyFont="1" applyFill="1" applyAlignment="1">
      <alignment horizontal="left"/>
    </xf>
    <xf numFmtId="0" fontId="7" fillId="0" borderId="0" xfId="9" applyFont="1" applyFill="1" applyAlignment="1">
      <alignment horizontal="center"/>
    </xf>
    <xf numFmtId="0" fontId="34" fillId="0" borderId="0" xfId="9" applyFill="1"/>
    <xf numFmtId="172" fontId="7" fillId="0" borderId="0" xfId="9" applyNumberFormat="1" applyFont="1" applyFill="1" applyBorder="1" applyAlignment="1" applyProtection="1">
      <alignment horizontal="center"/>
    </xf>
    <xf numFmtId="0" fontId="3" fillId="0" borderId="0" xfId="9" applyFont="1" applyFill="1"/>
    <xf numFmtId="172" fontId="7" fillId="4" borderId="57" xfId="9" applyNumberFormat="1" applyFont="1" applyFill="1" applyBorder="1" applyAlignment="1" applyProtection="1">
      <alignment horizontal="center"/>
    </xf>
    <xf numFmtId="0" fontId="7" fillId="4" borderId="58" xfId="9" applyFont="1" applyFill="1" applyBorder="1" applyAlignment="1">
      <alignment horizontal="center"/>
    </xf>
    <xf numFmtId="172" fontId="7" fillId="4" borderId="70" xfId="9" applyNumberFormat="1" applyFont="1" applyFill="1" applyBorder="1" applyAlignment="1" applyProtection="1">
      <alignment horizontal="center"/>
    </xf>
    <xf numFmtId="0" fontId="7" fillId="4" borderId="59" xfId="9" applyFont="1" applyFill="1" applyBorder="1" applyAlignment="1">
      <alignment horizontal="center"/>
    </xf>
    <xf numFmtId="0" fontId="26" fillId="0" borderId="0" xfId="9" applyFont="1" applyFill="1" applyAlignment="1">
      <alignment horizontal="center"/>
    </xf>
    <xf numFmtId="172" fontId="7" fillId="4" borderId="62" xfId="9" applyNumberFormat="1" applyFont="1" applyFill="1" applyBorder="1" applyAlignment="1" applyProtection="1">
      <alignment horizontal="center"/>
    </xf>
    <xf numFmtId="0" fontId="7" fillId="4" borderId="51" xfId="9" applyFont="1" applyFill="1" applyBorder="1" applyAlignment="1">
      <alignment horizontal="center"/>
    </xf>
    <xf numFmtId="172" fontId="7" fillId="4" borderId="71" xfId="9" applyNumberFormat="1" applyFont="1" applyFill="1" applyBorder="1" applyAlignment="1" applyProtection="1">
      <alignment horizontal="center"/>
    </xf>
    <xf numFmtId="0" fontId="7" fillId="4" borderId="63" xfId="9" applyFont="1" applyFill="1" applyBorder="1" applyAlignment="1">
      <alignment horizontal="center"/>
    </xf>
    <xf numFmtId="0" fontId="7" fillId="0" borderId="60" xfId="9" applyNumberFormat="1" applyFont="1" applyFill="1" applyBorder="1" applyAlignment="1" applyProtection="1">
      <alignment horizontal="right"/>
    </xf>
    <xf numFmtId="3" fontId="3" fillId="0" borderId="0" xfId="1" applyNumberFormat="1" applyFont="1" applyFill="1" applyBorder="1" applyProtection="1">
      <protection locked="0"/>
    </xf>
    <xf numFmtId="169" fontId="3" fillId="0" borderId="86" xfId="1" applyNumberFormat="1" applyFont="1" applyFill="1" applyBorder="1" applyProtection="1">
      <protection locked="0"/>
    </xf>
    <xf numFmtId="0" fontId="7" fillId="0" borderId="0" xfId="9" applyNumberFormat="1" applyFont="1" applyFill="1" applyBorder="1" applyAlignment="1" applyProtection="1">
      <alignment horizontal="right"/>
    </xf>
    <xf numFmtId="37" fontId="3" fillId="0" borderId="61" xfId="9" applyNumberFormat="1" applyFont="1" applyFill="1" applyBorder="1" applyProtection="1"/>
    <xf numFmtId="169" fontId="3" fillId="0" borderId="60" xfId="9" applyNumberFormat="1" applyFont="1" applyFill="1" applyBorder="1" applyAlignment="1">
      <alignment horizontal="right"/>
    </xf>
    <xf numFmtId="0" fontId="29" fillId="0" borderId="0" xfId="9" applyFont="1" applyFill="1" applyAlignment="1">
      <alignment horizontal="center"/>
    </xf>
    <xf numFmtId="0" fontId="26" fillId="0" borderId="0" xfId="9" applyFont="1" applyFill="1"/>
    <xf numFmtId="169" fontId="3" fillId="0" borderId="61" xfId="1" applyNumberFormat="1" applyFont="1" applyFill="1" applyBorder="1" applyProtection="1"/>
    <xf numFmtId="169" fontId="26" fillId="0" borderId="0" xfId="1" applyNumberFormat="1" applyFont="1" applyFill="1"/>
    <xf numFmtId="3" fontId="3" fillId="5" borderId="0" xfId="1" applyNumberFormat="1" applyFont="1" applyFill="1" applyBorder="1" applyProtection="1">
      <protection locked="0"/>
    </xf>
    <xf numFmtId="169" fontId="3" fillId="5" borderId="0" xfId="1" applyNumberFormat="1" applyFont="1" applyFill="1" applyBorder="1" applyProtection="1"/>
    <xf numFmtId="3" fontId="3" fillId="0" borderId="0" xfId="1" applyNumberFormat="1" applyFont="1" applyFill="1" applyBorder="1" applyProtection="1"/>
    <xf numFmtId="0" fontId="7" fillId="0" borderId="60" xfId="9" applyNumberFormat="1" applyFont="1" applyFill="1" applyBorder="1" applyAlignment="1">
      <alignment horizontal="right"/>
    </xf>
    <xf numFmtId="169" fontId="3" fillId="0" borderId="61" xfId="1" applyNumberFormat="1" applyFont="1" applyFill="1" applyBorder="1"/>
    <xf numFmtId="0" fontId="7" fillId="0" borderId="73" xfId="9" applyFont="1" applyFill="1" applyBorder="1" applyAlignment="1">
      <alignment horizontal="left"/>
    </xf>
    <xf numFmtId="37" fontId="3" fillId="0" borderId="29" xfId="9" applyNumberFormat="1" applyFont="1" applyFill="1" applyBorder="1" applyProtection="1"/>
    <xf numFmtId="37" fontId="3" fillId="0" borderId="89" xfId="9" applyNumberFormat="1" applyFont="1" applyFill="1" applyBorder="1" applyProtection="1"/>
    <xf numFmtId="37" fontId="7" fillId="0" borderId="100" xfId="9" applyNumberFormat="1" applyFont="1" applyFill="1" applyBorder="1" applyAlignment="1" applyProtection="1">
      <alignment horizontal="center"/>
    </xf>
    <xf numFmtId="37" fontId="3" fillId="0" borderId="74" xfId="9" applyNumberFormat="1" applyFont="1" applyFill="1" applyBorder="1" applyProtection="1"/>
    <xf numFmtId="0" fontId="34" fillId="0" borderId="0" xfId="9" applyFill="1" applyAlignment="1">
      <alignment horizontal="left"/>
    </xf>
    <xf numFmtId="37" fontId="34" fillId="0" borderId="0" xfId="9" applyNumberFormat="1" applyFill="1"/>
    <xf numFmtId="3" fontId="34" fillId="0" borderId="0" xfId="9" applyNumberFormat="1" applyFill="1"/>
    <xf numFmtId="3" fontId="7" fillId="0" borderId="0" xfId="9" applyNumberFormat="1" applyFont="1" applyFill="1"/>
    <xf numFmtId="37" fontId="3" fillId="0" borderId="0" xfId="9" applyNumberFormat="1" applyFont="1" applyFill="1"/>
    <xf numFmtId="0" fontId="34" fillId="0" borderId="64" xfId="9" applyBorder="1" applyAlignment="1"/>
    <xf numFmtId="0" fontId="34" fillId="0" borderId="31" xfId="9" applyBorder="1" applyAlignment="1"/>
    <xf numFmtId="0" fontId="34" fillId="0" borderId="31" xfId="9" applyBorder="1" applyAlignment="1">
      <alignment horizontal="center"/>
    </xf>
    <xf numFmtId="0" fontId="3" fillId="0" borderId="65" xfId="9" applyFont="1" applyBorder="1" applyAlignment="1">
      <alignment wrapText="1"/>
    </xf>
    <xf numFmtId="0" fontId="34" fillId="0" borderId="0" xfId="9" applyAlignment="1"/>
    <xf numFmtId="0" fontId="34" fillId="0" borderId="66" xfId="9" applyBorder="1" applyAlignment="1"/>
    <xf numFmtId="0" fontId="34" fillId="0" borderId="46" xfId="9" applyBorder="1" applyAlignment="1"/>
    <xf numFmtId="0" fontId="34" fillId="0" borderId="46" xfId="9" applyBorder="1" applyAlignment="1">
      <alignment horizontal="center"/>
    </xf>
    <xf numFmtId="0" fontId="34" fillId="0" borderId="67" xfId="9" applyBorder="1" applyAlignment="1">
      <alignment wrapText="1"/>
    </xf>
    <xf numFmtId="0" fontId="3" fillId="0" borderId="67" xfId="9" applyFont="1" applyBorder="1" applyAlignment="1">
      <alignment wrapText="1"/>
    </xf>
    <xf numFmtId="169" fontId="3" fillId="0" borderId="46" xfId="1" applyNumberFormat="1" applyFont="1" applyFill="1" applyBorder="1" applyProtection="1"/>
    <xf numFmtId="0" fontId="34" fillId="5" borderId="64" xfId="9" applyFill="1" applyBorder="1" applyAlignment="1"/>
    <xf numFmtId="0" fontId="34" fillId="5" borderId="31" xfId="9" applyFill="1" applyBorder="1" applyAlignment="1"/>
    <xf numFmtId="0" fontId="3" fillId="5" borderId="31" xfId="9" applyFont="1" applyFill="1" applyBorder="1" applyAlignment="1"/>
    <xf numFmtId="0" fontId="34" fillId="5" borderId="31" xfId="9" applyFill="1" applyBorder="1" applyAlignment="1">
      <alignment horizontal="center"/>
    </xf>
    <xf numFmtId="174" fontId="0" fillId="5" borderId="31" xfId="2" applyNumberFormat="1" applyFont="1" applyFill="1" applyBorder="1" applyAlignment="1"/>
    <xf numFmtId="0" fontId="3" fillId="5" borderId="65" xfId="9" applyFont="1" applyFill="1" applyBorder="1" applyAlignment="1">
      <alignment wrapText="1"/>
    </xf>
    <xf numFmtId="0" fontId="3" fillId="5" borderId="64" xfId="9" applyFont="1" applyFill="1" applyBorder="1" applyAlignment="1"/>
    <xf numFmtId="0" fontId="3" fillId="0" borderId="0" xfId="9" applyFont="1" applyAlignment="1"/>
    <xf numFmtId="0" fontId="34" fillId="0" borderId="96" xfId="9" applyBorder="1" applyAlignment="1"/>
    <xf numFmtId="0" fontId="34" fillId="0" borderId="97" xfId="9" applyBorder="1" applyAlignment="1"/>
    <xf numFmtId="0" fontId="34" fillId="0" borderId="97" xfId="9" applyBorder="1" applyAlignment="1">
      <alignment horizontal="center"/>
    </xf>
    <xf numFmtId="174" fontId="0" fillId="0" borderId="97" xfId="2" applyNumberFormat="1" applyFont="1" applyBorder="1" applyAlignment="1"/>
    <xf numFmtId="0" fontId="3" fillId="0" borderId="101" xfId="9" applyFont="1" applyBorder="1" applyAlignment="1">
      <alignment wrapText="1"/>
    </xf>
    <xf numFmtId="0" fontId="34" fillId="0" borderId="0" xfId="9" applyAlignment="1">
      <alignment wrapText="1"/>
    </xf>
    <xf numFmtId="0" fontId="26" fillId="0" borderId="0" xfId="9" applyFont="1" applyFill="1" applyBorder="1" applyAlignment="1">
      <alignment horizontal="center"/>
    </xf>
    <xf numFmtId="0" fontId="7" fillId="0" borderId="72" xfId="9" applyNumberFormat="1" applyFont="1" applyFill="1" applyBorder="1" applyAlignment="1" applyProtection="1">
      <alignment horizontal="right"/>
    </xf>
    <xf numFmtId="0" fontId="3" fillId="0" borderId="0" xfId="9" applyFont="1" applyFill="1" applyBorder="1" applyAlignment="1">
      <alignment horizontal="right"/>
    </xf>
    <xf numFmtId="43" fontId="36" fillId="0" borderId="0" xfId="9" applyNumberFormat="1" applyFont="1" applyFill="1"/>
    <xf numFmtId="43" fontId="26" fillId="0" borderId="0" xfId="9" applyNumberFormat="1" applyFont="1" applyFill="1"/>
    <xf numFmtId="0" fontId="26" fillId="0" borderId="0" xfId="9" applyFont="1" applyFill="1" applyBorder="1"/>
    <xf numFmtId="0" fontId="34" fillId="0" borderId="31" xfId="9" applyFill="1" applyBorder="1" applyAlignment="1">
      <alignment horizontal="center"/>
    </xf>
    <xf numFmtId="0" fontId="3" fillId="0" borderId="46" xfId="9" applyFont="1" applyBorder="1" applyAlignment="1"/>
    <xf numFmtId="0" fontId="3" fillId="0" borderId="0" xfId="9" applyFont="1" applyAlignment="1">
      <alignment wrapText="1"/>
    </xf>
    <xf numFmtId="43" fontId="3" fillId="0" borderId="0" xfId="1" applyFont="1" applyAlignment="1"/>
    <xf numFmtId="174" fontId="0" fillId="0" borderId="0" xfId="2" applyNumberFormat="1" applyFont="1" applyAlignment="1">
      <alignment horizontal="center"/>
    </xf>
    <xf numFmtId="0" fontId="3" fillId="0" borderId="0" xfId="9" applyFont="1" applyFill="1" applyBorder="1"/>
    <xf numFmtId="169" fontId="26" fillId="0" borderId="0" xfId="9" applyNumberFormat="1" applyFont="1" applyFill="1"/>
    <xf numFmtId="37" fontId="3" fillId="0" borderId="0" xfId="9" applyNumberFormat="1" applyFont="1" applyFill="1" applyBorder="1" applyAlignment="1">
      <alignment horizontal="right"/>
    </xf>
    <xf numFmtId="169" fontId="3" fillId="0" borderId="0" xfId="9" applyNumberFormat="1" applyFont="1" applyFill="1" applyBorder="1" applyAlignment="1">
      <alignment horizontal="right"/>
    </xf>
    <xf numFmtId="169" fontId="3" fillId="0" borderId="29" xfId="1" applyNumberFormat="1" applyFont="1" applyFill="1" applyBorder="1" applyProtection="1"/>
    <xf numFmtId="0" fontId="34" fillId="0" borderId="0" xfId="9" applyFill="1" applyBorder="1"/>
    <xf numFmtId="0" fontId="10" fillId="0" borderId="0" xfId="9" applyFont="1" applyFill="1" applyAlignment="1">
      <alignment horizontal="right"/>
    </xf>
    <xf numFmtId="43" fontId="3" fillId="0" borderId="31" xfId="1" applyFont="1" applyBorder="1" applyAlignment="1"/>
    <xf numFmtId="43" fontId="3" fillId="0" borderId="46" xfId="1" applyFont="1" applyBorder="1" applyAlignment="1"/>
    <xf numFmtId="174" fontId="34" fillId="0" borderId="0" xfId="9" applyNumberFormat="1" applyAlignment="1"/>
    <xf numFmtId="174" fontId="0" fillId="0" borderId="46" xfId="2" applyNumberFormat="1" applyFont="1" applyBorder="1" applyAlignment="1">
      <alignment horizontal="center"/>
    </xf>
    <xf numFmtId="0" fontId="3" fillId="0" borderId="67" xfId="9" applyFont="1" applyFill="1" applyBorder="1" applyAlignment="1">
      <alignment wrapText="1"/>
    </xf>
    <xf numFmtId="0" fontId="7" fillId="0" borderId="0" xfId="9" applyFont="1" applyAlignment="1">
      <alignment horizontal="center"/>
    </xf>
    <xf numFmtId="174" fontId="7" fillId="0" borderId="0" xfId="2" applyNumberFormat="1" applyFont="1" applyAlignment="1">
      <alignment horizontal="center"/>
    </xf>
    <xf numFmtId="0" fontId="34" fillId="0" borderId="15" xfId="9" applyBorder="1" applyAlignment="1"/>
    <xf numFmtId="0" fontId="7" fillId="0" borderId="0" xfId="9" applyFont="1" applyAlignment="1">
      <alignment horizontal="right"/>
    </xf>
    <xf numFmtId="174" fontId="7" fillId="0" borderId="0" xfId="2" applyNumberFormat="1" applyFont="1" applyAlignment="1"/>
    <xf numFmtId="0" fontId="3" fillId="5" borderId="66" xfId="4" applyFont="1" applyFill="1" applyBorder="1" applyAlignment="1"/>
    <xf numFmtId="0" fontId="3" fillId="5" borderId="46" xfId="4" applyFill="1" applyBorder="1" applyAlignment="1"/>
    <xf numFmtId="0" fontId="3" fillId="5" borderId="46" xfId="4" applyFont="1" applyFill="1" applyBorder="1" applyAlignment="1"/>
    <xf numFmtId="0" fontId="3" fillId="5" borderId="46" xfId="4" applyFill="1" applyBorder="1" applyAlignment="1">
      <alignment horizontal="center"/>
    </xf>
    <xf numFmtId="174" fontId="0" fillId="5" borderId="46" xfId="2" applyNumberFormat="1" applyFont="1" applyFill="1" applyBorder="1" applyAlignment="1"/>
    <xf numFmtId="0" fontId="3" fillId="5" borderId="67" xfId="4" applyFont="1" applyFill="1" applyBorder="1" applyAlignment="1">
      <alignment wrapText="1"/>
    </xf>
    <xf numFmtId="0" fontId="3" fillId="5" borderId="31" xfId="4" applyFont="1" applyFill="1" applyBorder="1" applyAlignment="1"/>
    <xf numFmtId="0" fontId="3" fillId="5" borderId="31" xfId="4" applyFill="1" applyBorder="1" applyAlignment="1">
      <alignment horizontal="center"/>
    </xf>
    <xf numFmtId="0" fontId="3" fillId="5" borderId="65" xfId="4" applyFont="1" applyFill="1" applyBorder="1" applyAlignment="1">
      <alignment wrapText="1"/>
    </xf>
    <xf numFmtId="174" fontId="0" fillId="5" borderId="61" xfId="2" applyNumberFormat="1" applyFont="1" applyFill="1" applyBorder="1" applyAlignment="1"/>
    <xf numFmtId="174" fontId="0" fillId="5" borderId="83" xfId="2" applyNumberFormat="1" applyFont="1" applyFill="1" applyBorder="1" applyAlignment="1"/>
    <xf numFmtId="174" fontId="0" fillId="5" borderId="85" xfId="2" applyNumberFormat="1" applyFont="1" applyFill="1" applyBorder="1" applyAlignment="1"/>
    <xf numFmtId="49" fontId="2" fillId="0" borderId="0" xfId="3" applyNumberFormat="1" applyFont="1" applyAlignment="1">
      <alignment horizontal="center"/>
    </xf>
    <xf numFmtId="49" fontId="1" fillId="0" borderId="0" xfId="4" applyNumberFormat="1" applyFont="1" applyAlignment="1">
      <alignment horizontal="center"/>
    </xf>
    <xf numFmtId="0" fontId="1" fillId="0" borderId="0" xfId="4" applyFont="1" applyAlignment="1">
      <alignment horizontal="center"/>
    </xf>
    <xf numFmtId="44" fontId="5" fillId="0" borderId="0" xfId="3" applyNumberFormat="1" applyFont="1" applyAlignment="1">
      <alignment horizontal="center"/>
    </xf>
    <xf numFmtId="164" fontId="9" fillId="2" borderId="4" xfId="3" applyNumberFormat="1" applyFont="1" applyFill="1" applyBorder="1" applyAlignment="1">
      <alignment horizontal="center"/>
    </xf>
    <xf numFmtId="164" fontId="9" fillId="2" borderId="5" xfId="3" applyNumberFormat="1" applyFont="1" applyFill="1" applyBorder="1" applyAlignment="1">
      <alignment horizontal="center"/>
    </xf>
    <xf numFmtId="164" fontId="9" fillId="2" borderId="6" xfId="3" applyNumberFormat="1" applyFont="1" applyFill="1" applyBorder="1" applyAlignment="1">
      <alignment horizontal="center"/>
    </xf>
    <xf numFmtId="44" fontId="2" fillId="0" borderId="0" xfId="3" applyNumberFormat="1" applyFont="1" applyAlignment="1">
      <alignment horizontal="center"/>
    </xf>
    <xf numFmtId="49" fontId="13" fillId="0" borderId="0" xfId="3" applyNumberFormat="1" applyFont="1" applyAlignment="1">
      <alignment horizontal="center"/>
    </xf>
    <xf numFmtId="164" fontId="9" fillId="2" borderId="32" xfId="3" applyNumberFormat="1" applyFont="1" applyFill="1" applyBorder="1" applyAlignment="1">
      <alignment horizontal="center"/>
    </xf>
    <xf numFmtId="164" fontId="9" fillId="2" borderId="34" xfId="3" applyNumberFormat="1" applyFont="1" applyFill="1" applyBorder="1" applyAlignment="1">
      <alignment horizontal="center"/>
    </xf>
    <xf numFmtId="166" fontId="9" fillId="2" borderId="25" xfId="3" applyNumberFormat="1" applyFont="1" applyFill="1" applyBorder="1" applyAlignment="1">
      <alignment horizontal="center"/>
    </xf>
    <xf numFmtId="166" fontId="9" fillId="2" borderId="26" xfId="3" applyNumberFormat="1" applyFont="1" applyFill="1" applyBorder="1" applyAlignment="1">
      <alignment horizontal="center"/>
    </xf>
    <xf numFmtId="166" fontId="9" fillId="2" borderId="41" xfId="3" applyNumberFormat="1" applyFont="1" applyFill="1" applyBorder="1" applyAlignment="1">
      <alignment horizontal="center"/>
    </xf>
    <xf numFmtId="166" fontId="9" fillId="2" borderId="24" xfId="3" applyNumberFormat="1" applyFont="1" applyFill="1" applyBorder="1" applyAlignment="1">
      <alignment horizontal="center"/>
    </xf>
    <xf numFmtId="49" fontId="22" fillId="0" borderId="0" xfId="3" applyNumberFormat="1" applyFont="1" applyFill="1" applyBorder="1" applyAlignment="1">
      <alignment horizontal="center"/>
    </xf>
    <xf numFmtId="49" fontId="1" fillId="0" borderId="0" xfId="3" applyNumberFormat="1" applyFont="1" applyFill="1" applyBorder="1" applyAlignment="1">
      <alignment horizontal="center"/>
    </xf>
    <xf numFmtId="44" fontId="23" fillId="0" borderId="0" xfId="3" applyNumberFormat="1" applyFont="1" applyFill="1" applyBorder="1" applyAlignment="1">
      <alignment horizontal="center"/>
    </xf>
    <xf numFmtId="0" fontId="23" fillId="0" borderId="0" xfId="4" applyFont="1" applyAlignment="1">
      <alignment horizontal="center"/>
    </xf>
    <xf numFmtId="0" fontId="22" fillId="0" borderId="0" xfId="9" applyFont="1" applyFill="1" applyAlignment="1">
      <alignment horizontal="center"/>
    </xf>
    <xf numFmtId="0" fontId="1" fillId="0" borderId="0" xfId="9" applyFont="1" applyFill="1" applyAlignment="1">
      <alignment horizontal="center"/>
    </xf>
    <xf numFmtId="0" fontId="23" fillId="0" borderId="0" xfId="9" applyFont="1" applyFill="1" applyAlignment="1">
      <alignment horizontal="center"/>
    </xf>
    <xf numFmtId="0" fontId="7" fillId="0" borderId="0" xfId="9" applyFont="1" applyFill="1" applyAlignment="1">
      <alignment horizontal="center"/>
    </xf>
    <xf numFmtId="0" fontId="7" fillId="0" borderId="0" xfId="9" applyFont="1" applyFill="1" applyBorder="1" applyAlignment="1">
      <alignment horizontal="center"/>
    </xf>
    <xf numFmtId="0" fontId="22" fillId="0" borderId="0" xfId="5" applyNumberFormat="1" applyFont="1" applyAlignment="1">
      <alignment horizontal="center" wrapText="1"/>
    </xf>
    <xf numFmtId="0" fontId="1" fillId="0" borderId="0" xfId="5" applyNumberFormat="1" applyFont="1" applyAlignment="1">
      <alignment horizontal="center" wrapText="1"/>
    </xf>
    <xf numFmtId="0" fontId="23" fillId="0" borderId="0" xfId="5" applyNumberFormat="1" applyFont="1" applyAlignment="1">
      <alignment horizontal="center" wrapText="1"/>
    </xf>
    <xf numFmtId="0" fontId="22" fillId="0" borderId="0" xfId="4" applyFont="1" applyFill="1" applyAlignment="1">
      <alignment horizontal="center"/>
    </xf>
    <xf numFmtId="0" fontId="1" fillId="0" borderId="0" xfId="4" applyFont="1" applyFill="1" applyAlignment="1">
      <alignment horizontal="center"/>
    </xf>
    <xf numFmtId="0" fontId="23" fillId="0" borderId="0" xfId="4" applyFont="1" applyFill="1" applyAlignment="1">
      <alignment horizontal="center"/>
    </xf>
    <xf numFmtId="0" fontId="7" fillId="0" borderId="0" xfId="4" applyFont="1" applyFill="1" applyAlignment="1">
      <alignment horizontal="center"/>
    </xf>
    <xf numFmtId="0" fontId="7" fillId="0" borderId="0" xfId="4" applyFont="1" applyFill="1" applyBorder="1" applyAlignment="1">
      <alignment horizontal="center"/>
    </xf>
    <xf numFmtId="0" fontId="3" fillId="0" borderId="80" xfId="4" applyFont="1" applyFill="1" applyBorder="1" applyAlignment="1">
      <alignment horizontal="left" vertical="center" wrapText="1"/>
    </xf>
    <xf numFmtId="0" fontId="3" fillId="0" borderId="81" xfId="4" applyFont="1" applyFill="1" applyBorder="1" applyAlignment="1">
      <alignment horizontal="left" vertical="center" wrapText="1"/>
    </xf>
    <xf numFmtId="0" fontId="3" fillId="0" borderId="79" xfId="4" applyFont="1" applyFill="1" applyBorder="1" applyAlignment="1">
      <alignment horizontal="left" vertical="center" wrapText="1"/>
    </xf>
    <xf numFmtId="43" fontId="7" fillId="0" borderId="0" xfId="8" applyNumberFormat="1" applyFont="1" applyFill="1" applyAlignment="1">
      <alignment horizontal="center"/>
    </xf>
  </cellXfs>
  <cellStyles count="10">
    <cellStyle name="Comma" xfId="1" builtinId="3"/>
    <cellStyle name="Comma 2" xfId="5"/>
    <cellStyle name="Currency" xfId="2" builtinId="4"/>
    <cellStyle name="Currency 6" xfId="7"/>
    <cellStyle name="Normal" xfId="0" builtinId="0"/>
    <cellStyle name="Normal 2" xfId="4"/>
    <cellStyle name="Normal 3" xfId="9"/>
    <cellStyle name="Normal_1999 MONTHLY PROJECTION SCHEDULES" xfId="8"/>
    <cellStyle name="Normal_Copy of Fpu03" xfId="3"/>
    <cellStyle name="Normal_FERC2002 update 4_8_0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8" Type="http://schemas.openxmlformats.org/officeDocument/2006/relationships/styles" Target="styles.xml" />
  <Relationship Id="rId17" Type="http://schemas.openxmlformats.org/officeDocument/2006/relationships/theme" Target="theme/theme1.xml" />
  <Relationship Id="rId19" Type="http://schemas.openxmlformats.org/officeDocument/2006/relationships/sharedStrings" Target="sharedStrings.xml" />
  <Relationship Id="rId1" Type="http://schemas.openxmlformats.org/officeDocument/2006/relationships/worksheet" Target="worksheets/sheet1.xml" />
  <Relationship Id="rId10" Type="http://schemas.openxmlformats.org/officeDocument/2006/relationships/worksheet" Target="worksheets/sheet10.xml" />
  <Relationship Id="rId11" Type="http://schemas.openxmlformats.org/officeDocument/2006/relationships/worksheet" Target="worksheets/sheet11.xml" />
  <Relationship Id="rId12" Type="http://schemas.openxmlformats.org/officeDocument/2006/relationships/worksheet" Target="worksheets/sheet12.xml" />
  <Relationship Id="rId13" Type="http://schemas.openxmlformats.org/officeDocument/2006/relationships/worksheet" Target="worksheets/sheet13.xml" />
  <Relationship Id="rId14" Type="http://schemas.openxmlformats.org/officeDocument/2006/relationships/worksheet" Target="worksheets/sheet14.xml" />
  <Relationship Id="rId15" Type="http://schemas.openxmlformats.org/officeDocument/2006/relationships/worksheet" Target="worksheets/sheet15.xml" />
  <Relationship Id="rId16" Type="http://schemas.openxmlformats.org/officeDocument/2006/relationships/worksheet" Target="worksheets/sheet16.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6" Type="http://schemas.openxmlformats.org/officeDocument/2006/relationships/worksheet" Target="worksheets/sheet6.xml" />
  <Relationship Id="rId7" Type="http://schemas.openxmlformats.org/officeDocument/2006/relationships/worksheet" Target="worksheets/sheet7.xml" />
  <Relationship Id="rId8" Type="http://schemas.openxmlformats.org/officeDocument/2006/relationships/worksheet" Target="worksheets/sheet8.xml" />
  <Relationship Id="rId9" Type="http://schemas.openxmlformats.org/officeDocument/2006/relationships/worksheet" Target="worksheets/sheet9.xml" />
  <Relationship Id="rId20"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14</xdr:col>
      <xdr:colOff>276225</xdr:colOff>
      <xdr:row>49</xdr:row>
      <xdr:rowOff>47625</xdr:rowOff>
    </xdr:from>
    <xdr:to>
      <xdr:col>15</xdr:col>
      <xdr:colOff>209550</xdr:colOff>
      <xdr:row>49</xdr:row>
      <xdr:rowOff>152400</xdr:rowOff>
    </xdr:to>
    <xdr:sp macro="" textlink="">
      <xdr:nvSpPr>
        <xdr:cNvPr id="2" name="Line 1">
          <a:extLst>
            <a:ext uri="{FF2B5EF4-FFF2-40B4-BE49-F238E27FC236}">
              <a16:creationId xmlns="" xmlns:a16="http://schemas.microsoft.com/office/drawing/2014/main" id="{00000000-0008-0000-1900-0000010C0000}"/>
            </a:ext>
          </a:extLst>
        </xdr:cNvPr>
        <xdr:cNvSpPr>
          <a:spLocks noChangeShapeType="1"/>
        </xdr:cNvSpPr>
      </xdr:nvSpPr>
      <xdr:spPr bwMode="auto">
        <a:xfrm flipH="1" flipV="1">
          <a:off x="12573000" y="11553825"/>
          <a:ext cx="781050" cy="104775"/>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Q55"/>
  <sheetViews>
    <sheetView topLeftCell="A13" workbookViewId="0">
      <selection activeCell="O13" sqref="O13"/>
    </sheetView>
  </sheetViews>
  <sheetFormatPr defaultColWidth="12.42578125" defaultRowHeight="12.75"/>
  <cols>
    <col min="1" max="1" width="1.7109375" style="2" customWidth="1"/>
    <col min="2" max="2" width="41.42578125" style="2" bestFit="1" customWidth="1"/>
    <col min="3" max="3" width="12.7109375" style="2" bestFit="1" customWidth="1"/>
    <col min="4" max="4" width="11.7109375" style="2" bestFit="1" customWidth="1"/>
    <col min="5" max="5" width="2.42578125" style="2" customWidth="1"/>
    <col min="6" max="6" width="9.7109375" style="2" bestFit="1" customWidth="1"/>
    <col min="7" max="7" width="11.28515625" style="2" bestFit="1" customWidth="1"/>
    <col min="8" max="8" width="9.7109375" style="2" bestFit="1" customWidth="1"/>
    <col min="9" max="9" width="6.42578125" style="2" bestFit="1" customWidth="1"/>
    <col min="10" max="10" width="7.42578125" style="2" bestFit="1" customWidth="1"/>
    <col min="11" max="11" width="1" style="2" customWidth="1"/>
    <col min="12" max="12" width="9.7109375" style="2" bestFit="1" customWidth="1"/>
    <col min="13" max="13" width="11.28515625" style="2" bestFit="1" customWidth="1"/>
    <col min="14" max="14" width="9.7109375" style="2" customWidth="1"/>
    <col min="15" max="15" width="10.7109375" style="2" bestFit="1" customWidth="1"/>
    <col min="16" max="16" width="7.42578125" style="2" bestFit="1" customWidth="1"/>
    <col min="17" max="16384" width="12.42578125" style="2"/>
  </cols>
  <sheetData>
    <row r="1" spans="1:17" s="1" customFormat="1" ht="18">
      <c r="A1" s="742" t="s">
        <v>0</v>
      </c>
      <c r="B1" s="742"/>
      <c r="C1" s="742"/>
      <c r="D1" s="742"/>
      <c r="E1" s="742"/>
      <c r="F1" s="742"/>
      <c r="G1" s="742"/>
      <c r="H1" s="742"/>
      <c r="I1" s="742"/>
      <c r="J1" s="742"/>
      <c r="K1" s="742"/>
      <c r="L1" s="742"/>
      <c r="M1" s="742"/>
      <c r="N1" s="742"/>
      <c r="O1" s="742"/>
      <c r="P1" s="742"/>
    </row>
    <row r="2" spans="1:17" ht="15">
      <c r="A2" s="743" t="s">
        <v>271</v>
      </c>
      <c r="B2" s="744"/>
      <c r="C2" s="744"/>
      <c r="D2" s="744"/>
      <c r="E2" s="744"/>
      <c r="F2" s="744"/>
      <c r="G2" s="744"/>
      <c r="H2" s="744"/>
      <c r="I2" s="744"/>
      <c r="J2" s="744"/>
      <c r="K2" s="744"/>
      <c r="L2" s="744"/>
      <c r="M2" s="744"/>
      <c r="N2" s="744"/>
      <c r="O2" s="744"/>
      <c r="P2" s="744"/>
    </row>
    <row r="3" spans="1:17" s="3" customFormat="1" ht="15.75">
      <c r="A3" s="745" t="s">
        <v>1</v>
      </c>
      <c r="B3" s="745"/>
      <c r="C3" s="745"/>
      <c r="D3" s="745"/>
      <c r="E3" s="745"/>
      <c r="F3" s="745"/>
      <c r="G3" s="745"/>
      <c r="H3" s="745"/>
      <c r="I3" s="745"/>
      <c r="J3" s="745"/>
      <c r="K3" s="745"/>
      <c r="L3" s="745"/>
      <c r="M3" s="745"/>
      <c r="N3" s="745"/>
      <c r="O3" s="745"/>
      <c r="P3" s="745"/>
    </row>
    <row r="4" spans="1:17" s="9" customFormat="1">
      <c r="A4" s="4"/>
      <c r="B4" s="4"/>
      <c r="C4" s="5"/>
      <c r="D4" s="5"/>
      <c r="E4" s="5"/>
      <c r="F4" s="6"/>
      <c r="G4" s="6"/>
      <c r="H4" s="6"/>
      <c r="I4" s="6"/>
      <c r="J4" s="6"/>
      <c r="K4" s="7"/>
      <c r="L4" s="8"/>
      <c r="M4" s="8"/>
      <c r="N4" s="8"/>
      <c r="O4" s="8"/>
      <c r="P4" s="8"/>
    </row>
    <row r="5" spans="1:17" s="9" customFormat="1" ht="11.25">
      <c r="A5" s="10"/>
      <c r="B5" s="11"/>
      <c r="C5" s="12"/>
      <c r="D5" s="13"/>
      <c r="E5" s="14"/>
      <c r="F5" s="746" t="s">
        <v>2</v>
      </c>
      <c r="G5" s="747"/>
      <c r="H5" s="747"/>
      <c r="I5" s="747"/>
      <c r="J5" s="748"/>
      <c r="K5" s="15"/>
      <c r="L5" s="746" t="s">
        <v>3</v>
      </c>
      <c r="M5" s="747"/>
      <c r="N5" s="747"/>
      <c r="O5" s="747"/>
      <c r="P5" s="748"/>
    </row>
    <row r="6" spans="1:17" s="9" customFormat="1">
      <c r="A6" s="16"/>
      <c r="B6" s="17"/>
      <c r="C6" s="18"/>
      <c r="D6" s="19"/>
      <c r="E6" s="20"/>
      <c r="F6" s="21"/>
      <c r="G6" s="22"/>
      <c r="H6" s="22"/>
      <c r="I6" s="22"/>
      <c r="J6" s="23"/>
      <c r="K6" s="24"/>
      <c r="L6" s="21"/>
      <c r="M6" s="22"/>
      <c r="N6" s="22"/>
      <c r="O6" s="22"/>
      <c r="P6" s="23"/>
    </row>
    <row r="7" spans="1:17" s="9" customFormat="1">
      <c r="A7" s="16"/>
      <c r="B7" s="17"/>
      <c r="C7" s="18"/>
      <c r="D7" s="19"/>
      <c r="E7" s="20"/>
      <c r="F7" s="18" t="s">
        <v>4</v>
      </c>
      <c r="G7" s="20" t="s">
        <v>4</v>
      </c>
      <c r="H7" s="20"/>
      <c r="I7" s="20"/>
      <c r="J7" s="19"/>
      <c r="K7" s="24"/>
      <c r="L7" s="18" t="s">
        <v>4</v>
      </c>
      <c r="M7" s="20" t="s">
        <v>4</v>
      </c>
      <c r="N7" s="20"/>
      <c r="O7" s="25"/>
      <c r="P7" s="19"/>
    </row>
    <row r="8" spans="1:17" s="9" customFormat="1">
      <c r="A8" s="16"/>
      <c r="B8" s="17"/>
      <c r="C8" s="26">
        <v>43831</v>
      </c>
      <c r="D8" s="27">
        <f>+C8</f>
        <v>43831</v>
      </c>
      <c r="E8" s="28"/>
      <c r="F8" s="18" t="s">
        <v>5</v>
      </c>
      <c r="G8" s="20" t="s">
        <v>6</v>
      </c>
      <c r="H8" s="20" t="s">
        <v>7</v>
      </c>
      <c r="I8" s="20"/>
      <c r="J8" s="19"/>
      <c r="K8" s="24"/>
      <c r="L8" s="18" t="s">
        <v>5</v>
      </c>
      <c r="M8" s="20" t="s">
        <v>6</v>
      </c>
      <c r="N8" s="20" t="s">
        <v>7</v>
      </c>
      <c r="O8" s="20" t="s">
        <v>8</v>
      </c>
      <c r="P8" s="19"/>
    </row>
    <row r="9" spans="1:17" s="9" customFormat="1">
      <c r="A9" s="29"/>
      <c r="B9" s="17"/>
      <c r="C9" s="18" t="s">
        <v>9</v>
      </c>
      <c r="D9" s="19" t="s">
        <v>10</v>
      </c>
      <c r="E9" s="20"/>
      <c r="F9" s="18" t="s">
        <v>11</v>
      </c>
      <c r="G9" s="20" t="s">
        <v>11</v>
      </c>
      <c r="H9" s="20" t="s">
        <v>12</v>
      </c>
      <c r="I9" s="20" t="s">
        <v>13</v>
      </c>
      <c r="J9" s="19" t="s">
        <v>14</v>
      </c>
      <c r="K9" s="24"/>
      <c r="L9" s="18" t="s">
        <v>11</v>
      </c>
      <c r="M9" s="20" t="s">
        <v>11</v>
      </c>
      <c r="N9" s="20" t="s">
        <v>12</v>
      </c>
      <c r="O9" s="20" t="s">
        <v>13</v>
      </c>
      <c r="P9" s="19" t="s">
        <v>14</v>
      </c>
      <c r="Q9" s="9" t="s">
        <v>15</v>
      </c>
    </row>
    <row r="10" spans="1:17" s="9" customFormat="1">
      <c r="A10" s="30" t="s">
        <v>16</v>
      </c>
      <c r="B10" s="31"/>
      <c r="C10" s="32"/>
      <c r="D10" s="33"/>
      <c r="E10" s="34"/>
      <c r="F10" s="32" t="s">
        <v>17</v>
      </c>
      <c r="G10" s="34" t="s">
        <v>17</v>
      </c>
      <c r="H10" s="34" t="s">
        <v>18</v>
      </c>
      <c r="I10" s="34" t="s">
        <v>17</v>
      </c>
      <c r="J10" s="33"/>
      <c r="K10" s="35"/>
      <c r="L10" s="32" t="s">
        <v>17</v>
      </c>
      <c r="M10" s="34" t="s">
        <v>17</v>
      </c>
      <c r="N10" s="34" t="s">
        <v>18</v>
      </c>
      <c r="O10" s="34" t="s">
        <v>17</v>
      </c>
      <c r="P10" s="33"/>
    </row>
    <row r="11" spans="1:17" s="9" customFormat="1">
      <c r="A11" s="36"/>
      <c r="B11" s="37"/>
      <c r="C11" s="38"/>
      <c r="D11" s="39"/>
      <c r="E11" s="40"/>
      <c r="F11" s="38"/>
      <c r="G11" s="40"/>
      <c r="H11" s="40"/>
      <c r="I11" s="40"/>
      <c r="J11" s="39"/>
      <c r="K11" s="41"/>
      <c r="L11" s="38"/>
      <c r="M11" s="42"/>
      <c r="N11" s="42"/>
      <c r="O11" s="42"/>
      <c r="P11" s="43"/>
    </row>
    <row r="12" spans="1:17" s="9" customFormat="1">
      <c r="A12" s="44" t="s">
        <v>19</v>
      </c>
      <c r="B12" s="45"/>
      <c r="C12" s="46"/>
      <c r="D12" s="47"/>
      <c r="E12" s="48"/>
      <c r="F12" s="49" t="s">
        <v>15</v>
      </c>
      <c r="G12" s="50"/>
      <c r="H12" s="50"/>
      <c r="I12" s="50"/>
      <c r="J12" s="51"/>
      <c r="K12" s="52"/>
      <c r="L12" s="49"/>
      <c r="M12" s="50"/>
      <c r="N12" s="50"/>
      <c r="O12" s="50"/>
      <c r="P12" s="51"/>
    </row>
    <row r="13" spans="1:17" s="9" customFormat="1">
      <c r="A13" s="53"/>
      <c r="B13" s="54" t="s">
        <v>20</v>
      </c>
      <c r="C13" s="55">
        <f>+'Sch. F 2019'!G10</f>
        <v>0</v>
      </c>
      <c r="D13" s="56">
        <f>+'Sch. F 2019'!P10</f>
        <v>0.14000000000032742</v>
      </c>
      <c r="E13" s="57"/>
      <c r="F13" s="58">
        <v>70</v>
      </c>
      <c r="G13" s="59">
        <v>26</v>
      </c>
      <c r="H13" s="59">
        <v>0</v>
      </c>
      <c r="I13" s="59">
        <v>44.2</v>
      </c>
      <c r="J13" s="60" t="s">
        <v>21</v>
      </c>
      <c r="K13" s="61"/>
      <c r="L13" s="62">
        <v>75</v>
      </c>
      <c r="M13" s="63">
        <v>75</v>
      </c>
      <c r="N13" s="63">
        <f>+H13</f>
        <v>0</v>
      </c>
      <c r="O13" s="63">
        <v>0</v>
      </c>
      <c r="P13" s="60" t="s">
        <v>21</v>
      </c>
    </row>
    <row r="14" spans="1:17" s="9" customFormat="1">
      <c r="A14" s="53"/>
      <c r="B14" s="54" t="s">
        <v>22</v>
      </c>
      <c r="C14" s="55">
        <f>+'Sch. F 2019'!G11</f>
        <v>1919496.1700000006</v>
      </c>
      <c r="D14" s="56">
        <f>'Sch. 4'!E12</f>
        <v>59504</v>
      </c>
      <c r="E14" s="57" t="s">
        <v>23</v>
      </c>
      <c r="F14" s="58">
        <v>55</v>
      </c>
      <c r="G14" s="59">
        <v>50</v>
      </c>
      <c r="H14" s="59">
        <v>0</v>
      </c>
      <c r="I14" s="59">
        <v>5.2</v>
      </c>
      <c r="J14" s="60" t="s">
        <v>24</v>
      </c>
      <c r="K14" s="61"/>
      <c r="L14" s="62">
        <v>60</v>
      </c>
      <c r="M14" s="63">
        <v>57</v>
      </c>
      <c r="N14" s="63">
        <f t="shared" ref="N14:N20" si="0">+H14</f>
        <v>0</v>
      </c>
      <c r="O14" s="63">
        <v>3.2</v>
      </c>
      <c r="P14" s="60" t="s">
        <v>24</v>
      </c>
    </row>
    <row r="15" spans="1:17" s="9" customFormat="1">
      <c r="A15" s="53"/>
      <c r="B15" s="54" t="s">
        <v>25</v>
      </c>
      <c r="C15" s="55">
        <f>+'Sch. F 2019'!G12</f>
        <v>7801457.4299999997</v>
      </c>
      <c r="D15" s="56">
        <f>+'Sch. F 2019'!P12</f>
        <v>1621933.31</v>
      </c>
      <c r="E15" s="57"/>
      <c r="F15" s="58">
        <v>40</v>
      </c>
      <c r="G15" s="59">
        <v>27</v>
      </c>
      <c r="H15" s="59">
        <v>5</v>
      </c>
      <c r="I15" s="59">
        <v>13.4</v>
      </c>
      <c r="J15" s="60" t="s">
        <v>26</v>
      </c>
      <c r="K15" s="61"/>
      <c r="L15" s="62">
        <v>45</v>
      </c>
      <c r="M15" s="63">
        <v>35</v>
      </c>
      <c r="N15" s="63">
        <v>0</v>
      </c>
      <c r="O15" s="63">
        <v>10</v>
      </c>
      <c r="P15" s="60" t="s">
        <v>27</v>
      </c>
    </row>
    <row r="16" spans="1:17" s="9" customFormat="1">
      <c r="A16" s="53"/>
      <c r="B16" s="54" t="s">
        <v>28</v>
      </c>
      <c r="C16" s="55">
        <f>+'Sch. F 2019'!G13</f>
        <v>224802</v>
      </c>
      <c r="D16" s="56">
        <f>'Sch. 4'!E14</f>
        <v>196589</v>
      </c>
      <c r="E16" s="57" t="s">
        <v>23</v>
      </c>
      <c r="F16" s="58">
        <v>55</v>
      </c>
      <c r="G16" s="59">
        <v>14.5</v>
      </c>
      <c r="H16" s="59">
        <v>-15</v>
      </c>
      <c r="I16" s="59">
        <f>F16-G16</f>
        <v>40.5</v>
      </c>
      <c r="J16" s="60" t="s">
        <v>29</v>
      </c>
      <c r="K16" s="61"/>
      <c r="L16" s="62">
        <v>60</v>
      </c>
      <c r="M16" s="63">
        <f>L16-O16</f>
        <v>14.5</v>
      </c>
      <c r="N16" s="63">
        <v>-15</v>
      </c>
      <c r="O16" s="63">
        <v>45.5</v>
      </c>
      <c r="P16" s="60" t="s">
        <v>29</v>
      </c>
    </row>
    <row r="17" spans="1:16" s="9" customFormat="1">
      <c r="A17" s="53"/>
      <c r="B17" s="54" t="s">
        <v>30</v>
      </c>
      <c r="C17" s="55">
        <f>+'Sch. F 2019'!G14</f>
        <v>1447747</v>
      </c>
      <c r="D17" s="56">
        <f>'Sch. 4'!E15</f>
        <v>661209.22999999986</v>
      </c>
      <c r="E17" s="57" t="s">
        <v>23</v>
      </c>
      <c r="F17" s="58">
        <v>40</v>
      </c>
      <c r="G17" s="59">
        <v>16.899999999999999</v>
      </c>
      <c r="H17" s="59">
        <v>-40</v>
      </c>
      <c r="I17" s="59">
        <v>23.2</v>
      </c>
      <c r="J17" s="60" t="s">
        <v>31</v>
      </c>
      <c r="K17" s="61"/>
      <c r="L17" s="62">
        <v>40</v>
      </c>
      <c r="M17" s="63">
        <v>17.8</v>
      </c>
      <c r="N17" s="63">
        <v>-50</v>
      </c>
      <c r="O17" s="63">
        <v>27.7</v>
      </c>
      <c r="P17" s="60" t="s">
        <v>32</v>
      </c>
    </row>
    <row r="18" spans="1:16" s="9" customFormat="1">
      <c r="A18" s="53"/>
      <c r="B18" s="54" t="s">
        <v>33</v>
      </c>
      <c r="C18" s="55">
        <f>+'Sch. F 2019'!G15</f>
        <v>4014730.41</v>
      </c>
      <c r="D18" s="56">
        <f>'Sch. 4'!E16</f>
        <v>678489</v>
      </c>
      <c r="E18" s="57" t="s">
        <v>23</v>
      </c>
      <c r="F18" s="58">
        <v>45</v>
      </c>
      <c r="G18" s="59">
        <v>41</v>
      </c>
      <c r="H18" s="59">
        <v>-30</v>
      </c>
      <c r="I18" s="59">
        <v>4.5</v>
      </c>
      <c r="J18" s="60" t="s">
        <v>32</v>
      </c>
      <c r="K18" s="61"/>
      <c r="L18" s="62">
        <v>45</v>
      </c>
      <c r="M18" s="63">
        <v>39</v>
      </c>
      <c r="N18" s="63">
        <f t="shared" si="0"/>
        <v>-30</v>
      </c>
      <c r="O18" s="63">
        <v>5.8</v>
      </c>
      <c r="P18" s="60" t="s">
        <v>32</v>
      </c>
    </row>
    <row r="19" spans="1:16" s="9" customFormat="1">
      <c r="A19" s="53"/>
      <c r="B19" s="54" t="s">
        <v>34</v>
      </c>
      <c r="C19" s="55">
        <f>+'Sch. F 2019'!G16</f>
        <v>3136905.45</v>
      </c>
      <c r="D19" s="56">
        <f>+'Sch. F 2019'!P16</f>
        <v>583845.12299999991</v>
      </c>
      <c r="E19" s="57"/>
      <c r="F19" s="58">
        <v>50</v>
      </c>
      <c r="G19" s="59">
        <v>36</v>
      </c>
      <c r="H19" s="59">
        <v>-20</v>
      </c>
      <c r="I19" s="59">
        <v>14.1</v>
      </c>
      <c r="J19" s="60" t="s">
        <v>26</v>
      </c>
      <c r="K19" s="61"/>
      <c r="L19" s="62">
        <v>55</v>
      </c>
      <c r="M19" s="63">
        <v>46</v>
      </c>
      <c r="N19" s="63">
        <f t="shared" si="0"/>
        <v>-20</v>
      </c>
      <c r="O19" s="63">
        <v>11.3</v>
      </c>
      <c r="P19" s="60" t="s">
        <v>26</v>
      </c>
    </row>
    <row r="20" spans="1:16" s="9" customFormat="1">
      <c r="A20" s="53"/>
      <c r="B20" s="64" t="s">
        <v>35</v>
      </c>
      <c r="C20" s="55">
        <f>+'Sch. F 2019'!G17</f>
        <v>6788</v>
      </c>
      <c r="D20" s="56">
        <f>+'Sch. F 2019'!P17</f>
        <v>6009.0400000000009</v>
      </c>
      <c r="E20" s="57"/>
      <c r="F20" s="58">
        <v>65</v>
      </c>
      <c r="G20" s="59">
        <v>12.5</v>
      </c>
      <c r="H20" s="59">
        <v>0</v>
      </c>
      <c r="I20" s="59">
        <f>F20-G20</f>
        <v>52.5</v>
      </c>
      <c r="J20" s="60" t="s">
        <v>21</v>
      </c>
      <c r="K20" s="61"/>
      <c r="L20" s="62">
        <v>70</v>
      </c>
      <c r="M20" s="63">
        <v>12.5</v>
      </c>
      <c r="N20" s="63">
        <f t="shared" si="0"/>
        <v>0</v>
      </c>
      <c r="O20" s="63">
        <v>57.5</v>
      </c>
      <c r="P20" s="60" t="s">
        <v>21</v>
      </c>
    </row>
    <row r="21" spans="1:16" s="75" customFormat="1">
      <c r="A21" s="53"/>
      <c r="B21" s="65" t="s">
        <v>36</v>
      </c>
      <c r="C21" s="66">
        <f>SUM(C13:C20)</f>
        <v>18551926.460000001</v>
      </c>
      <c r="D21" s="67">
        <f>SUM(D13:D20)</f>
        <v>3807578.8429999994</v>
      </c>
      <c r="E21" s="68"/>
      <c r="F21" s="69"/>
      <c r="G21" s="70"/>
      <c r="H21" s="70"/>
      <c r="I21" s="70"/>
      <c r="J21" s="71"/>
      <c r="K21" s="72"/>
      <c r="L21" s="73"/>
      <c r="M21" s="74"/>
      <c r="N21" s="74"/>
      <c r="O21" s="74"/>
      <c r="P21" s="71"/>
    </row>
    <row r="22" spans="1:16" s="9" customFormat="1">
      <c r="A22" s="53"/>
      <c r="B22" s="76"/>
      <c r="C22" s="77"/>
      <c r="D22" s="78"/>
      <c r="E22" s="79"/>
      <c r="F22" s="58"/>
      <c r="G22" s="59"/>
      <c r="H22" s="59"/>
      <c r="I22" s="59"/>
      <c r="J22" s="60"/>
      <c r="K22" s="61"/>
      <c r="L22" s="62"/>
      <c r="M22" s="63"/>
      <c r="N22" s="63"/>
      <c r="O22" s="63"/>
      <c r="P22" s="60"/>
    </row>
    <row r="23" spans="1:16" s="9" customFormat="1">
      <c r="A23" s="80" t="s">
        <v>37</v>
      </c>
      <c r="B23" s="81"/>
      <c r="C23" s="55"/>
      <c r="D23" s="56"/>
      <c r="E23" s="57"/>
      <c r="F23" s="58"/>
      <c r="G23" s="59"/>
      <c r="H23" s="59"/>
      <c r="I23" s="59"/>
      <c r="J23" s="60"/>
      <c r="K23" s="61"/>
      <c r="L23" s="62"/>
      <c r="M23" s="63"/>
      <c r="N23" s="63"/>
      <c r="O23" s="63"/>
      <c r="P23" s="60"/>
    </row>
    <row r="24" spans="1:16" s="9" customFormat="1">
      <c r="A24" s="53"/>
      <c r="B24" s="54" t="s">
        <v>38</v>
      </c>
      <c r="C24" s="55">
        <f>+'Sch. F 2019'!G19</f>
        <v>56995</v>
      </c>
      <c r="D24" s="56">
        <f>+'Sch. F 2019'!P19</f>
        <v>34100</v>
      </c>
      <c r="E24" s="57"/>
      <c r="F24" s="58">
        <v>60</v>
      </c>
      <c r="G24" s="59">
        <v>31</v>
      </c>
      <c r="H24" s="59">
        <v>0</v>
      </c>
      <c r="I24" s="59">
        <v>29.5</v>
      </c>
      <c r="J24" s="60" t="s">
        <v>21</v>
      </c>
      <c r="K24" s="61"/>
      <c r="L24" s="62">
        <f t="shared" ref="L24:L35" si="1">F24</f>
        <v>60</v>
      </c>
      <c r="M24" s="63">
        <v>26</v>
      </c>
      <c r="N24" s="63">
        <f t="shared" ref="N24:N35" si="2">+H24</f>
        <v>0</v>
      </c>
      <c r="O24" s="63">
        <v>34.5</v>
      </c>
      <c r="P24" s="60" t="s">
        <v>21</v>
      </c>
    </row>
    <row r="25" spans="1:16" s="9" customFormat="1">
      <c r="A25" s="53"/>
      <c r="B25" s="54" t="s">
        <v>39</v>
      </c>
      <c r="C25" s="55">
        <f>+'Sch. F 2019'!G20</f>
        <v>1198983.1200000001</v>
      </c>
      <c r="D25" s="56">
        <f>+'Sch. F 2019'!P20</f>
        <v>108222.76</v>
      </c>
      <c r="E25" s="57"/>
      <c r="F25" s="58">
        <v>60</v>
      </c>
      <c r="G25" s="59">
        <v>47</v>
      </c>
      <c r="H25" s="59">
        <v>-5</v>
      </c>
      <c r="I25" s="59">
        <f>F25-G25</f>
        <v>13</v>
      </c>
      <c r="J25" s="60" t="s">
        <v>21</v>
      </c>
      <c r="K25" s="61"/>
      <c r="L25" s="62">
        <f t="shared" si="1"/>
        <v>60</v>
      </c>
      <c r="M25" s="63">
        <v>54</v>
      </c>
      <c r="N25" s="63">
        <f t="shared" si="2"/>
        <v>-5</v>
      </c>
      <c r="O25" s="63">
        <v>5.6</v>
      </c>
      <c r="P25" s="60" t="s">
        <v>21</v>
      </c>
    </row>
    <row r="26" spans="1:16" s="9" customFormat="1">
      <c r="A26" s="53"/>
      <c r="B26" s="54" t="s">
        <v>40</v>
      </c>
      <c r="C26" s="55">
        <f>+'Sch. F 2019'!G21</f>
        <v>13265693.23</v>
      </c>
      <c r="D26" s="56">
        <f>+'Sch. F 2019'!P21</f>
        <v>3869802.5</v>
      </c>
      <c r="E26" s="57"/>
      <c r="F26" s="58">
        <v>45</v>
      </c>
      <c r="G26" s="59">
        <v>34</v>
      </c>
      <c r="H26" s="59">
        <v>-10</v>
      </c>
      <c r="I26" s="59">
        <v>11.2</v>
      </c>
      <c r="J26" s="60" t="s">
        <v>27</v>
      </c>
      <c r="K26" s="61"/>
      <c r="L26" s="62">
        <v>50</v>
      </c>
      <c r="M26" s="63">
        <v>38</v>
      </c>
      <c r="N26" s="63">
        <f t="shared" si="2"/>
        <v>-10</v>
      </c>
      <c r="O26" s="63">
        <v>11.9</v>
      </c>
      <c r="P26" s="60" t="s">
        <v>27</v>
      </c>
    </row>
    <row r="27" spans="1:16" s="9" customFormat="1">
      <c r="A27" s="53"/>
      <c r="B27" s="54" t="s">
        <v>41</v>
      </c>
      <c r="C27" s="55">
        <f>+'Sch. F 2019'!G22</f>
        <v>24993810.550000001</v>
      </c>
      <c r="D27" s="56">
        <f>+'Sch. F 2019'!P22</f>
        <v>9380938.879999999</v>
      </c>
      <c r="E27" s="56" t="s">
        <v>42</v>
      </c>
      <c r="F27" s="58">
        <v>38</v>
      </c>
      <c r="G27" s="59">
        <v>24</v>
      </c>
      <c r="H27" s="59">
        <v>-45</v>
      </c>
      <c r="I27" s="59">
        <v>14.4</v>
      </c>
      <c r="J27" s="60" t="s">
        <v>32</v>
      </c>
      <c r="K27" s="61"/>
      <c r="L27" s="62">
        <f t="shared" si="1"/>
        <v>38</v>
      </c>
      <c r="M27" s="63">
        <v>28</v>
      </c>
      <c r="N27" s="63">
        <v>-50</v>
      </c>
      <c r="O27" s="63">
        <v>10.5</v>
      </c>
      <c r="P27" s="60" t="s">
        <v>32</v>
      </c>
    </row>
    <row r="28" spans="1:16" s="9" customFormat="1">
      <c r="A28" s="53"/>
      <c r="B28" s="54" t="s">
        <v>43</v>
      </c>
      <c r="C28" s="55">
        <f>+'Sch. F 2019'!G23</f>
        <v>20379925.090000004</v>
      </c>
      <c r="D28" s="56">
        <f>+'Sch. F 2019'!P23</f>
        <v>10467834.869999999</v>
      </c>
      <c r="E28" s="56" t="s">
        <v>42</v>
      </c>
      <c r="F28" s="58">
        <v>40</v>
      </c>
      <c r="G28" s="59">
        <v>21</v>
      </c>
      <c r="H28" s="59">
        <v>-35</v>
      </c>
      <c r="I28" s="59">
        <v>19.3</v>
      </c>
      <c r="J28" s="60" t="s">
        <v>31</v>
      </c>
      <c r="K28" s="61"/>
      <c r="L28" s="62">
        <v>45</v>
      </c>
      <c r="M28" s="63">
        <v>30</v>
      </c>
      <c r="N28" s="63">
        <f t="shared" si="2"/>
        <v>-35</v>
      </c>
      <c r="O28" s="63">
        <v>15.1</v>
      </c>
      <c r="P28" s="60" t="s">
        <v>31</v>
      </c>
    </row>
    <row r="29" spans="1:16" s="9" customFormat="1">
      <c r="A29" s="53"/>
      <c r="B29" s="54" t="s">
        <v>44</v>
      </c>
      <c r="C29" s="55">
        <f>+'Sch. F 2019'!G24</f>
        <v>6913569.9000000004</v>
      </c>
      <c r="D29" s="56">
        <f>+'Sch. F 2019'!P24</f>
        <v>1360240.2299999997</v>
      </c>
      <c r="E29" s="57"/>
      <c r="F29" s="58">
        <v>60</v>
      </c>
      <c r="G29" s="59">
        <v>50</v>
      </c>
      <c r="H29" s="59">
        <v>-5</v>
      </c>
      <c r="I29" s="59">
        <v>10.4</v>
      </c>
      <c r="J29" s="60" t="s">
        <v>31</v>
      </c>
      <c r="K29" s="61"/>
      <c r="L29" s="62">
        <f t="shared" si="1"/>
        <v>60</v>
      </c>
      <c r="M29" s="63">
        <v>47</v>
      </c>
      <c r="N29" s="63">
        <f t="shared" si="2"/>
        <v>-5</v>
      </c>
      <c r="O29" s="63">
        <v>12.8</v>
      </c>
      <c r="P29" s="60" t="s">
        <v>31</v>
      </c>
    </row>
    <row r="30" spans="1:16" s="9" customFormat="1">
      <c r="A30" s="53"/>
      <c r="B30" s="54" t="s">
        <v>45</v>
      </c>
      <c r="C30" s="55">
        <f>+'Sch. F 2019'!G25</f>
        <v>9896678.0099999998</v>
      </c>
      <c r="D30" s="56">
        <f>+'Sch. F 2019'!P25</f>
        <v>3950498.0799999996</v>
      </c>
      <c r="E30" s="57"/>
      <c r="F30" s="58">
        <v>35</v>
      </c>
      <c r="G30" s="59">
        <v>23</v>
      </c>
      <c r="H30" s="59">
        <v>-5</v>
      </c>
      <c r="I30" s="59">
        <v>12.2</v>
      </c>
      <c r="J30" s="60" t="s">
        <v>32</v>
      </c>
      <c r="K30" s="61"/>
      <c r="L30" s="62">
        <f t="shared" si="1"/>
        <v>35</v>
      </c>
      <c r="M30" s="63">
        <v>21</v>
      </c>
      <c r="N30" s="63">
        <v>-5</v>
      </c>
      <c r="O30" s="63">
        <v>14.4</v>
      </c>
      <c r="P30" s="60" t="s">
        <v>32</v>
      </c>
    </row>
    <row r="31" spans="1:16" s="9" customFormat="1">
      <c r="A31" s="53"/>
      <c r="B31" s="54" t="s">
        <v>46</v>
      </c>
      <c r="C31" s="55">
        <f>+'Sch. F 2019'!G26</f>
        <v>23478129.000000004</v>
      </c>
      <c r="D31" s="56">
        <f>+'Sch. F 2019'!P26</f>
        <v>15107483.840000002</v>
      </c>
      <c r="E31" s="56" t="s">
        <v>42</v>
      </c>
      <c r="F31" s="58">
        <v>30</v>
      </c>
      <c r="G31" s="59">
        <v>12.4</v>
      </c>
      <c r="H31" s="59">
        <v>-20</v>
      </c>
      <c r="I31" s="59">
        <v>17.7</v>
      </c>
      <c r="J31" s="60" t="s">
        <v>47</v>
      </c>
      <c r="K31" s="61"/>
      <c r="L31" s="62">
        <f t="shared" si="1"/>
        <v>30</v>
      </c>
      <c r="M31" s="63">
        <v>13.6</v>
      </c>
      <c r="N31" s="63">
        <f t="shared" si="2"/>
        <v>-20</v>
      </c>
      <c r="O31" s="63">
        <v>15.9</v>
      </c>
      <c r="P31" s="60" t="s">
        <v>47</v>
      </c>
    </row>
    <row r="32" spans="1:16" s="9" customFormat="1">
      <c r="A32" s="53"/>
      <c r="B32" s="54" t="s">
        <v>48</v>
      </c>
      <c r="C32" s="55">
        <f>+'Sch. F 2019'!G27</f>
        <v>13948676.699999997</v>
      </c>
      <c r="D32" s="56">
        <f>+'Sch. F 2019'!P27</f>
        <v>7766952.3499999996</v>
      </c>
      <c r="E32" s="56" t="s">
        <v>42</v>
      </c>
      <c r="F32" s="58">
        <v>37</v>
      </c>
      <c r="G32" s="59">
        <v>19.899999999999999</v>
      </c>
      <c r="H32" s="59">
        <v>-35</v>
      </c>
      <c r="I32" s="59">
        <f>F32-G32</f>
        <v>17.100000000000001</v>
      </c>
      <c r="J32" s="60" t="s">
        <v>31</v>
      </c>
      <c r="K32" s="61"/>
      <c r="L32" s="62">
        <v>40</v>
      </c>
      <c r="M32" s="63">
        <v>25</v>
      </c>
      <c r="N32" s="63">
        <v>-40</v>
      </c>
      <c r="O32" s="63">
        <v>14.9</v>
      </c>
      <c r="P32" s="60" t="s">
        <v>31</v>
      </c>
    </row>
    <row r="33" spans="1:16" s="9" customFormat="1">
      <c r="A33" s="53"/>
      <c r="B33" s="54" t="s">
        <v>49</v>
      </c>
      <c r="C33" s="55">
        <f>+'Sch. F 2019'!G28</f>
        <v>5114875.04</v>
      </c>
      <c r="D33" s="56">
        <f>+'Sch. F 2019'!P28</f>
        <v>3088311.5500000003</v>
      </c>
      <c r="E33" s="56" t="s">
        <v>42</v>
      </c>
      <c r="F33" s="58">
        <v>30</v>
      </c>
      <c r="G33" s="59">
        <v>11.9</v>
      </c>
      <c r="H33" s="59">
        <v>-10</v>
      </c>
      <c r="I33" s="59">
        <v>18.2</v>
      </c>
      <c r="J33" s="60" t="s">
        <v>31</v>
      </c>
      <c r="K33" s="61"/>
      <c r="L33" s="62">
        <f t="shared" si="1"/>
        <v>30</v>
      </c>
      <c r="M33" s="63">
        <v>13</v>
      </c>
      <c r="N33" s="63">
        <f t="shared" si="2"/>
        <v>-10</v>
      </c>
      <c r="O33" s="63">
        <v>16.899999999999999</v>
      </c>
      <c r="P33" s="60" t="s">
        <v>31</v>
      </c>
    </row>
    <row r="34" spans="1:16" s="9" customFormat="1">
      <c r="A34" s="53"/>
      <c r="B34" s="54" t="s">
        <v>50</v>
      </c>
      <c r="C34" s="55">
        <f>+'Sch. F 2019'!G29</f>
        <v>3495099.46</v>
      </c>
      <c r="D34" s="56">
        <f>+'Sch. F 2019'!P29</f>
        <v>1793661.4600000002</v>
      </c>
      <c r="E34" s="56" t="s">
        <v>42</v>
      </c>
      <c r="F34" s="58">
        <v>20</v>
      </c>
      <c r="G34" s="59">
        <v>9.6</v>
      </c>
      <c r="H34" s="59">
        <v>10</v>
      </c>
      <c r="I34" s="59">
        <v>10.7</v>
      </c>
      <c r="J34" s="60" t="s">
        <v>27</v>
      </c>
      <c r="K34" s="61"/>
      <c r="L34" s="62">
        <v>25</v>
      </c>
      <c r="M34" s="63">
        <v>13.6</v>
      </c>
      <c r="N34" s="63">
        <v>5</v>
      </c>
      <c r="O34" s="63">
        <v>11.1</v>
      </c>
      <c r="P34" s="60" t="s">
        <v>27</v>
      </c>
    </row>
    <row r="35" spans="1:16" s="9" customFormat="1">
      <c r="A35" s="53"/>
      <c r="B35" s="64" t="s">
        <v>51</v>
      </c>
      <c r="C35" s="55">
        <f>+'Sch. F 2019'!G30</f>
        <v>2644976.21</v>
      </c>
      <c r="D35" s="56">
        <f>+'Sch. F 2019'!P30</f>
        <v>1377575.8499999999</v>
      </c>
      <c r="E35" s="56" t="s">
        <v>42</v>
      </c>
      <c r="F35" s="58">
        <v>22</v>
      </c>
      <c r="G35" s="59">
        <v>7.6</v>
      </c>
      <c r="H35" s="59">
        <v>-10</v>
      </c>
      <c r="I35" s="59">
        <v>16.600000000000001</v>
      </c>
      <c r="J35" s="60" t="s">
        <v>52</v>
      </c>
      <c r="K35" s="61"/>
      <c r="L35" s="62">
        <f t="shared" si="1"/>
        <v>22</v>
      </c>
      <c r="M35" s="63">
        <v>11.4</v>
      </c>
      <c r="N35" s="63">
        <f t="shared" si="2"/>
        <v>-10</v>
      </c>
      <c r="O35" s="63">
        <v>11.7</v>
      </c>
      <c r="P35" s="60" t="s">
        <v>52</v>
      </c>
    </row>
    <row r="36" spans="1:16" s="75" customFormat="1">
      <c r="A36" s="53"/>
      <c r="B36" s="65" t="s">
        <v>53</v>
      </c>
      <c r="C36" s="66">
        <f>SUM(C24:C35)</f>
        <v>125387411.31</v>
      </c>
      <c r="D36" s="67">
        <f>SUM(D24:D35)</f>
        <v>58305622.369999997</v>
      </c>
      <c r="E36" s="68"/>
      <c r="F36" s="69"/>
      <c r="G36" s="70"/>
      <c r="H36" s="70"/>
      <c r="I36" s="70"/>
      <c r="J36" s="71"/>
      <c r="K36" s="72"/>
      <c r="L36" s="73"/>
      <c r="M36" s="74"/>
      <c r="N36" s="74"/>
      <c r="O36" s="74"/>
      <c r="P36" s="71"/>
    </row>
    <row r="37" spans="1:16" s="9" customFormat="1">
      <c r="A37" s="53"/>
      <c r="B37" s="76" t="s">
        <v>15</v>
      </c>
      <c r="C37" s="77"/>
      <c r="D37" s="78"/>
      <c r="E37" s="79"/>
      <c r="F37" s="58"/>
      <c r="G37" s="59"/>
      <c r="H37" s="59"/>
      <c r="I37" s="59"/>
      <c r="J37" s="60"/>
      <c r="K37" s="61"/>
      <c r="L37" s="62"/>
      <c r="M37" s="63"/>
      <c r="N37" s="63"/>
      <c r="O37" s="63"/>
      <c r="P37" s="60"/>
    </row>
    <row r="38" spans="1:16" s="9" customFormat="1">
      <c r="A38" s="80" t="s">
        <v>54</v>
      </c>
      <c r="B38" s="81"/>
      <c r="C38" s="55"/>
      <c r="D38" s="56"/>
      <c r="E38" s="57"/>
      <c r="F38" s="58"/>
      <c r="G38" s="59"/>
      <c r="H38" s="59"/>
      <c r="I38" s="59"/>
      <c r="J38" s="60"/>
      <c r="K38" s="61"/>
      <c r="L38" s="62"/>
      <c r="M38" s="63"/>
      <c r="N38" s="63"/>
      <c r="O38" s="63"/>
      <c r="P38" s="60"/>
    </row>
    <row r="39" spans="1:16" s="9" customFormat="1">
      <c r="A39" s="53"/>
      <c r="B39" s="54" t="s">
        <v>55</v>
      </c>
      <c r="C39" s="55">
        <f>+'Sch. F 2019'!G33</f>
        <v>4010284</v>
      </c>
      <c r="D39" s="56">
        <f>+'Sch. F 2019'!P33</f>
        <v>1009883.8799999999</v>
      </c>
      <c r="E39" s="57"/>
      <c r="F39" s="58">
        <v>50</v>
      </c>
      <c r="G39" s="59">
        <v>41</v>
      </c>
      <c r="H39" s="59">
        <v>0</v>
      </c>
      <c r="I39" s="59">
        <v>9</v>
      </c>
      <c r="J39" s="60" t="s">
        <v>32</v>
      </c>
      <c r="K39" s="61"/>
      <c r="L39" s="62">
        <f t="shared" ref="L39:L44" si="3">F39</f>
        <v>50</v>
      </c>
      <c r="M39" s="63">
        <v>38</v>
      </c>
      <c r="N39" s="63">
        <f t="shared" ref="N39:N44" si="4">+H39</f>
        <v>0</v>
      </c>
      <c r="O39" s="63">
        <v>12.8</v>
      </c>
      <c r="P39" s="60" t="s">
        <v>32</v>
      </c>
    </row>
    <row r="40" spans="1:16" s="9" customFormat="1">
      <c r="A40" s="53"/>
      <c r="B40" s="54" t="s">
        <v>56</v>
      </c>
      <c r="C40" s="55">
        <f>+'Sch. F 2019'!G39</f>
        <v>23952</v>
      </c>
      <c r="D40" s="56">
        <f>'Sch. 4'!E38</f>
        <v>10769</v>
      </c>
      <c r="E40" s="57" t="s">
        <v>23</v>
      </c>
      <c r="F40" s="58">
        <v>7</v>
      </c>
      <c r="G40" s="59">
        <v>6</v>
      </c>
      <c r="H40" s="59">
        <v>15</v>
      </c>
      <c r="I40" s="59">
        <v>1</v>
      </c>
      <c r="J40" s="60" t="s">
        <v>26</v>
      </c>
      <c r="K40" s="61"/>
      <c r="L40" s="62">
        <v>11</v>
      </c>
      <c r="M40" s="63">
        <v>5.2</v>
      </c>
      <c r="N40" s="63">
        <v>15</v>
      </c>
      <c r="O40" s="63">
        <v>6.5</v>
      </c>
      <c r="P40" s="60" t="s">
        <v>26</v>
      </c>
    </row>
    <row r="41" spans="1:16" s="9" customFormat="1">
      <c r="A41" s="53"/>
      <c r="B41" s="54" t="s">
        <v>57</v>
      </c>
      <c r="C41" s="55">
        <f>+'Sch. F 2019'!G40</f>
        <v>1178417.1300000004</v>
      </c>
      <c r="D41" s="56">
        <f>'Sch. 4'!E39</f>
        <v>650486</v>
      </c>
      <c r="E41" s="57" t="s">
        <v>23</v>
      </c>
      <c r="F41" s="58">
        <v>9</v>
      </c>
      <c r="G41" s="59">
        <v>4.9000000000000004</v>
      </c>
      <c r="H41" s="59">
        <v>12</v>
      </c>
      <c r="I41" s="59">
        <v>4.0999999999999996</v>
      </c>
      <c r="J41" s="60" t="s">
        <v>47</v>
      </c>
      <c r="K41" s="61"/>
      <c r="L41" s="62">
        <v>11</v>
      </c>
      <c r="M41" s="63">
        <v>4.0999999999999996</v>
      </c>
      <c r="N41" s="63">
        <f t="shared" si="4"/>
        <v>12</v>
      </c>
      <c r="O41" s="63">
        <v>7.5</v>
      </c>
      <c r="P41" s="60" t="s">
        <v>47</v>
      </c>
    </row>
    <row r="42" spans="1:16" s="9" customFormat="1">
      <c r="A42" s="53"/>
      <c r="B42" s="54" t="s">
        <v>58</v>
      </c>
      <c r="C42" s="55">
        <f>+'Sch. F 2019'!G41</f>
        <v>4086800</v>
      </c>
      <c r="D42" s="56">
        <f>'Sch. 4'!E40</f>
        <v>2182351</v>
      </c>
      <c r="E42" s="57" t="s">
        <v>23</v>
      </c>
      <c r="F42" s="58">
        <v>13</v>
      </c>
      <c r="G42" s="59">
        <v>6.4</v>
      </c>
      <c r="H42" s="59">
        <v>10</v>
      </c>
      <c r="I42" s="59">
        <v>6.8</v>
      </c>
      <c r="J42" s="60" t="s">
        <v>27</v>
      </c>
      <c r="K42" s="61"/>
      <c r="L42" s="62">
        <v>15</v>
      </c>
      <c r="M42" s="63">
        <v>6.1</v>
      </c>
      <c r="N42" s="63">
        <f t="shared" si="4"/>
        <v>10</v>
      </c>
      <c r="O42" s="63">
        <v>10.5</v>
      </c>
      <c r="P42" s="60" t="s">
        <v>27</v>
      </c>
    </row>
    <row r="43" spans="1:16" s="9" customFormat="1">
      <c r="A43" s="53"/>
      <c r="B43" s="54" t="s">
        <v>59</v>
      </c>
      <c r="C43" s="55">
        <f>+'Sch. F 2019'!G42</f>
        <v>144084</v>
      </c>
      <c r="D43" s="56">
        <f>+'Sch. F 2019'!P42</f>
        <v>96570.280000000013</v>
      </c>
      <c r="E43" s="57"/>
      <c r="F43" s="58">
        <v>25</v>
      </c>
      <c r="G43" s="59">
        <v>13.8</v>
      </c>
      <c r="H43" s="59">
        <v>5</v>
      </c>
      <c r="I43" s="59">
        <v>11.4</v>
      </c>
      <c r="J43" s="60" t="s">
        <v>32</v>
      </c>
      <c r="K43" s="61"/>
      <c r="L43" s="62">
        <f t="shared" si="3"/>
        <v>25</v>
      </c>
      <c r="M43" s="63">
        <v>9.4</v>
      </c>
      <c r="N43" s="63">
        <f t="shared" si="4"/>
        <v>5</v>
      </c>
      <c r="O43" s="63">
        <v>16.399999999999999</v>
      </c>
      <c r="P43" s="60" t="s">
        <v>32</v>
      </c>
    </row>
    <row r="44" spans="1:16" s="9" customFormat="1">
      <c r="A44" s="53"/>
      <c r="B44" s="54" t="s">
        <v>60</v>
      </c>
      <c r="C44" s="55">
        <f>+'Sch. F 2019'!G46</f>
        <v>898523.00000000012</v>
      </c>
      <c r="D44" s="56">
        <f>+'Sch. F 2019'!P46</f>
        <v>335751.85</v>
      </c>
      <c r="E44" s="57"/>
      <c r="F44" s="58">
        <v>25</v>
      </c>
      <c r="G44" s="59">
        <v>8.4</v>
      </c>
      <c r="H44" s="59">
        <v>0</v>
      </c>
      <c r="I44" s="59">
        <v>16.600000000000001</v>
      </c>
      <c r="J44" s="60" t="s">
        <v>29</v>
      </c>
      <c r="K44" s="61"/>
      <c r="L44" s="62">
        <f t="shared" si="3"/>
        <v>25</v>
      </c>
      <c r="M44" s="63">
        <f>L44-O44</f>
        <v>15.4</v>
      </c>
      <c r="N44" s="63">
        <f t="shared" si="4"/>
        <v>0</v>
      </c>
      <c r="O44" s="63">
        <v>9.6</v>
      </c>
      <c r="P44" s="60" t="s">
        <v>29</v>
      </c>
    </row>
    <row r="45" spans="1:16" s="9" customFormat="1">
      <c r="A45" s="53"/>
      <c r="B45" s="82"/>
      <c r="C45" s="83"/>
      <c r="D45" s="84"/>
      <c r="E45" s="85"/>
      <c r="F45" s="58"/>
      <c r="G45" s="59"/>
      <c r="H45" s="59"/>
      <c r="I45" s="59"/>
      <c r="J45" s="60"/>
      <c r="K45" s="61"/>
      <c r="L45" s="86"/>
      <c r="M45" s="87"/>
      <c r="N45" s="87"/>
      <c r="O45" s="87"/>
      <c r="P45" s="88"/>
    </row>
    <row r="46" spans="1:16" s="75" customFormat="1">
      <c r="A46" s="89"/>
      <c r="B46" s="90" t="s">
        <v>61</v>
      </c>
      <c r="C46" s="91">
        <f>SUM(C39:C45)</f>
        <v>10342060.130000001</v>
      </c>
      <c r="D46" s="92">
        <f>SUM(D39:D45)</f>
        <v>4285812.01</v>
      </c>
      <c r="E46" s="93"/>
      <c r="F46" s="94" t="s">
        <v>15</v>
      </c>
      <c r="G46" s="95" t="s">
        <v>15</v>
      </c>
      <c r="H46" s="95" t="s">
        <v>15</v>
      </c>
      <c r="I46" s="95"/>
      <c r="J46" s="96"/>
      <c r="K46" s="97"/>
      <c r="L46" s="98"/>
      <c r="M46" s="99"/>
      <c r="N46" s="99"/>
      <c r="O46" s="99"/>
      <c r="P46" s="100"/>
    </row>
    <row r="47" spans="1:16" s="9" customFormat="1">
      <c r="A47" s="101"/>
      <c r="B47" s="102"/>
      <c r="C47" s="103"/>
      <c r="D47" s="104"/>
      <c r="E47" s="105"/>
      <c r="F47" s="106"/>
      <c r="G47" s="107"/>
      <c r="H47" s="107"/>
      <c r="I47" s="107"/>
      <c r="J47" s="108"/>
      <c r="K47" s="109"/>
      <c r="L47" s="110"/>
      <c r="M47" s="111"/>
      <c r="N47" s="111"/>
      <c r="O47" s="111"/>
      <c r="P47" s="112"/>
    </row>
    <row r="48" spans="1:16" s="75" customFormat="1" ht="13.5" thickBot="1">
      <c r="A48" s="113" t="s">
        <v>15</v>
      </c>
      <c r="B48" s="113" t="s">
        <v>62</v>
      </c>
      <c r="C48" s="114">
        <f>+C46+C36+C21</f>
        <v>154281397.90000001</v>
      </c>
      <c r="D48" s="115">
        <f>+D46+D36+D21</f>
        <v>66399013.222999997</v>
      </c>
      <c r="E48" s="116"/>
      <c r="F48" s="94"/>
      <c r="G48" s="95"/>
      <c r="H48" s="95"/>
      <c r="I48" s="95"/>
      <c r="J48" s="96"/>
      <c r="K48" s="97"/>
      <c r="L48" s="98"/>
      <c r="M48" s="117"/>
      <c r="N48" s="117"/>
      <c r="O48" s="117"/>
      <c r="P48" s="118"/>
    </row>
    <row r="49" spans="1:16" s="9" customFormat="1" ht="13.5" thickTop="1">
      <c r="A49" s="119"/>
      <c r="B49" s="120"/>
      <c r="C49" s="121"/>
      <c r="D49" s="122"/>
      <c r="E49" s="123"/>
      <c r="F49" s="124"/>
      <c r="G49" s="125"/>
      <c r="H49" s="125"/>
      <c r="I49" s="125"/>
      <c r="J49" s="126"/>
      <c r="K49" s="127"/>
      <c r="L49" s="128"/>
      <c r="M49" s="129"/>
      <c r="N49" s="129"/>
      <c r="O49" s="129"/>
      <c r="P49" s="126"/>
    </row>
    <row r="51" spans="1:16" ht="15">
      <c r="A51" s="130" t="s">
        <v>23</v>
      </c>
      <c r="B51" s="131" t="s">
        <v>63</v>
      </c>
    </row>
    <row r="52" spans="1:16">
      <c r="A52" s="2" t="s">
        <v>42</v>
      </c>
      <c r="B52" s="2" t="s">
        <v>64</v>
      </c>
    </row>
    <row r="54" spans="1:16">
      <c r="D54" s="132"/>
    </row>
    <row r="55" spans="1:16">
      <c r="D55" s="133"/>
    </row>
  </sheetData>
  <mergeCells count="5">
    <mergeCell ref="A1:P1"/>
    <mergeCell ref="A2:P2"/>
    <mergeCell ref="A3:P3"/>
    <mergeCell ref="F5:J5"/>
    <mergeCell ref="L5:P5"/>
  </mergeCells>
  <printOptions horizontalCentered="1"/>
  <pageMargins left="0.75" right="0.75" top="0.75" bottom="0.75" header="0.2" footer="0.2"/>
  <pageSetup scale="23"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pageSetUpPr fitToPage="1"/>
  </sheetPr>
  <dimension ref="A1:T80"/>
  <sheetViews>
    <sheetView topLeftCell="A27" workbookViewId="0">
      <selection sqref="A1:XFD3"/>
    </sheetView>
  </sheetViews>
  <sheetFormatPr defaultColWidth="9.140625" defaultRowHeight="12.75"/>
  <cols>
    <col min="1" max="1" width="6.7109375" style="672" customWidth="1"/>
    <col min="2" max="2" width="11.42578125" style="640" customWidth="1"/>
    <col min="3" max="6" width="11.7109375" style="640" customWidth="1"/>
    <col min="7" max="7" width="12.7109375" style="640" customWidth="1"/>
    <col min="8" max="8" width="6.7109375" style="640" customWidth="1"/>
    <col min="9" max="9" width="11.42578125" style="640" customWidth="1"/>
    <col min="10" max="15" width="11.7109375" style="640" customWidth="1"/>
    <col min="16" max="16" width="11.42578125" style="640" customWidth="1"/>
    <col min="17" max="17" width="11.42578125" style="640" bestFit="1" customWidth="1"/>
    <col min="18" max="18" width="9.42578125" style="640" bestFit="1" customWidth="1"/>
    <col min="19" max="19" width="11" style="640" bestFit="1" customWidth="1"/>
    <col min="20" max="16384" width="9.140625" style="640"/>
  </cols>
  <sheetData>
    <row r="1" spans="1:19" s="634" customFormat="1" ht="18">
      <c r="A1" s="761" t="s">
        <v>105</v>
      </c>
      <c r="B1" s="761"/>
      <c r="C1" s="761"/>
      <c r="D1" s="761"/>
      <c r="E1" s="761"/>
      <c r="F1" s="761"/>
      <c r="G1" s="761"/>
      <c r="H1" s="761"/>
      <c r="I1" s="761"/>
      <c r="J1" s="761"/>
      <c r="K1" s="761"/>
      <c r="L1" s="761"/>
      <c r="M1" s="761"/>
      <c r="N1" s="761"/>
      <c r="O1" s="761"/>
      <c r="P1" s="761"/>
    </row>
    <row r="2" spans="1:19" s="635" customFormat="1" ht="15">
      <c r="A2" s="762" t="s">
        <v>271</v>
      </c>
      <c r="B2" s="762"/>
      <c r="C2" s="762"/>
      <c r="D2" s="762"/>
      <c r="E2" s="762"/>
      <c r="F2" s="762"/>
      <c r="G2" s="762"/>
      <c r="H2" s="762"/>
      <c r="I2" s="762"/>
      <c r="J2" s="762"/>
      <c r="K2" s="762"/>
      <c r="L2" s="762"/>
      <c r="M2" s="762"/>
      <c r="N2" s="762"/>
      <c r="O2" s="762"/>
      <c r="P2" s="762"/>
    </row>
    <row r="3" spans="1:19" s="636" customFormat="1" ht="15.75">
      <c r="A3" s="763" t="s">
        <v>192</v>
      </c>
      <c r="B3" s="763"/>
      <c r="C3" s="763"/>
      <c r="D3" s="763"/>
      <c r="E3" s="763"/>
      <c r="F3" s="763"/>
      <c r="G3" s="763"/>
      <c r="H3" s="763"/>
      <c r="I3" s="763"/>
      <c r="J3" s="763"/>
      <c r="K3" s="763"/>
      <c r="L3" s="763"/>
      <c r="M3" s="763"/>
      <c r="N3" s="763"/>
      <c r="O3" s="763"/>
      <c r="P3" s="763"/>
    </row>
    <row r="4" spans="1:19" s="637" customFormat="1">
      <c r="A4" s="764">
        <f>'Sch. F 2016'!A4:P4+1</f>
        <v>2017</v>
      </c>
      <c r="B4" s="764"/>
      <c r="C4" s="764"/>
      <c r="D4" s="764"/>
      <c r="E4" s="764"/>
      <c r="F4" s="764"/>
      <c r="G4" s="764"/>
      <c r="H4" s="764"/>
      <c r="I4" s="764"/>
      <c r="J4" s="764"/>
      <c r="K4" s="764"/>
      <c r="L4" s="764"/>
      <c r="M4" s="764"/>
      <c r="N4" s="764"/>
      <c r="O4" s="764"/>
      <c r="P4" s="764"/>
    </row>
    <row r="5" spans="1:19" ht="15">
      <c r="A5" s="638"/>
      <c r="B5" s="635"/>
      <c r="C5" s="635"/>
      <c r="D5" s="635"/>
      <c r="E5" s="635"/>
      <c r="F5" s="635"/>
      <c r="G5" s="635"/>
      <c r="H5" s="639"/>
      <c r="I5" s="635"/>
      <c r="J5" s="635"/>
      <c r="K5" s="635"/>
      <c r="L5" s="635"/>
      <c r="M5" s="635"/>
      <c r="N5" s="635"/>
      <c r="O5" s="635"/>
      <c r="P5" s="635"/>
    </row>
    <row r="6" spans="1:19" s="642" customFormat="1" ht="13.5" thickBot="1">
      <c r="A6" s="765" t="s">
        <v>106</v>
      </c>
      <c r="B6" s="765"/>
      <c r="C6" s="765"/>
      <c r="D6" s="765"/>
      <c r="E6" s="765"/>
      <c r="F6" s="765"/>
      <c r="G6" s="765"/>
      <c r="H6" s="641"/>
      <c r="I6" s="637"/>
      <c r="J6" s="637"/>
      <c r="K6" s="637" t="s">
        <v>107</v>
      </c>
      <c r="L6" s="637"/>
      <c r="M6" s="637"/>
      <c r="N6" s="637" t="s">
        <v>108</v>
      </c>
      <c r="P6" s="637"/>
      <c r="Q6" s="713"/>
      <c r="R6" s="713"/>
    </row>
    <row r="7" spans="1:19" s="647" customFormat="1">
      <c r="A7" s="643" t="s">
        <v>109</v>
      </c>
      <c r="B7" s="644" t="s">
        <v>110</v>
      </c>
      <c r="C7" s="644"/>
      <c r="D7" s="644"/>
      <c r="E7" s="644"/>
      <c r="F7" s="644" t="s">
        <v>111</v>
      </c>
      <c r="G7" s="644" t="s">
        <v>112</v>
      </c>
      <c r="H7" s="645" t="s">
        <v>109</v>
      </c>
      <c r="I7" s="644" t="s">
        <v>110</v>
      </c>
      <c r="J7" s="644"/>
      <c r="K7" s="644"/>
      <c r="L7" s="644"/>
      <c r="M7" s="644" t="s">
        <v>113</v>
      </c>
      <c r="N7" s="644"/>
      <c r="O7" s="644" t="s">
        <v>111</v>
      </c>
      <c r="P7" s="646" t="s">
        <v>112</v>
      </c>
      <c r="Q7" s="702"/>
      <c r="R7" s="702"/>
    </row>
    <row r="8" spans="1:19" s="647" customFormat="1" ht="13.5" thickBot="1">
      <c r="A8" s="648" t="s">
        <v>114</v>
      </c>
      <c r="B8" s="649" t="s">
        <v>115</v>
      </c>
      <c r="C8" s="649" t="s">
        <v>116</v>
      </c>
      <c r="D8" s="649" t="s">
        <v>117</v>
      </c>
      <c r="E8" s="649" t="s">
        <v>118</v>
      </c>
      <c r="F8" s="649" t="s">
        <v>119</v>
      </c>
      <c r="G8" s="649" t="s">
        <v>115</v>
      </c>
      <c r="H8" s="650" t="s">
        <v>114</v>
      </c>
      <c r="I8" s="649" t="s">
        <v>115</v>
      </c>
      <c r="J8" s="649" t="s">
        <v>118</v>
      </c>
      <c r="K8" s="649" t="s">
        <v>120</v>
      </c>
      <c r="L8" s="649" t="s">
        <v>121</v>
      </c>
      <c r="M8" s="649" t="s">
        <v>122</v>
      </c>
      <c r="N8" s="649" t="s">
        <v>117</v>
      </c>
      <c r="O8" s="649" t="s">
        <v>119</v>
      </c>
      <c r="P8" s="651" t="s">
        <v>115</v>
      </c>
      <c r="Q8" s="702"/>
      <c r="R8" s="702"/>
    </row>
    <row r="9" spans="1:19" s="659" customFormat="1">
      <c r="A9" s="652">
        <v>350</v>
      </c>
      <c r="B9" s="434">
        <f>'Sch. F 2016'!G9</f>
        <v>17629</v>
      </c>
      <c r="C9" s="434">
        <v>0</v>
      </c>
      <c r="D9" s="434">
        <v>0</v>
      </c>
      <c r="E9" s="434">
        <v>0</v>
      </c>
      <c r="F9" s="435">
        <v>0</v>
      </c>
      <c r="G9" s="435">
        <f t="shared" ref="G9:G49" si="0">SUM(B9:F9)</f>
        <v>17629</v>
      </c>
      <c r="H9" s="703">
        <f t="shared" ref="H9:H49" si="1">A9</f>
        <v>350</v>
      </c>
      <c r="I9" s="434">
        <f>'Sch. F 2016'!P9</f>
        <v>0</v>
      </c>
      <c r="J9" s="434">
        <f t="shared" ref="J9:J49" si="2">E9</f>
        <v>0</v>
      </c>
      <c r="K9" s="434">
        <v>0</v>
      </c>
      <c r="L9" s="434">
        <v>0</v>
      </c>
      <c r="M9" s="434">
        <v>0</v>
      </c>
      <c r="N9" s="434">
        <v>0</v>
      </c>
      <c r="O9" s="434">
        <v>0</v>
      </c>
      <c r="P9" s="660">
        <f t="shared" ref="P9:P49" si="3">SUM(I9:O9)</f>
        <v>0</v>
      </c>
      <c r="Q9" s="704"/>
      <c r="R9" s="704"/>
      <c r="S9" s="714"/>
    </row>
    <row r="10" spans="1:19" s="659" customFormat="1">
      <c r="A10" s="652">
        <v>3501</v>
      </c>
      <c r="B10" s="434">
        <f>'Sch. F 2016'!G10</f>
        <v>23842</v>
      </c>
      <c r="C10" s="434">
        <v>0</v>
      </c>
      <c r="D10" s="434">
        <v>0</v>
      </c>
      <c r="E10" s="434">
        <v>-23842</v>
      </c>
      <c r="F10" s="435">
        <v>0</v>
      </c>
      <c r="G10" s="435">
        <f t="shared" si="0"/>
        <v>0</v>
      </c>
      <c r="H10" s="703">
        <f t="shared" si="1"/>
        <v>3501</v>
      </c>
      <c r="I10" s="434">
        <f>'Sch. F 2016'!P10</f>
        <v>15830.84</v>
      </c>
      <c r="J10" s="434">
        <f t="shared" si="2"/>
        <v>-23842</v>
      </c>
      <c r="K10" s="434">
        <v>333.84</v>
      </c>
      <c r="L10" s="434">
        <f>23842-16164+890+19-1</f>
        <v>8586</v>
      </c>
      <c r="M10" s="434">
        <f>-18.54</f>
        <v>-18.54</v>
      </c>
      <c r="N10" s="434">
        <v>0</v>
      </c>
      <c r="O10" s="434">
        <v>0</v>
      </c>
      <c r="P10" s="660">
        <f t="shared" si="3"/>
        <v>890.14000000000033</v>
      </c>
      <c r="Q10" s="715"/>
      <c r="R10" s="716"/>
    </row>
    <row r="11" spans="1:19" s="659" customFormat="1">
      <c r="A11" s="652">
        <v>352</v>
      </c>
      <c r="B11" s="434">
        <f>'Sch. F 2016'!G11</f>
        <v>197760</v>
      </c>
      <c r="C11" s="434">
        <v>1618146.9400000006</v>
      </c>
      <c r="D11" s="434">
        <v>0</v>
      </c>
      <c r="E11" s="434">
        <v>0</v>
      </c>
      <c r="F11" s="435">
        <v>0</v>
      </c>
      <c r="G11" s="435">
        <f t="shared" si="0"/>
        <v>1815906.9400000006</v>
      </c>
      <c r="H11" s="703">
        <f t="shared" si="1"/>
        <v>352</v>
      </c>
      <c r="I11" s="434">
        <f>'Sch. F 2016'!P11</f>
        <v>24634.68</v>
      </c>
      <c r="J11" s="434">
        <f t="shared" si="2"/>
        <v>0</v>
      </c>
      <c r="K11" s="434">
        <v>3559.68</v>
      </c>
      <c r="L11" s="434">
        <v>0</v>
      </c>
      <c r="M11" s="434">
        <f>-18.54+18.54</f>
        <v>0</v>
      </c>
      <c r="N11" s="434">
        <v>0</v>
      </c>
      <c r="O11" s="434">
        <v>0</v>
      </c>
      <c r="P11" s="660">
        <f t="shared" si="3"/>
        <v>28194.36</v>
      </c>
      <c r="Q11" s="715"/>
      <c r="R11" s="716"/>
    </row>
    <row r="12" spans="1:19" s="659" customFormat="1">
      <c r="A12" s="652">
        <v>353</v>
      </c>
      <c r="B12" s="434">
        <f>'Sch. F 2016'!G12</f>
        <v>4367489.26</v>
      </c>
      <c r="C12" s="434">
        <v>2357426.0799999996</v>
      </c>
      <c r="D12" s="434">
        <v>0</v>
      </c>
      <c r="E12" s="434">
        <v>0</v>
      </c>
      <c r="F12" s="435">
        <v>0</v>
      </c>
      <c r="G12" s="435">
        <f t="shared" si="0"/>
        <v>6724915.3399999999</v>
      </c>
      <c r="H12" s="703">
        <f t="shared" si="1"/>
        <v>353</v>
      </c>
      <c r="I12" s="434">
        <f>'Sch. F 2016'!P12</f>
        <v>1143407.6000000001</v>
      </c>
      <c r="J12" s="434">
        <f t="shared" si="2"/>
        <v>0</v>
      </c>
      <c r="K12" s="434">
        <v>114823.27</v>
      </c>
      <c r="L12" s="434">
        <v>0</v>
      </c>
      <c r="M12" s="434">
        <v>0</v>
      </c>
      <c r="N12" s="434">
        <v>0</v>
      </c>
      <c r="O12" s="434">
        <v>0</v>
      </c>
      <c r="P12" s="660">
        <f t="shared" si="3"/>
        <v>1258230.8700000001</v>
      </c>
      <c r="Q12" s="715"/>
      <c r="R12" s="716"/>
    </row>
    <row r="13" spans="1:19" s="659" customFormat="1">
      <c r="A13" s="652">
        <v>354</v>
      </c>
      <c r="B13" s="434">
        <f>'Sch. F 2016'!G13</f>
        <v>224802</v>
      </c>
      <c r="C13" s="434">
        <v>0</v>
      </c>
      <c r="D13" s="434">
        <v>0</v>
      </c>
      <c r="E13" s="434">
        <v>0</v>
      </c>
      <c r="F13" s="435">
        <v>0</v>
      </c>
      <c r="G13" s="435">
        <f t="shared" si="0"/>
        <v>224802</v>
      </c>
      <c r="H13" s="703">
        <f t="shared" si="1"/>
        <v>354</v>
      </c>
      <c r="I13" s="434">
        <f>'Sch. F 2016'!P13</f>
        <v>199741.8</v>
      </c>
      <c r="J13" s="434">
        <f t="shared" si="2"/>
        <v>0</v>
      </c>
      <c r="K13" s="434">
        <v>4720.8</v>
      </c>
      <c r="L13" s="434">
        <v>0</v>
      </c>
      <c r="M13" s="434">
        <v>0</v>
      </c>
      <c r="N13" s="434">
        <v>0</v>
      </c>
      <c r="O13" s="434">
        <v>0</v>
      </c>
      <c r="P13" s="660">
        <f t="shared" si="3"/>
        <v>204462.59999999998</v>
      </c>
      <c r="Q13" s="715"/>
      <c r="R13" s="716"/>
    </row>
    <row r="14" spans="1:19" s="659" customFormat="1">
      <c r="A14" s="652">
        <v>355</v>
      </c>
      <c r="B14" s="434">
        <f>'Sch. F 2016'!G14</f>
        <v>1586597</v>
      </c>
      <c r="C14" s="434">
        <v>0</v>
      </c>
      <c r="D14" s="434">
        <v>0</v>
      </c>
      <c r="E14" s="434">
        <f>ROUND(-153876.75+15026.924,0)</f>
        <v>-138850</v>
      </c>
      <c r="F14" s="435">
        <v>0</v>
      </c>
      <c r="G14" s="435">
        <f t="shared" si="0"/>
        <v>1447747</v>
      </c>
      <c r="H14" s="703">
        <f t="shared" si="1"/>
        <v>355</v>
      </c>
      <c r="I14" s="434">
        <f>'Sch. F 2016'!P14</f>
        <v>1222147.44</v>
      </c>
      <c r="J14" s="434">
        <f t="shared" si="2"/>
        <v>-138850</v>
      </c>
      <c r="K14" s="434">
        <v>63966.17</v>
      </c>
      <c r="L14" s="434">
        <v>48875.040000000001</v>
      </c>
      <c r="M14" s="434">
        <f>-334712.94-511594.35</f>
        <v>-846307.29</v>
      </c>
      <c r="N14" s="434">
        <v>0</v>
      </c>
      <c r="O14" s="434">
        <v>0</v>
      </c>
      <c r="P14" s="660">
        <f t="shared" si="3"/>
        <v>349831.35999999987</v>
      </c>
      <c r="Q14" s="715"/>
      <c r="R14" s="716"/>
    </row>
    <row r="15" spans="1:19" s="659" customFormat="1">
      <c r="A15" s="652">
        <v>3551</v>
      </c>
      <c r="B15" s="434">
        <f>'Sch. F 2016'!G15</f>
        <v>4936173.43</v>
      </c>
      <c r="C15" s="434">
        <f>-441015.65-F15</f>
        <v>40435.609999999986</v>
      </c>
      <c r="D15" s="434">
        <v>0</v>
      </c>
      <c r="E15" s="434">
        <v>-490297</v>
      </c>
      <c r="F15" s="435">
        <v>-481451.26</v>
      </c>
      <c r="G15" s="435">
        <f t="shared" si="0"/>
        <v>4004860.7800000003</v>
      </c>
      <c r="H15" s="703">
        <f t="shared" si="1"/>
        <v>3551</v>
      </c>
      <c r="I15" s="434">
        <f>'Sch. F 2016'!P15</f>
        <v>487796.2</v>
      </c>
      <c r="J15" s="434">
        <f t="shared" si="2"/>
        <v>-490297</v>
      </c>
      <c r="K15" s="434">
        <v>133329.57</v>
      </c>
      <c r="L15" s="434">
        <f>519601.6-48875.04+655.26</f>
        <v>471381.82</v>
      </c>
      <c r="M15" s="434">
        <f>-852645.14-M14-655.26</f>
        <v>-6993.1099999999769</v>
      </c>
      <c r="N15" s="434">
        <v>0</v>
      </c>
      <c r="O15" s="434">
        <v>0</v>
      </c>
      <c r="P15" s="660">
        <f t="shared" si="3"/>
        <v>595217.4800000001</v>
      </c>
      <c r="Q15" s="715"/>
      <c r="R15" s="716"/>
    </row>
    <row r="16" spans="1:19" s="659" customFormat="1">
      <c r="A16" s="652">
        <v>356</v>
      </c>
      <c r="B16" s="434">
        <f>'Sch. F 2016'!G16</f>
        <v>3244215.17</v>
      </c>
      <c r="C16" s="434">
        <v>672119.74</v>
      </c>
      <c r="D16" s="434">
        <v>0</v>
      </c>
      <c r="E16" s="434">
        <v>-910388</v>
      </c>
      <c r="F16" s="435">
        <v>0</v>
      </c>
      <c r="G16" s="435">
        <f t="shared" si="0"/>
        <v>3005946.91</v>
      </c>
      <c r="H16" s="703">
        <f t="shared" si="1"/>
        <v>356</v>
      </c>
      <c r="I16" s="434">
        <f>'Sch. F 2016'!P16</f>
        <v>877760.58</v>
      </c>
      <c r="J16" s="434">
        <f t="shared" si="2"/>
        <v>-910388</v>
      </c>
      <c r="K16" s="434">
        <v>78191.539999999994</v>
      </c>
      <c r="L16" s="434">
        <f>399169.023</f>
        <v>399169.02299999999</v>
      </c>
      <c r="M16" s="434">
        <f>0</f>
        <v>0</v>
      </c>
      <c r="N16" s="434">
        <v>0</v>
      </c>
      <c r="O16" s="434">
        <v>0</v>
      </c>
      <c r="P16" s="660">
        <f t="shared" si="3"/>
        <v>444733.14299999992</v>
      </c>
      <c r="Q16" s="715"/>
      <c r="R16" s="716"/>
    </row>
    <row r="17" spans="1:20" s="659" customFormat="1">
      <c r="A17" s="652">
        <v>359</v>
      </c>
      <c r="B17" s="434">
        <f>'Sch. F 2016'!G17</f>
        <v>6788</v>
      </c>
      <c r="C17" s="434">
        <v>0</v>
      </c>
      <c r="D17" s="434">
        <v>0</v>
      </c>
      <c r="E17" s="434">
        <v>0</v>
      </c>
      <c r="F17" s="435">
        <v>0</v>
      </c>
      <c r="G17" s="435">
        <f t="shared" si="0"/>
        <v>6788</v>
      </c>
      <c r="H17" s="703">
        <f t="shared" si="1"/>
        <v>359</v>
      </c>
      <c r="I17" s="434">
        <f>'Sch. F 2016'!P17</f>
        <v>5703.76</v>
      </c>
      <c r="J17" s="434">
        <f t="shared" si="2"/>
        <v>0</v>
      </c>
      <c r="K17" s="434">
        <v>101.76</v>
      </c>
      <c r="L17" s="434">
        <v>0</v>
      </c>
      <c r="M17" s="434">
        <v>0</v>
      </c>
      <c r="N17" s="434">
        <v>0</v>
      </c>
      <c r="O17" s="434">
        <v>0</v>
      </c>
      <c r="P17" s="660">
        <f t="shared" si="3"/>
        <v>5805.52</v>
      </c>
      <c r="Q17" s="715"/>
      <c r="R17" s="716"/>
    </row>
    <row r="18" spans="1:20" s="659" customFormat="1">
      <c r="A18" s="652">
        <v>360</v>
      </c>
      <c r="B18" s="434">
        <f>'Sch. F 2016'!G18</f>
        <v>13572</v>
      </c>
      <c r="C18" s="434">
        <v>0</v>
      </c>
      <c r="D18" s="434">
        <v>0</v>
      </c>
      <c r="E18" s="434">
        <v>0</v>
      </c>
      <c r="F18" s="435">
        <v>0</v>
      </c>
      <c r="G18" s="435">
        <f t="shared" si="0"/>
        <v>13572</v>
      </c>
      <c r="H18" s="703">
        <f t="shared" si="1"/>
        <v>360</v>
      </c>
      <c r="I18" s="434">
        <f>'Sch. F 2016'!P18</f>
        <v>0</v>
      </c>
      <c r="J18" s="434">
        <f t="shared" si="2"/>
        <v>0</v>
      </c>
      <c r="K18" s="434">
        <v>0</v>
      </c>
      <c r="L18" s="434">
        <v>0</v>
      </c>
      <c r="M18" s="434">
        <v>0</v>
      </c>
      <c r="N18" s="434">
        <v>0</v>
      </c>
      <c r="O18" s="434">
        <v>0</v>
      </c>
      <c r="P18" s="660">
        <f t="shared" si="3"/>
        <v>0</v>
      </c>
      <c r="Q18" s="715"/>
      <c r="R18" s="716"/>
    </row>
    <row r="19" spans="1:20" s="659" customFormat="1">
      <c r="A19" s="652">
        <v>3601</v>
      </c>
      <c r="B19" s="434">
        <f>'Sch. F 2016'!G19</f>
        <v>56995</v>
      </c>
      <c r="C19" s="434">
        <v>0</v>
      </c>
      <c r="D19" s="434">
        <v>0</v>
      </c>
      <c r="E19" s="434">
        <v>0</v>
      </c>
      <c r="F19" s="435">
        <v>0</v>
      </c>
      <c r="G19" s="435">
        <f t="shared" si="0"/>
        <v>56995</v>
      </c>
      <c r="H19" s="703">
        <f t="shared" si="1"/>
        <v>3601</v>
      </c>
      <c r="I19" s="434">
        <f>'Sch. F 2016'!P19</f>
        <v>31364</v>
      </c>
      <c r="J19" s="434">
        <f t="shared" si="2"/>
        <v>0</v>
      </c>
      <c r="K19" s="434">
        <v>912</v>
      </c>
      <c r="L19" s="434">
        <v>0</v>
      </c>
      <c r="M19" s="434">
        <v>0</v>
      </c>
      <c r="N19" s="434">
        <v>0</v>
      </c>
      <c r="O19" s="434">
        <v>0</v>
      </c>
      <c r="P19" s="660">
        <f t="shared" si="3"/>
        <v>32276</v>
      </c>
      <c r="Q19" s="715"/>
      <c r="R19" s="716"/>
    </row>
    <row r="20" spans="1:20" s="659" customFormat="1">
      <c r="A20" s="652">
        <v>361</v>
      </c>
      <c r="B20" s="434">
        <f>'Sch. F 2016'!G20</f>
        <v>1198983.1200000001</v>
      </c>
      <c r="C20" s="434">
        <v>0</v>
      </c>
      <c r="D20" s="434">
        <v>0</v>
      </c>
      <c r="E20" s="434">
        <v>0</v>
      </c>
      <c r="F20" s="435">
        <v>0</v>
      </c>
      <c r="G20" s="435">
        <f t="shared" si="0"/>
        <v>1198983.1200000001</v>
      </c>
      <c r="H20" s="703">
        <f t="shared" si="1"/>
        <v>361</v>
      </c>
      <c r="I20" s="434">
        <f>'Sch. F 2016'!P20</f>
        <v>47074.6</v>
      </c>
      <c r="J20" s="434">
        <f t="shared" si="2"/>
        <v>0</v>
      </c>
      <c r="K20" s="434">
        <v>20382.719999999998</v>
      </c>
      <c r="L20" s="434">
        <v>0</v>
      </c>
      <c r="M20" s="434">
        <v>0</v>
      </c>
      <c r="N20" s="434">
        <v>0</v>
      </c>
      <c r="O20" s="434">
        <v>0</v>
      </c>
      <c r="P20" s="656">
        <f t="shared" si="3"/>
        <v>67457.319999999992</v>
      </c>
      <c r="Q20" s="715"/>
      <c r="R20" s="716"/>
    </row>
    <row r="21" spans="1:20" s="659" customFormat="1">
      <c r="A21" s="652">
        <v>362</v>
      </c>
      <c r="B21" s="434">
        <f>'Sch. F 2016'!G21</f>
        <v>13046117.060000001</v>
      </c>
      <c r="C21" s="434">
        <f>-117119.3-F21</f>
        <v>63002.249999999985</v>
      </c>
      <c r="D21" s="434">
        <v>0</v>
      </c>
      <c r="E21" s="434">
        <v>0</v>
      </c>
      <c r="F21" s="435">
        <v>-180121.55</v>
      </c>
      <c r="G21" s="435">
        <f t="shared" si="0"/>
        <v>12928997.76</v>
      </c>
      <c r="H21" s="703">
        <f t="shared" si="1"/>
        <v>362</v>
      </c>
      <c r="I21" s="434">
        <f>'Sch. F 2016'!P21</f>
        <v>2964913.11</v>
      </c>
      <c r="J21" s="434">
        <f t="shared" si="2"/>
        <v>0</v>
      </c>
      <c r="K21" s="434">
        <v>310611.32999999996</v>
      </c>
      <c r="L21" s="434">
        <v>0</v>
      </c>
      <c r="M21" s="434">
        <f>-91435.09+62507.64</f>
        <v>-28927.449999999997</v>
      </c>
      <c r="N21" s="434">
        <v>0</v>
      </c>
      <c r="O21" s="434">
        <v>0</v>
      </c>
      <c r="P21" s="656">
        <f t="shared" si="3"/>
        <v>3246596.9899999998</v>
      </c>
      <c r="Q21" s="715"/>
      <c r="R21" s="716"/>
    </row>
    <row r="22" spans="1:20" s="659" customFormat="1">
      <c r="A22" s="652">
        <v>364</v>
      </c>
      <c r="B22" s="434">
        <f>'Sch. F 2016'!G22</f>
        <v>15499309.199999999</v>
      </c>
      <c r="C22" s="434">
        <v>768779.10000000009</v>
      </c>
      <c r="D22" s="434">
        <v>0</v>
      </c>
      <c r="E22" s="434">
        <v>-107649</v>
      </c>
      <c r="F22" s="435">
        <v>0</v>
      </c>
      <c r="G22" s="435">
        <f t="shared" si="0"/>
        <v>16160439.299999999</v>
      </c>
      <c r="H22" s="703">
        <f t="shared" si="1"/>
        <v>364</v>
      </c>
      <c r="I22" s="434">
        <f>'Sch. F 2016'!P22</f>
        <v>7861977.7300000004</v>
      </c>
      <c r="J22" s="434">
        <f t="shared" si="2"/>
        <v>-107649</v>
      </c>
      <c r="K22" s="434">
        <v>616465.46</v>
      </c>
      <c r="L22" s="434">
        <v>0</v>
      </c>
      <c r="M22" s="434">
        <f>-146826.06-62507.64</f>
        <v>-209333.7</v>
      </c>
      <c r="N22" s="434">
        <v>0</v>
      </c>
      <c r="O22" s="434">
        <v>0</v>
      </c>
      <c r="P22" s="656">
        <f t="shared" si="3"/>
        <v>8161460.4900000002</v>
      </c>
      <c r="Q22" s="715"/>
      <c r="R22" s="716"/>
    </row>
    <row r="23" spans="1:20" s="659" customFormat="1">
      <c r="A23" s="652">
        <v>365</v>
      </c>
      <c r="B23" s="434">
        <f>'Sch. F 2016'!G23</f>
        <v>13968363</v>
      </c>
      <c r="C23" s="434">
        <v>750294</v>
      </c>
      <c r="D23" s="434">
        <v>0</v>
      </c>
      <c r="E23" s="434">
        <v>-28487</v>
      </c>
      <c r="F23" s="435">
        <v>0</v>
      </c>
      <c r="G23" s="435">
        <f t="shared" si="0"/>
        <v>14690170</v>
      </c>
      <c r="H23" s="703">
        <f t="shared" si="1"/>
        <v>365</v>
      </c>
      <c r="I23" s="434">
        <f>'Sch. F 2016'!P23</f>
        <v>9127662.3399999999</v>
      </c>
      <c r="J23" s="434">
        <f t="shared" si="2"/>
        <v>-28487</v>
      </c>
      <c r="K23" s="434">
        <v>482982.73000000004</v>
      </c>
      <c r="L23" s="434">
        <f>132.48+17922.12</f>
        <v>18054.599999999999</v>
      </c>
      <c r="M23" s="434">
        <f>-67179.57-17922.12</f>
        <v>-85101.69</v>
      </c>
      <c r="N23" s="434">
        <v>0</v>
      </c>
      <c r="O23" s="434">
        <v>0</v>
      </c>
      <c r="P23" s="656">
        <f t="shared" si="3"/>
        <v>9515110.9800000004</v>
      </c>
      <c r="Q23" s="715"/>
      <c r="R23" s="716"/>
    </row>
    <row r="24" spans="1:20" s="659" customFormat="1">
      <c r="A24" s="652">
        <v>366</v>
      </c>
      <c r="B24" s="434">
        <f>'Sch. F 2016'!G24</f>
        <v>5938946.2000000002</v>
      </c>
      <c r="C24" s="434">
        <v>449532.63</v>
      </c>
      <c r="D24" s="434">
        <v>0</v>
      </c>
      <c r="E24" s="434">
        <v>-809</v>
      </c>
      <c r="F24" s="435">
        <v>0</v>
      </c>
      <c r="G24" s="435">
        <f t="shared" si="0"/>
        <v>6387669.8300000001</v>
      </c>
      <c r="H24" s="703">
        <f t="shared" si="1"/>
        <v>366</v>
      </c>
      <c r="I24" s="434">
        <f>'Sch. F 2016'!P24</f>
        <v>1022233.4</v>
      </c>
      <c r="J24" s="434">
        <f t="shared" si="2"/>
        <v>-809</v>
      </c>
      <c r="K24" s="434">
        <v>108768.31</v>
      </c>
      <c r="L24" s="434">
        <v>0</v>
      </c>
      <c r="M24" s="434">
        <v>-899.31</v>
      </c>
      <c r="N24" s="434">
        <v>0</v>
      </c>
      <c r="O24" s="434">
        <v>0</v>
      </c>
      <c r="P24" s="656">
        <f t="shared" si="3"/>
        <v>1129293.3999999999</v>
      </c>
      <c r="Q24" s="715"/>
      <c r="R24" s="716"/>
    </row>
    <row r="25" spans="1:20" s="659" customFormat="1">
      <c r="A25" s="652">
        <v>367</v>
      </c>
      <c r="B25" s="434">
        <f>'Sch. F 2016'!G25</f>
        <v>8470808.5</v>
      </c>
      <c r="C25" s="434">
        <v>346385.54</v>
      </c>
      <c r="D25" s="434">
        <v>0</v>
      </c>
      <c r="E25" s="434">
        <v>-13886</v>
      </c>
      <c r="F25" s="435">
        <v>0</v>
      </c>
      <c r="G25" s="435">
        <f t="shared" si="0"/>
        <v>8803308.0399999991</v>
      </c>
      <c r="H25" s="703">
        <f t="shared" si="1"/>
        <v>367</v>
      </c>
      <c r="I25" s="434">
        <f>'Sch. F 2016'!P25</f>
        <v>3137350.89</v>
      </c>
      <c r="J25" s="434">
        <f t="shared" si="2"/>
        <v>-13886</v>
      </c>
      <c r="K25" s="434">
        <v>272822.95</v>
      </c>
      <c r="L25" s="434">
        <v>0</v>
      </c>
      <c r="M25" s="434">
        <v>-9919.9499999999989</v>
      </c>
      <c r="N25" s="434">
        <v>0</v>
      </c>
      <c r="O25" s="434">
        <v>0</v>
      </c>
      <c r="P25" s="656">
        <f t="shared" si="3"/>
        <v>3386367.89</v>
      </c>
      <c r="Q25" s="715"/>
      <c r="R25" s="716"/>
    </row>
    <row r="26" spans="1:20" s="659" customFormat="1">
      <c r="A26" s="652">
        <v>368</v>
      </c>
      <c r="B26" s="434">
        <f>'Sch. F 2016'!G26</f>
        <v>17792070.73</v>
      </c>
      <c r="C26" s="434">
        <v>847088.45999999985</v>
      </c>
      <c r="D26" s="434">
        <v>0</v>
      </c>
      <c r="E26" s="434">
        <v>-14149</v>
      </c>
      <c r="F26" s="435">
        <v>0</v>
      </c>
      <c r="G26" s="435">
        <f t="shared" si="0"/>
        <v>18625010.190000001</v>
      </c>
      <c r="H26" s="703">
        <f t="shared" si="1"/>
        <v>368</v>
      </c>
      <c r="I26" s="434">
        <f>'Sch. F 2016'!P26</f>
        <v>13170355.600000001</v>
      </c>
      <c r="J26" s="434">
        <f t="shared" si="2"/>
        <v>-14149</v>
      </c>
      <c r="K26" s="434">
        <v>718978.72</v>
      </c>
      <c r="L26" s="434">
        <f>0</f>
        <v>0</v>
      </c>
      <c r="M26" s="434">
        <v>-20646.09</v>
      </c>
      <c r="N26" s="434">
        <v>0</v>
      </c>
      <c r="O26" s="434">
        <v>0</v>
      </c>
      <c r="P26" s="656">
        <f t="shared" si="3"/>
        <v>13854539.230000002</v>
      </c>
      <c r="Q26" s="715"/>
      <c r="R26" s="716"/>
      <c r="S26" s="714"/>
      <c r="T26" s="714"/>
    </row>
    <row r="27" spans="1:20" s="659" customFormat="1">
      <c r="A27" s="652">
        <v>369</v>
      </c>
      <c r="B27" s="434">
        <f>'Sch. F 2016'!G27</f>
        <v>10549554.859999999</v>
      </c>
      <c r="C27" s="434">
        <v>604929.68999999994</v>
      </c>
      <c r="D27" s="434">
        <v>0</v>
      </c>
      <c r="E27" s="434">
        <v>-54632</v>
      </c>
      <c r="F27" s="435">
        <v>0</v>
      </c>
      <c r="G27" s="435">
        <f t="shared" si="0"/>
        <v>11099852.549999999</v>
      </c>
      <c r="H27" s="703">
        <f t="shared" si="1"/>
        <v>369</v>
      </c>
      <c r="I27" s="434">
        <f>'Sch. F 2016'!P27</f>
        <v>7130560.1399999997</v>
      </c>
      <c r="J27" s="434">
        <f t="shared" si="2"/>
        <v>-54632</v>
      </c>
      <c r="K27" s="434">
        <v>417393.04</v>
      </c>
      <c r="L27" s="434">
        <v>722.37</v>
      </c>
      <c r="M27" s="434">
        <v>-12606.48</v>
      </c>
      <c r="N27" s="434">
        <v>0</v>
      </c>
      <c r="O27" s="434">
        <v>0</v>
      </c>
      <c r="P27" s="656">
        <f t="shared" si="3"/>
        <v>7481437.0699999994</v>
      </c>
      <c r="Q27" s="715"/>
      <c r="R27" s="716"/>
      <c r="S27" s="714"/>
      <c r="T27" s="714"/>
    </row>
    <row r="28" spans="1:20" s="659" customFormat="1">
      <c r="A28" s="652">
        <v>370</v>
      </c>
      <c r="B28" s="434">
        <f>'Sch. F 2016'!G28</f>
        <v>4035365.31</v>
      </c>
      <c r="C28" s="434">
        <v>154198.28</v>
      </c>
      <c r="D28" s="434">
        <v>0</v>
      </c>
      <c r="E28" s="434">
        <v>-17252</v>
      </c>
      <c r="F28" s="435">
        <v>0</v>
      </c>
      <c r="G28" s="435">
        <f t="shared" si="0"/>
        <v>4172311.59</v>
      </c>
      <c r="H28" s="703">
        <f t="shared" si="1"/>
        <v>370</v>
      </c>
      <c r="I28" s="434">
        <f>'Sch. F 2016'!P28</f>
        <v>2691178.96</v>
      </c>
      <c r="J28" s="434">
        <f t="shared" si="2"/>
        <v>-17252</v>
      </c>
      <c r="K28" s="434">
        <v>151972</v>
      </c>
      <c r="L28" s="434">
        <v>438.5</v>
      </c>
      <c r="M28" s="434">
        <v>-7229.78</v>
      </c>
      <c r="N28" s="434">
        <v>0</v>
      </c>
      <c r="O28" s="434">
        <v>0</v>
      </c>
      <c r="P28" s="656">
        <f t="shared" si="3"/>
        <v>2819107.68</v>
      </c>
      <c r="Q28" s="715"/>
      <c r="R28" s="716"/>
      <c r="S28" s="714"/>
      <c r="T28" s="714"/>
    </row>
    <row r="29" spans="1:20" s="659" customFormat="1">
      <c r="A29" s="652">
        <v>371</v>
      </c>
      <c r="B29" s="434">
        <f>'Sch. F 2016'!G29</f>
        <v>3270507.38</v>
      </c>
      <c r="C29" s="434">
        <v>116813.07999999999</v>
      </c>
      <c r="D29" s="434">
        <v>0</v>
      </c>
      <c r="E29" s="434">
        <v>-30440</v>
      </c>
      <c r="F29" s="435">
        <v>0</v>
      </c>
      <c r="G29" s="435">
        <f t="shared" si="0"/>
        <v>3356880.46</v>
      </c>
      <c r="H29" s="703">
        <f t="shared" si="1"/>
        <v>371</v>
      </c>
      <c r="I29" s="434">
        <f>'Sch. F 2016'!P29</f>
        <v>1659393.87</v>
      </c>
      <c r="J29" s="434">
        <f t="shared" si="2"/>
        <v>-30440</v>
      </c>
      <c r="K29" s="434">
        <v>148669.58000000002</v>
      </c>
      <c r="L29" s="434">
        <v>0</v>
      </c>
      <c r="M29" s="434">
        <v>-4530.7700000000004</v>
      </c>
      <c r="N29" s="434">
        <v>0</v>
      </c>
      <c r="O29" s="434">
        <v>0</v>
      </c>
      <c r="P29" s="656">
        <f t="shared" si="3"/>
        <v>1773092.6800000002</v>
      </c>
      <c r="Q29" s="715"/>
      <c r="R29" s="716"/>
      <c r="S29" s="714"/>
      <c r="T29" s="714"/>
    </row>
    <row r="30" spans="1:20" s="659" customFormat="1">
      <c r="A30" s="652">
        <v>373</v>
      </c>
      <c r="B30" s="434">
        <f>'Sch. F 2016'!G30</f>
        <v>2148603.2200000002</v>
      </c>
      <c r="C30" s="434">
        <v>133663.45000000001</v>
      </c>
      <c r="D30" s="434">
        <v>0</v>
      </c>
      <c r="E30" s="434">
        <v>-8381</v>
      </c>
      <c r="F30" s="435">
        <v>0</v>
      </c>
      <c r="G30" s="435">
        <f t="shared" si="0"/>
        <v>2273885.6700000004</v>
      </c>
      <c r="H30" s="703">
        <f t="shared" si="1"/>
        <v>373</v>
      </c>
      <c r="I30" s="434">
        <f>'Sch. F 2016'!P30</f>
        <v>1188359.1100000001</v>
      </c>
      <c r="J30" s="434">
        <f t="shared" si="2"/>
        <v>-8381</v>
      </c>
      <c r="K30" s="434">
        <v>109940.88</v>
      </c>
      <c r="L30" s="434">
        <v>0</v>
      </c>
      <c r="M30" s="434">
        <f>-2974.16+1020.62</f>
        <v>-1953.54</v>
      </c>
      <c r="N30" s="434">
        <v>0</v>
      </c>
      <c r="O30" s="434">
        <v>0</v>
      </c>
      <c r="P30" s="656">
        <f t="shared" si="3"/>
        <v>1287965.4500000002</v>
      </c>
      <c r="Q30" s="715"/>
      <c r="R30" s="716"/>
      <c r="S30" s="714"/>
      <c r="T30" s="714"/>
    </row>
    <row r="31" spans="1:20" s="659" customFormat="1">
      <c r="A31" s="652">
        <v>380</v>
      </c>
      <c r="B31" s="434">
        <f>'Sch. F 2016'!G31</f>
        <v>320005</v>
      </c>
      <c r="C31" s="434">
        <v>0</v>
      </c>
      <c r="D31" s="434">
        <v>0</v>
      </c>
      <c r="E31" s="434">
        <v>0</v>
      </c>
      <c r="F31" s="435">
        <v>0</v>
      </c>
      <c r="G31" s="435">
        <f t="shared" si="0"/>
        <v>320005</v>
      </c>
      <c r="H31" s="703">
        <f t="shared" si="1"/>
        <v>380</v>
      </c>
      <c r="I31" s="434">
        <f>'Sch. F 2016'!P31</f>
        <v>0</v>
      </c>
      <c r="J31" s="434">
        <f t="shared" si="2"/>
        <v>0</v>
      </c>
      <c r="K31" s="434">
        <v>0</v>
      </c>
      <c r="L31" s="434">
        <v>0</v>
      </c>
      <c r="M31" s="434">
        <v>0</v>
      </c>
      <c r="N31" s="434">
        <v>0</v>
      </c>
      <c r="O31" s="434">
        <v>0</v>
      </c>
      <c r="P31" s="656">
        <f t="shared" si="3"/>
        <v>0</v>
      </c>
      <c r="Q31" s="704"/>
      <c r="R31" s="716"/>
    </row>
    <row r="32" spans="1:20" s="659" customFormat="1">
      <c r="A32" s="652">
        <v>389</v>
      </c>
      <c r="B32" s="434">
        <f>'Sch. F 2016'!G32</f>
        <v>864156</v>
      </c>
      <c r="C32" s="434">
        <v>0</v>
      </c>
      <c r="D32" s="434">
        <v>0</v>
      </c>
      <c r="E32" s="434">
        <v>0</v>
      </c>
      <c r="F32" s="435">
        <v>0</v>
      </c>
      <c r="G32" s="435">
        <f t="shared" si="0"/>
        <v>864156</v>
      </c>
      <c r="H32" s="703">
        <f t="shared" si="1"/>
        <v>389</v>
      </c>
      <c r="I32" s="434">
        <f>'Sch. F 2016'!P32</f>
        <v>6704</v>
      </c>
      <c r="J32" s="434">
        <f t="shared" si="2"/>
        <v>0</v>
      </c>
      <c r="K32" s="434">
        <v>0</v>
      </c>
      <c r="L32" s="434">
        <v>0</v>
      </c>
      <c r="M32" s="434">
        <v>0</v>
      </c>
      <c r="N32" s="434">
        <v>0</v>
      </c>
      <c r="O32" s="434">
        <v>0</v>
      </c>
      <c r="P32" s="660">
        <f t="shared" si="3"/>
        <v>6704</v>
      </c>
      <c r="Q32" s="704"/>
      <c r="R32" s="716"/>
      <c r="S32" s="714"/>
    </row>
    <row r="33" spans="1:19" s="659" customFormat="1">
      <c r="A33" s="652">
        <v>390</v>
      </c>
      <c r="B33" s="434">
        <f>'Sch. F 2016'!G33</f>
        <v>4010284</v>
      </c>
      <c r="C33" s="434">
        <v>0</v>
      </c>
      <c r="D33" s="434">
        <v>0</v>
      </c>
      <c r="E33" s="434">
        <v>0</v>
      </c>
      <c r="F33" s="435">
        <v>0</v>
      </c>
      <c r="G33" s="435">
        <f t="shared" si="0"/>
        <v>4010284</v>
      </c>
      <c r="H33" s="703">
        <f t="shared" si="1"/>
        <v>390</v>
      </c>
      <c r="I33" s="434">
        <f>'Sch. F 2016'!P33</f>
        <v>769266.72</v>
      </c>
      <c r="J33" s="434">
        <f t="shared" si="2"/>
        <v>0</v>
      </c>
      <c r="K33" s="434">
        <v>80205.72</v>
      </c>
      <c r="L33" s="434">
        <v>0</v>
      </c>
      <c r="M33" s="434">
        <v>0</v>
      </c>
      <c r="N33" s="434">
        <v>0</v>
      </c>
      <c r="O33" s="434">
        <v>0</v>
      </c>
      <c r="P33" s="656">
        <f t="shared" si="3"/>
        <v>849472.44</v>
      </c>
      <c r="Q33" s="704"/>
      <c r="R33" s="716"/>
    </row>
    <row r="34" spans="1:19" s="659" customFormat="1">
      <c r="A34" s="652">
        <v>3910</v>
      </c>
      <c r="B34" s="434">
        <f>'Sch. F 2016'!G34</f>
        <v>381381</v>
      </c>
      <c r="C34" s="434">
        <v>63630.67</v>
      </c>
      <c r="D34" s="434">
        <v>0</v>
      </c>
      <c r="E34" s="434">
        <v>0</v>
      </c>
      <c r="F34" s="435">
        <v>0</v>
      </c>
      <c r="G34" s="435">
        <f t="shared" si="0"/>
        <v>445011.67</v>
      </c>
      <c r="H34" s="703">
        <f t="shared" si="1"/>
        <v>3910</v>
      </c>
      <c r="I34" s="434">
        <f>'Sch. F 2016'!P34</f>
        <v>195787.6</v>
      </c>
      <c r="J34" s="434">
        <f t="shared" si="2"/>
        <v>0</v>
      </c>
      <c r="K34" s="663">
        <f>23105.81+34788.32</f>
        <v>57894.130000000005</v>
      </c>
      <c r="L34" s="434">
        <v>0</v>
      </c>
      <c r="M34" s="434">
        <v>0</v>
      </c>
      <c r="N34" s="434">
        <v>0</v>
      </c>
      <c r="O34" s="434">
        <v>0</v>
      </c>
      <c r="P34" s="660">
        <f t="shared" si="3"/>
        <v>253681.73</v>
      </c>
      <c r="Q34" s="704"/>
      <c r="R34" s="716"/>
      <c r="S34" s="714"/>
    </row>
    <row r="35" spans="1:19" s="659" customFormat="1">
      <c r="A35" s="652">
        <v>3911</v>
      </c>
      <c r="B35" s="434">
        <f>'Sch. F 2016'!G35</f>
        <v>10900</v>
      </c>
      <c r="C35" s="434">
        <v>0</v>
      </c>
      <c r="D35" s="434">
        <v>0</v>
      </c>
      <c r="E35" s="434">
        <v>0</v>
      </c>
      <c r="F35" s="435">
        <v>0</v>
      </c>
      <c r="G35" s="435">
        <f t="shared" si="0"/>
        <v>10900</v>
      </c>
      <c r="H35" s="703">
        <f t="shared" si="1"/>
        <v>3911</v>
      </c>
      <c r="I35" s="434">
        <f>'Sch. F 2016'!P35</f>
        <v>3114.4</v>
      </c>
      <c r="J35" s="434">
        <f t="shared" si="2"/>
        <v>0</v>
      </c>
      <c r="K35" s="663">
        <v>1557.21</v>
      </c>
      <c r="L35" s="434">
        <v>0</v>
      </c>
      <c r="M35" s="434">
        <v>0</v>
      </c>
      <c r="N35" s="434">
        <v>0</v>
      </c>
      <c r="O35" s="434">
        <v>0</v>
      </c>
      <c r="P35" s="656">
        <f t="shared" si="3"/>
        <v>4671.6100000000006</v>
      </c>
      <c r="Q35" s="704"/>
      <c r="R35" s="716"/>
    </row>
    <row r="36" spans="1:19" s="659" customFormat="1">
      <c r="A36" s="652">
        <v>3912</v>
      </c>
      <c r="B36" s="434">
        <f>'Sch. F 2016'!G36</f>
        <v>276867.40000000002</v>
      </c>
      <c r="C36" s="434">
        <v>0</v>
      </c>
      <c r="D36" s="434">
        <v>0</v>
      </c>
      <c r="E36" s="434">
        <v>0</v>
      </c>
      <c r="F36" s="435">
        <v>0</v>
      </c>
      <c r="G36" s="435">
        <f t="shared" si="0"/>
        <v>276867.40000000002</v>
      </c>
      <c r="H36" s="703">
        <f t="shared" si="1"/>
        <v>3912</v>
      </c>
      <c r="I36" s="434">
        <f>'Sch. F 2016'!P36</f>
        <v>274898.12</v>
      </c>
      <c r="J36" s="434">
        <f t="shared" si="2"/>
        <v>0</v>
      </c>
      <c r="K36" s="434">
        <v>3549.88</v>
      </c>
      <c r="L36" s="434">
        <v>0</v>
      </c>
      <c r="M36" s="434">
        <v>0</v>
      </c>
      <c r="N36" s="434">
        <v>0</v>
      </c>
      <c r="O36" s="434">
        <v>0</v>
      </c>
      <c r="P36" s="656">
        <f t="shared" si="3"/>
        <v>278448</v>
      </c>
      <c r="Q36" s="704"/>
      <c r="R36" s="716"/>
    </row>
    <row r="37" spans="1:19" s="659" customFormat="1">
      <c r="A37" s="652">
        <v>3913</v>
      </c>
      <c r="B37" s="434">
        <f>'Sch. F 2016'!G37</f>
        <v>6997</v>
      </c>
      <c r="C37" s="434">
        <v>0</v>
      </c>
      <c r="D37" s="434">
        <v>0</v>
      </c>
      <c r="E37" s="434">
        <v>0</v>
      </c>
      <c r="F37" s="435">
        <v>0</v>
      </c>
      <c r="G37" s="435">
        <f t="shared" si="0"/>
        <v>6997</v>
      </c>
      <c r="H37" s="703">
        <f t="shared" si="1"/>
        <v>3913</v>
      </c>
      <c r="I37" s="434">
        <f>'Sch. F 2016'!P37</f>
        <v>5968.17</v>
      </c>
      <c r="J37" s="434">
        <f t="shared" si="2"/>
        <v>0</v>
      </c>
      <c r="K37" s="434">
        <v>343.17</v>
      </c>
      <c r="L37" s="434">
        <v>0</v>
      </c>
      <c r="M37" s="434">
        <v>0</v>
      </c>
      <c r="N37" s="434">
        <v>0</v>
      </c>
      <c r="O37" s="434">
        <v>0</v>
      </c>
      <c r="P37" s="656">
        <f t="shared" si="3"/>
        <v>6311.34</v>
      </c>
      <c r="Q37" s="704"/>
      <c r="R37" s="716"/>
    </row>
    <row r="38" spans="1:19" s="659" customFormat="1">
      <c r="A38" s="652">
        <v>3914</v>
      </c>
      <c r="B38" s="434">
        <f>'Sch. F 2016'!G38</f>
        <v>1137238.28</v>
      </c>
      <c r="C38" s="434">
        <v>133279.28</v>
      </c>
      <c r="D38" s="434">
        <v>0</v>
      </c>
      <c r="E38" s="434">
        <v>0</v>
      </c>
      <c r="F38" s="435">
        <v>0</v>
      </c>
      <c r="G38" s="435">
        <f t="shared" si="0"/>
        <v>1270517.56</v>
      </c>
      <c r="H38" s="703">
        <f t="shared" si="1"/>
        <v>3914</v>
      </c>
      <c r="I38" s="434">
        <f>'Sch. F 2016'!P38</f>
        <v>1031273.49</v>
      </c>
      <c r="J38" s="434">
        <f t="shared" si="2"/>
        <v>0</v>
      </c>
      <c r="K38" s="434">
        <f>11931.2+8885.28</f>
        <v>20816.480000000003</v>
      </c>
      <c r="L38" s="434">
        <v>0</v>
      </c>
      <c r="M38" s="434">
        <v>0</v>
      </c>
      <c r="N38" s="434">
        <v>0</v>
      </c>
      <c r="O38" s="434">
        <v>0</v>
      </c>
      <c r="P38" s="656">
        <f t="shared" si="3"/>
        <v>1052089.97</v>
      </c>
      <c r="Q38" s="704"/>
      <c r="R38" s="716"/>
    </row>
    <row r="39" spans="1:19" s="659" customFormat="1">
      <c r="A39" s="652">
        <v>3921</v>
      </c>
      <c r="B39" s="434">
        <f>'Sch. F 2016'!G39</f>
        <v>413923.6</v>
      </c>
      <c r="C39" s="434">
        <v>0</v>
      </c>
      <c r="D39" s="434">
        <v>0</v>
      </c>
      <c r="E39" s="434">
        <v>0</v>
      </c>
      <c r="F39" s="435">
        <v>0</v>
      </c>
      <c r="G39" s="435">
        <f t="shared" si="0"/>
        <v>413923.6</v>
      </c>
      <c r="H39" s="703">
        <f t="shared" si="1"/>
        <v>3921</v>
      </c>
      <c r="I39" s="434">
        <f>'Sch. F 2016'!P39</f>
        <v>10160.18</v>
      </c>
      <c r="J39" s="434">
        <f t="shared" si="2"/>
        <v>0</v>
      </c>
      <c r="K39" s="434">
        <v>14264.39</v>
      </c>
      <c r="L39" s="434">
        <v>0</v>
      </c>
      <c r="M39" s="434">
        <v>0</v>
      </c>
      <c r="N39" s="434">
        <v>0</v>
      </c>
      <c r="O39" s="434">
        <v>0</v>
      </c>
      <c r="P39" s="656">
        <f t="shared" si="3"/>
        <v>24424.57</v>
      </c>
      <c r="Q39" s="715"/>
      <c r="R39" s="716"/>
    </row>
    <row r="40" spans="1:19" s="659" customFormat="1">
      <c r="A40" s="652">
        <v>3922</v>
      </c>
      <c r="B40" s="434">
        <f>'Sch. F 2016'!G40</f>
        <v>1053745.3500000001</v>
      </c>
      <c r="C40" s="434">
        <v>81468.710000000006</v>
      </c>
      <c r="D40" s="434">
        <v>0</v>
      </c>
      <c r="E40" s="434">
        <v>-44438</v>
      </c>
      <c r="F40" s="435">
        <v>-500</v>
      </c>
      <c r="G40" s="435">
        <f t="shared" si="0"/>
        <v>1090276.06</v>
      </c>
      <c r="H40" s="703">
        <f t="shared" si="1"/>
        <v>3922</v>
      </c>
      <c r="I40" s="434">
        <f>'Sch. F 2016'!P40</f>
        <v>640198.25</v>
      </c>
      <c r="J40" s="434">
        <f t="shared" si="2"/>
        <v>-44438</v>
      </c>
      <c r="K40" s="434">
        <f>72925.37</f>
        <v>72925.37</v>
      </c>
      <c r="L40" s="434">
        <v>1260</v>
      </c>
      <c r="M40" s="434">
        <v>0</v>
      </c>
      <c r="N40" s="434">
        <v>0</v>
      </c>
      <c r="O40" s="434">
        <v>0</v>
      </c>
      <c r="P40" s="656">
        <f t="shared" si="3"/>
        <v>669945.62</v>
      </c>
      <c r="Q40" s="704"/>
      <c r="R40" s="716"/>
    </row>
    <row r="41" spans="1:19" s="659" customFormat="1">
      <c r="A41" s="652">
        <v>3923</v>
      </c>
      <c r="B41" s="434">
        <f>'Sch. F 2016'!G41</f>
        <v>3629916.54</v>
      </c>
      <c r="C41" s="434">
        <v>0</v>
      </c>
      <c r="D41" s="434">
        <v>0</v>
      </c>
      <c r="E41" s="434">
        <v>0</v>
      </c>
      <c r="F41" s="435">
        <v>0</v>
      </c>
      <c r="G41" s="435">
        <f t="shared" si="0"/>
        <v>3629916.54</v>
      </c>
      <c r="H41" s="703">
        <f t="shared" si="1"/>
        <v>3923</v>
      </c>
      <c r="I41" s="434">
        <f>'Sch. F 2016'!P41</f>
        <v>2065914.1400000001</v>
      </c>
      <c r="J41" s="434">
        <f t="shared" si="2"/>
        <v>0</v>
      </c>
      <c r="K41" s="434">
        <v>237868.11</v>
      </c>
      <c r="L41" s="434">
        <v>0</v>
      </c>
      <c r="M41" s="434">
        <v>0</v>
      </c>
      <c r="N41" s="434">
        <v>0</v>
      </c>
      <c r="O41" s="434">
        <v>0</v>
      </c>
      <c r="P41" s="656">
        <f t="shared" si="3"/>
        <v>2303782.25</v>
      </c>
      <c r="Q41" s="704"/>
      <c r="R41" s="716"/>
    </row>
    <row r="42" spans="1:19" s="659" customFormat="1">
      <c r="A42" s="652">
        <v>3924</v>
      </c>
      <c r="B42" s="434">
        <f>'Sch. F 2016'!G42</f>
        <v>144084</v>
      </c>
      <c r="C42" s="434">
        <v>0</v>
      </c>
      <c r="D42" s="434">
        <v>0</v>
      </c>
      <c r="E42" s="434">
        <v>0</v>
      </c>
      <c r="F42" s="435">
        <v>0</v>
      </c>
      <c r="G42" s="435">
        <f t="shared" si="0"/>
        <v>144084</v>
      </c>
      <c r="H42" s="703">
        <f t="shared" si="1"/>
        <v>3924</v>
      </c>
      <c r="I42" s="434">
        <f>'Sch. F 2016'!P42</f>
        <v>73009.75</v>
      </c>
      <c r="J42" s="434">
        <f t="shared" si="2"/>
        <v>0</v>
      </c>
      <c r="K42" s="434">
        <v>5969.3</v>
      </c>
      <c r="L42" s="434">
        <v>0</v>
      </c>
      <c r="M42" s="434">
        <v>0</v>
      </c>
      <c r="N42" s="434">
        <v>0</v>
      </c>
      <c r="O42" s="434">
        <v>0</v>
      </c>
      <c r="P42" s="656">
        <f t="shared" si="3"/>
        <v>78979.05</v>
      </c>
      <c r="Q42" s="704"/>
      <c r="R42" s="716"/>
    </row>
    <row r="43" spans="1:19">
      <c r="A43" s="665">
        <v>393</v>
      </c>
      <c r="B43" s="434">
        <f>'Sch. F 2016'!G43</f>
        <v>149712</v>
      </c>
      <c r="C43" s="434">
        <v>0</v>
      </c>
      <c r="D43" s="434">
        <v>0</v>
      </c>
      <c r="E43" s="444">
        <v>0</v>
      </c>
      <c r="F43" s="435">
        <v>0</v>
      </c>
      <c r="G43" s="434">
        <f t="shared" si="0"/>
        <v>149712</v>
      </c>
      <c r="H43" s="703">
        <f t="shared" si="1"/>
        <v>393</v>
      </c>
      <c r="I43" s="434">
        <f>'Sch. F 2016'!P43</f>
        <v>141154.96</v>
      </c>
      <c r="J43" s="434">
        <f t="shared" si="2"/>
        <v>0</v>
      </c>
      <c r="K43" s="434">
        <v>5055.5600000000004</v>
      </c>
      <c r="L43" s="434">
        <v>0</v>
      </c>
      <c r="M43" s="434">
        <v>0</v>
      </c>
      <c r="N43" s="434">
        <v>0</v>
      </c>
      <c r="O43" s="434">
        <v>0</v>
      </c>
      <c r="P43" s="656">
        <f t="shared" si="3"/>
        <v>146210.51999999999</v>
      </c>
      <c r="Q43" s="704"/>
      <c r="R43" s="716"/>
    </row>
    <row r="44" spans="1:19">
      <c r="A44" s="665">
        <v>394</v>
      </c>
      <c r="B44" s="434">
        <f>'Sch. F 2016'!G44</f>
        <v>413152.83999999997</v>
      </c>
      <c r="C44" s="434">
        <v>22147.15</v>
      </c>
      <c r="D44" s="434">
        <v>0</v>
      </c>
      <c r="E44" s="434">
        <v>0</v>
      </c>
      <c r="F44" s="435">
        <v>0</v>
      </c>
      <c r="G44" s="434">
        <f t="shared" si="0"/>
        <v>435299.99</v>
      </c>
      <c r="H44" s="703">
        <f t="shared" si="1"/>
        <v>394</v>
      </c>
      <c r="I44" s="434">
        <f>'Sch. F 2016'!P44</f>
        <v>268676.92</v>
      </c>
      <c r="J44" s="434">
        <f t="shared" si="2"/>
        <v>0</v>
      </c>
      <c r="K44" s="434">
        <v>36490.89</v>
      </c>
      <c r="L44" s="434">
        <v>0</v>
      </c>
      <c r="M44" s="434">
        <v>0</v>
      </c>
      <c r="N44" s="434">
        <v>0</v>
      </c>
      <c r="O44" s="434">
        <v>0</v>
      </c>
      <c r="P44" s="656">
        <f t="shared" si="3"/>
        <v>305167.81</v>
      </c>
      <c r="Q44" s="704"/>
      <c r="R44" s="716"/>
    </row>
    <row r="45" spans="1:19">
      <c r="A45" s="443">
        <v>395</v>
      </c>
      <c r="B45" s="434">
        <f>'Sch. F 2016'!G45</f>
        <v>119512</v>
      </c>
      <c r="C45" s="434">
        <v>0</v>
      </c>
      <c r="D45" s="434">
        <v>0</v>
      </c>
      <c r="E45" s="434">
        <v>0</v>
      </c>
      <c r="F45" s="435">
        <v>0</v>
      </c>
      <c r="G45" s="435">
        <f t="shared" si="0"/>
        <v>119512</v>
      </c>
      <c r="H45" s="703">
        <f t="shared" si="1"/>
        <v>395</v>
      </c>
      <c r="I45" s="434">
        <f>'Sch. F 2016'!P45</f>
        <v>105308.51</v>
      </c>
      <c r="J45" s="434">
        <f t="shared" si="2"/>
        <v>0</v>
      </c>
      <c r="K45" s="434">
        <v>6645.5</v>
      </c>
      <c r="L45" s="434">
        <v>0</v>
      </c>
      <c r="M45" s="434">
        <v>0</v>
      </c>
      <c r="N45" s="434">
        <v>0</v>
      </c>
      <c r="O45" s="434">
        <v>0</v>
      </c>
      <c r="P45" s="656">
        <f t="shared" si="3"/>
        <v>111954.01</v>
      </c>
      <c r="Q45" s="704"/>
      <c r="R45" s="716"/>
    </row>
    <row r="46" spans="1:19">
      <c r="A46" s="652">
        <v>396</v>
      </c>
      <c r="B46" s="434">
        <f>'Sch. F 2016'!G46</f>
        <v>884704.44000000006</v>
      </c>
      <c r="C46" s="434">
        <v>0</v>
      </c>
      <c r="D46" s="434">
        <v>0</v>
      </c>
      <c r="E46" s="434">
        <v>0</v>
      </c>
      <c r="F46" s="435">
        <v>0</v>
      </c>
      <c r="G46" s="444">
        <f t="shared" si="0"/>
        <v>884704.44000000006</v>
      </c>
      <c r="H46" s="703">
        <f t="shared" si="1"/>
        <v>396</v>
      </c>
      <c r="I46" s="434">
        <f>'Sch. F 2016'!P46</f>
        <v>218970.73</v>
      </c>
      <c r="J46" s="434">
        <f t="shared" si="2"/>
        <v>0</v>
      </c>
      <c r="K46" s="434">
        <v>38927.040000000001</v>
      </c>
      <c r="L46" s="444">
        <v>0</v>
      </c>
      <c r="M46" s="444">
        <v>0</v>
      </c>
      <c r="N46" s="444">
        <v>0</v>
      </c>
      <c r="O46" s="444">
        <v>0</v>
      </c>
      <c r="P46" s="656">
        <f t="shared" si="3"/>
        <v>257897.77000000002</v>
      </c>
      <c r="Q46" s="704"/>
      <c r="R46" s="716"/>
    </row>
    <row r="47" spans="1:19" s="659" customFormat="1">
      <c r="A47" s="652">
        <v>397</v>
      </c>
      <c r="B47" s="434">
        <f>'Sch. F 2016'!G47</f>
        <v>366628</v>
      </c>
      <c r="C47" s="434">
        <v>0</v>
      </c>
      <c r="D47" s="434">
        <v>0</v>
      </c>
      <c r="E47" s="434">
        <v>0</v>
      </c>
      <c r="F47" s="435">
        <v>0</v>
      </c>
      <c r="G47" s="435">
        <f t="shared" si="0"/>
        <v>366628</v>
      </c>
      <c r="H47" s="703">
        <f t="shared" si="1"/>
        <v>397</v>
      </c>
      <c r="I47" s="434">
        <f>'Sch. F 2016'!P47</f>
        <v>306090.2</v>
      </c>
      <c r="J47" s="434">
        <f t="shared" si="2"/>
        <v>0</v>
      </c>
      <c r="K47" s="434">
        <v>30251.42</v>
      </c>
      <c r="L47" s="434">
        <v>0</v>
      </c>
      <c r="M47" s="434">
        <v>0</v>
      </c>
      <c r="N47" s="434">
        <v>0</v>
      </c>
      <c r="O47" s="434">
        <v>0</v>
      </c>
      <c r="P47" s="656">
        <f t="shared" si="3"/>
        <v>336341.62</v>
      </c>
      <c r="Q47" s="704"/>
      <c r="R47" s="716"/>
    </row>
    <row r="48" spans="1:19" s="659" customFormat="1">
      <c r="A48" s="652">
        <v>398</v>
      </c>
      <c r="B48" s="434">
        <f>'Sch. F 2016'!G48</f>
        <v>56868</v>
      </c>
      <c r="C48" s="434">
        <v>0</v>
      </c>
      <c r="D48" s="434">
        <v>0</v>
      </c>
      <c r="E48" s="434">
        <v>0</v>
      </c>
      <c r="F48" s="435">
        <v>0</v>
      </c>
      <c r="G48" s="435">
        <f t="shared" si="0"/>
        <v>56868</v>
      </c>
      <c r="H48" s="703">
        <f t="shared" si="1"/>
        <v>398</v>
      </c>
      <c r="I48" s="434">
        <f>'Sch. F 2016'!P48</f>
        <v>33287.5</v>
      </c>
      <c r="J48" s="434">
        <f t="shared" si="2"/>
        <v>0</v>
      </c>
      <c r="K48" s="434">
        <v>5789.92</v>
      </c>
      <c r="L48" s="434">
        <v>0</v>
      </c>
      <c r="M48" s="434">
        <v>0</v>
      </c>
      <c r="N48" s="434">
        <v>0</v>
      </c>
      <c r="O48" s="434">
        <v>0</v>
      </c>
      <c r="P48" s="656">
        <f t="shared" si="3"/>
        <v>39077.42</v>
      </c>
      <c r="Q48" s="716"/>
      <c r="R48" s="716"/>
    </row>
    <row r="49" spans="1:18" s="707" customFormat="1">
      <c r="A49" s="652">
        <v>399</v>
      </c>
      <c r="B49" s="434">
        <f>'Sch. F 2016'!G49</f>
        <v>10000</v>
      </c>
      <c r="C49" s="434">
        <v>0</v>
      </c>
      <c r="D49" s="434">
        <v>0</v>
      </c>
      <c r="E49" s="434">
        <v>0</v>
      </c>
      <c r="F49" s="435">
        <v>0</v>
      </c>
      <c r="G49" s="435">
        <f t="shared" si="0"/>
        <v>10000</v>
      </c>
      <c r="H49" s="703">
        <f t="shared" si="1"/>
        <v>399</v>
      </c>
      <c r="I49" s="434">
        <f>'Sch. F 2016'!P49</f>
        <v>10000</v>
      </c>
      <c r="J49" s="434">
        <f t="shared" si="2"/>
        <v>0</v>
      </c>
      <c r="K49" s="434">
        <v>0</v>
      </c>
      <c r="L49" s="434">
        <v>0</v>
      </c>
      <c r="M49" s="434">
        <v>0</v>
      </c>
      <c r="N49" s="434">
        <v>0</v>
      </c>
      <c r="O49" s="434">
        <v>0</v>
      </c>
      <c r="P49" s="656">
        <f t="shared" si="3"/>
        <v>10000</v>
      </c>
      <c r="Q49" s="716"/>
      <c r="R49" s="716"/>
    </row>
    <row r="50" spans="1:18" ht="13.5" thickBot="1">
      <c r="A50" s="667" t="s">
        <v>98</v>
      </c>
      <c r="B50" s="668">
        <f t="shared" ref="B50:G50" si="4">SUM(B9:B49)</f>
        <v>124844566.89</v>
      </c>
      <c r="C50" s="668">
        <f t="shared" si="4"/>
        <v>9223340.6600000001</v>
      </c>
      <c r="D50" s="668">
        <f t="shared" si="4"/>
        <v>0</v>
      </c>
      <c r="E50" s="668">
        <f>SUM(E9:E49)</f>
        <v>-1883500</v>
      </c>
      <c r="F50" s="668">
        <f t="shared" si="4"/>
        <v>-662072.81000000006</v>
      </c>
      <c r="G50" s="717">
        <f t="shared" si="4"/>
        <v>131522334.74000001</v>
      </c>
      <c r="H50" s="670"/>
      <c r="I50" s="668">
        <f t="shared" ref="I50:P50" si="5">SUM(I9:I49)</f>
        <v>60169230.289999999</v>
      </c>
      <c r="J50" s="668">
        <f t="shared" si="5"/>
        <v>-1883500</v>
      </c>
      <c r="K50" s="668">
        <f t="shared" si="5"/>
        <v>4377480.4399999985</v>
      </c>
      <c r="L50" s="668">
        <f t="shared" si="5"/>
        <v>948487.35299999989</v>
      </c>
      <c r="M50" s="668">
        <f t="shared" si="5"/>
        <v>-1234467.7000000002</v>
      </c>
      <c r="N50" s="668">
        <f t="shared" si="5"/>
        <v>0</v>
      </c>
      <c r="O50" s="668">
        <f t="shared" si="5"/>
        <v>0</v>
      </c>
      <c r="P50" s="671">
        <f t="shared" si="5"/>
        <v>62377230.383000001</v>
      </c>
      <c r="Q50" s="718"/>
      <c r="R50" s="718"/>
    </row>
    <row r="51" spans="1:18" ht="13.5" thickTop="1">
      <c r="G51" s="676"/>
      <c r="P51" s="673"/>
      <c r="Q51" s="718"/>
      <c r="R51" s="718"/>
    </row>
    <row r="52" spans="1:18">
      <c r="O52" s="719"/>
      <c r="P52" s="454"/>
      <c r="Q52" s="718"/>
      <c r="R52" s="718"/>
    </row>
    <row r="53" spans="1:18">
      <c r="O53" s="719"/>
      <c r="P53" s="454"/>
      <c r="Q53" s="718"/>
      <c r="R53" s="718"/>
    </row>
    <row r="54" spans="1:18">
      <c r="O54" s="719"/>
      <c r="P54" s="454"/>
      <c r="Q54" s="718"/>
      <c r="R54" s="718"/>
    </row>
    <row r="55" spans="1:18">
      <c r="Q55" s="718"/>
      <c r="R55" s="718"/>
    </row>
    <row r="56" spans="1:18">
      <c r="Q56" s="718"/>
      <c r="R56" s="718"/>
    </row>
    <row r="57" spans="1:18">
      <c r="Q57" s="718"/>
      <c r="R57" s="718"/>
    </row>
    <row r="58" spans="1:18">
      <c r="Q58" s="718"/>
      <c r="R58" s="718"/>
    </row>
    <row r="59" spans="1:18">
      <c r="Q59" s="718"/>
      <c r="R59" s="718"/>
    </row>
    <row r="60" spans="1:18">
      <c r="Q60" s="718"/>
      <c r="R60" s="718"/>
    </row>
    <row r="61" spans="1:18">
      <c r="Q61" s="718"/>
      <c r="R61" s="718"/>
    </row>
    <row r="62" spans="1:18">
      <c r="Q62" s="718"/>
      <c r="R62" s="718"/>
    </row>
    <row r="63" spans="1:18">
      <c r="Q63" s="718"/>
      <c r="R63" s="718"/>
    </row>
    <row r="64" spans="1:18">
      <c r="Q64" s="718"/>
      <c r="R64" s="718"/>
    </row>
    <row r="65" spans="17:18">
      <c r="Q65" s="718"/>
      <c r="R65" s="718"/>
    </row>
    <row r="66" spans="17:18">
      <c r="Q66" s="718"/>
      <c r="R66" s="718"/>
    </row>
    <row r="67" spans="17:18">
      <c r="Q67" s="718"/>
      <c r="R67" s="718"/>
    </row>
    <row r="68" spans="17:18">
      <c r="Q68" s="718"/>
      <c r="R68" s="718"/>
    </row>
    <row r="69" spans="17:18">
      <c r="Q69" s="718"/>
      <c r="R69" s="718"/>
    </row>
    <row r="70" spans="17:18">
      <c r="Q70" s="718"/>
      <c r="R70" s="718"/>
    </row>
    <row r="71" spans="17:18">
      <c r="Q71" s="718"/>
      <c r="R71" s="718"/>
    </row>
    <row r="72" spans="17:18">
      <c r="Q72" s="718"/>
      <c r="R72" s="718"/>
    </row>
    <row r="73" spans="17:18">
      <c r="Q73" s="718"/>
      <c r="R73" s="718"/>
    </row>
    <row r="74" spans="17:18">
      <c r="Q74" s="718"/>
      <c r="R74" s="718"/>
    </row>
    <row r="75" spans="17:18">
      <c r="Q75" s="718"/>
      <c r="R75" s="718"/>
    </row>
    <row r="76" spans="17:18">
      <c r="Q76" s="718"/>
      <c r="R76" s="718"/>
    </row>
    <row r="77" spans="17:18">
      <c r="Q77" s="718"/>
      <c r="R77" s="718"/>
    </row>
    <row r="78" spans="17:18">
      <c r="Q78" s="718"/>
      <c r="R78" s="718"/>
    </row>
    <row r="79" spans="17:18">
      <c r="Q79" s="718"/>
      <c r="R79" s="718"/>
    </row>
    <row r="80" spans="17:18">
      <c r="Q80" s="718"/>
      <c r="R80" s="718"/>
    </row>
  </sheetData>
  <mergeCells count="5">
    <mergeCell ref="A1:P1"/>
    <mergeCell ref="A2:P2"/>
    <mergeCell ref="A3:P3"/>
    <mergeCell ref="A4:P4"/>
    <mergeCell ref="A6:G6"/>
  </mergeCells>
  <printOptions horizontalCentered="1"/>
  <pageMargins left="0.5" right="0.5" top="0.5" bottom="0.75" header="0.3" footer="0.3"/>
  <pageSetup scale="7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50"/>
    <pageSetUpPr fitToPage="1"/>
  </sheetPr>
  <dimension ref="A1:R59"/>
  <sheetViews>
    <sheetView topLeftCell="A19" workbookViewId="0">
      <selection sqref="A1:XFD3"/>
    </sheetView>
  </sheetViews>
  <sheetFormatPr defaultColWidth="8.7109375" defaultRowHeight="15"/>
  <cols>
    <col min="1" max="1" width="10.7109375" style="681" customWidth="1"/>
    <col min="2" max="2" width="13.7109375" style="681" bestFit="1" customWidth="1"/>
    <col min="3" max="3" width="13.28515625" style="478" bestFit="1" customWidth="1"/>
    <col min="4" max="4" width="9.42578125" style="681" bestFit="1" customWidth="1"/>
    <col min="5" max="5" width="10.42578125" style="480" bestFit="1" customWidth="1"/>
    <col min="6" max="6" width="61.7109375" style="701" customWidth="1"/>
    <col min="7" max="7" width="18.28515625" style="681" bestFit="1" customWidth="1"/>
    <col min="8" max="8" width="10.7109375" style="681" bestFit="1" customWidth="1"/>
    <col min="9" max="9" width="9.42578125" style="681" bestFit="1" customWidth="1"/>
    <col min="10" max="11" width="10.140625" style="681" bestFit="1" customWidth="1"/>
    <col min="12" max="16384" width="8.7109375" style="681"/>
  </cols>
  <sheetData>
    <row r="1" spans="1:18" s="457" customFormat="1" ht="18">
      <c r="A1" s="766" t="s">
        <v>105</v>
      </c>
      <c r="B1" s="766"/>
      <c r="C1" s="766"/>
      <c r="D1" s="766"/>
      <c r="E1" s="766"/>
      <c r="F1" s="766"/>
      <c r="G1" s="456"/>
      <c r="H1" s="456"/>
      <c r="I1" s="456"/>
      <c r="J1" s="456"/>
      <c r="K1" s="456"/>
      <c r="L1" s="456"/>
      <c r="M1" s="456"/>
      <c r="N1" s="456"/>
      <c r="O1" s="456"/>
      <c r="P1" s="456"/>
      <c r="Q1" s="456"/>
      <c r="R1" s="456"/>
    </row>
    <row r="2" spans="1:18" s="459" customFormat="1">
      <c r="A2" s="767" t="s">
        <v>271</v>
      </c>
      <c r="B2" s="767"/>
      <c r="C2" s="767"/>
      <c r="D2" s="767"/>
      <c r="E2" s="767"/>
      <c r="F2" s="767"/>
      <c r="G2" s="458"/>
      <c r="H2" s="458"/>
      <c r="I2" s="458"/>
      <c r="J2" s="458"/>
      <c r="K2" s="458"/>
      <c r="L2" s="458"/>
      <c r="M2" s="458"/>
      <c r="N2" s="458"/>
      <c r="O2" s="458"/>
      <c r="P2" s="458"/>
      <c r="Q2" s="458"/>
      <c r="R2" s="458"/>
    </row>
    <row r="3" spans="1:18" s="459" customFormat="1" ht="15.75">
      <c r="A3" s="768" t="s">
        <v>240</v>
      </c>
      <c r="B3" s="768"/>
      <c r="C3" s="768"/>
      <c r="D3" s="768"/>
      <c r="E3" s="768"/>
      <c r="F3" s="768"/>
      <c r="G3" s="460"/>
      <c r="H3" s="460"/>
      <c r="I3" s="460"/>
      <c r="J3" s="460"/>
      <c r="K3" s="460"/>
      <c r="L3" s="460"/>
      <c r="M3" s="460"/>
      <c r="N3" s="460"/>
      <c r="O3" s="460"/>
      <c r="P3" s="460"/>
      <c r="Q3" s="460"/>
      <c r="R3" s="460"/>
    </row>
    <row r="4" spans="1:18" s="464" customFormat="1" ht="13.5" thickBot="1">
      <c r="A4" s="461"/>
      <c r="B4" s="462"/>
      <c r="C4" s="462"/>
      <c r="D4" s="462"/>
      <c r="E4" s="463"/>
      <c r="F4" s="462"/>
      <c r="G4" s="462"/>
      <c r="H4" s="462"/>
      <c r="I4" s="462"/>
      <c r="J4" s="462"/>
      <c r="K4" s="462"/>
      <c r="L4" s="462"/>
      <c r="M4" s="462"/>
      <c r="N4" s="462"/>
      <c r="O4" s="462"/>
      <c r="P4" s="462"/>
      <c r="Q4" s="462"/>
      <c r="R4" s="462"/>
    </row>
    <row r="5" spans="1:18" s="469" customFormat="1" ht="13.5" thickBot="1">
      <c r="A5" s="519" t="s">
        <v>124</v>
      </c>
      <c r="B5" s="520" t="s">
        <v>125</v>
      </c>
      <c r="C5" s="520" t="s">
        <v>126</v>
      </c>
      <c r="D5" s="520" t="s">
        <v>127</v>
      </c>
      <c r="E5" s="521" t="s">
        <v>128</v>
      </c>
      <c r="F5" s="522" t="s">
        <v>129</v>
      </c>
    </row>
    <row r="6" spans="1:18" ht="26.25">
      <c r="A6" s="677" t="s">
        <v>241</v>
      </c>
      <c r="B6" s="678" t="s">
        <v>131</v>
      </c>
      <c r="C6" s="720" t="s">
        <v>116</v>
      </c>
      <c r="D6" s="679">
        <v>3910</v>
      </c>
      <c r="E6" s="526">
        <f>+'Sch. F 2017'!C34</f>
        <v>63630.67</v>
      </c>
      <c r="F6" s="680" t="s">
        <v>242</v>
      </c>
    </row>
    <row r="7" spans="1:18" ht="26.25">
      <c r="A7" s="682" t="s">
        <v>241</v>
      </c>
      <c r="B7" s="683" t="s">
        <v>131</v>
      </c>
      <c r="C7" s="721" t="s">
        <v>116</v>
      </c>
      <c r="D7" s="684">
        <v>3914</v>
      </c>
      <c r="E7" s="474">
        <f>+'Sch. F 2017'!C38</f>
        <v>133279.28</v>
      </c>
      <c r="F7" s="686" t="s">
        <v>243</v>
      </c>
    </row>
    <row r="8" spans="1:18" ht="26.25">
      <c r="A8" s="682" t="s">
        <v>241</v>
      </c>
      <c r="B8" s="683" t="s">
        <v>131</v>
      </c>
      <c r="C8" s="683" t="s">
        <v>118</v>
      </c>
      <c r="D8" s="684">
        <v>355</v>
      </c>
      <c r="E8" s="474">
        <f>+'Sch. F 2017'!E14</f>
        <v>-138850</v>
      </c>
      <c r="F8" s="686" t="s">
        <v>244</v>
      </c>
    </row>
    <row r="9" spans="1:18" ht="39">
      <c r="A9" s="682" t="s">
        <v>241</v>
      </c>
      <c r="B9" s="683" t="s">
        <v>131</v>
      </c>
      <c r="C9" s="683" t="s">
        <v>118</v>
      </c>
      <c r="D9" s="684">
        <v>3551</v>
      </c>
      <c r="E9" s="474">
        <f>+'Sch. F 2017'!E15</f>
        <v>-490297</v>
      </c>
      <c r="F9" s="686" t="s">
        <v>245</v>
      </c>
    </row>
    <row r="10" spans="1:18" ht="26.25">
      <c r="A10" s="682" t="s">
        <v>241</v>
      </c>
      <c r="B10" s="683" t="s">
        <v>131</v>
      </c>
      <c r="C10" s="683" t="s">
        <v>118</v>
      </c>
      <c r="D10" s="684">
        <v>369</v>
      </c>
      <c r="E10" s="474">
        <f>+'Sch. F 2017'!E27</f>
        <v>-54632</v>
      </c>
      <c r="F10" s="686" t="s">
        <v>246</v>
      </c>
      <c r="H10" s="478"/>
      <c r="I10" s="478"/>
      <c r="J10" s="478"/>
      <c r="K10" s="478"/>
    </row>
    <row r="11" spans="1:18" ht="26.25">
      <c r="A11" s="682" t="s">
        <v>241</v>
      </c>
      <c r="B11" s="683" t="s">
        <v>131</v>
      </c>
      <c r="C11" s="683" t="s">
        <v>118</v>
      </c>
      <c r="D11" s="684">
        <v>370</v>
      </c>
      <c r="E11" s="474">
        <f>+'Sch. F 2017'!E28</f>
        <v>-17252</v>
      </c>
      <c r="F11" s="686" t="s">
        <v>247</v>
      </c>
      <c r="H11" s="478"/>
      <c r="I11" s="478"/>
      <c r="J11" s="478"/>
      <c r="K11" s="478"/>
    </row>
    <row r="12" spans="1:18" ht="26.25">
      <c r="A12" s="682" t="s">
        <v>241</v>
      </c>
      <c r="B12" s="683" t="s">
        <v>131</v>
      </c>
      <c r="C12" s="683" t="s">
        <v>118</v>
      </c>
      <c r="D12" s="684">
        <v>371</v>
      </c>
      <c r="E12" s="474">
        <f>+'Sch. F 2017'!E29</f>
        <v>-30440</v>
      </c>
      <c r="F12" s="686" t="s">
        <v>248</v>
      </c>
      <c r="H12" s="478"/>
      <c r="I12" s="478"/>
      <c r="J12" s="478"/>
      <c r="K12" s="478"/>
    </row>
    <row r="13" spans="1:18" ht="26.25">
      <c r="A13" s="682" t="s">
        <v>241</v>
      </c>
      <c r="B13" s="683" t="s">
        <v>131</v>
      </c>
      <c r="C13" s="683" t="s">
        <v>118</v>
      </c>
      <c r="D13" s="684">
        <v>373</v>
      </c>
      <c r="E13" s="474">
        <f>+'Sch. F 2017'!E30</f>
        <v>-8381</v>
      </c>
      <c r="F13" s="686" t="s">
        <v>249</v>
      </c>
      <c r="H13" s="478"/>
      <c r="I13" s="478"/>
      <c r="J13" s="478"/>
      <c r="K13" s="478"/>
    </row>
    <row r="14" spans="1:18" ht="26.25">
      <c r="A14" s="682" t="s">
        <v>241</v>
      </c>
      <c r="B14" s="683" t="s">
        <v>131</v>
      </c>
      <c r="C14" s="683" t="s">
        <v>149</v>
      </c>
      <c r="D14" s="684">
        <v>3551</v>
      </c>
      <c r="E14" s="474">
        <f>+'Sch. F 2017'!F15</f>
        <v>-481451.26</v>
      </c>
      <c r="F14" s="686" t="s">
        <v>250</v>
      </c>
      <c r="H14" s="478"/>
      <c r="I14" s="478"/>
      <c r="J14" s="478"/>
      <c r="K14" s="478"/>
    </row>
    <row r="15" spans="1:18" ht="27" customHeight="1">
      <c r="A15" s="682" t="s">
        <v>241</v>
      </c>
      <c r="B15" s="683" t="s">
        <v>131</v>
      </c>
      <c r="C15" s="683" t="s">
        <v>149</v>
      </c>
      <c r="D15" s="684">
        <v>362</v>
      </c>
      <c r="E15" s="474">
        <f>+'Sch. F 2017'!F21</f>
        <v>-180121.55</v>
      </c>
      <c r="F15" s="686" t="s">
        <v>250</v>
      </c>
      <c r="H15" s="478"/>
      <c r="I15" s="478"/>
      <c r="J15" s="478"/>
      <c r="K15" s="478"/>
    </row>
    <row r="16" spans="1:18" ht="26.25">
      <c r="A16" s="682" t="s">
        <v>241</v>
      </c>
      <c r="B16" s="683" t="s">
        <v>137</v>
      </c>
      <c r="C16" s="683" t="s">
        <v>118</v>
      </c>
      <c r="D16" s="684">
        <v>355</v>
      </c>
      <c r="E16" s="474">
        <f>+'Sch. F 2017'!J14</f>
        <v>-138850</v>
      </c>
      <c r="F16" s="686" t="s">
        <v>244</v>
      </c>
      <c r="G16" s="695"/>
    </row>
    <row r="17" spans="1:7" ht="39">
      <c r="A17" s="682" t="s">
        <v>241</v>
      </c>
      <c r="B17" s="683" t="s">
        <v>137</v>
      </c>
      <c r="C17" s="683" t="s">
        <v>118</v>
      </c>
      <c r="D17" s="684">
        <v>3551</v>
      </c>
      <c r="E17" s="474">
        <f>+'Sch. F 2017'!J15</f>
        <v>-490297</v>
      </c>
      <c r="F17" s="686" t="s">
        <v>245</v>
      </c>
    </row>
    <row r="18" spans="1:7" ht="26.25">
      <c r="A18" s="682" t="s">
        <v>241</v>
      </c>
      <c r="B18" s="683" t="s">
        <v>137</v>
      </c>
      <c r="C18" s="683" t="s">
        <v>118</v>
      </c>
      <c r="D18" s="684">
        <v>369</v>
      </c>
      <c r="E18" s="474">
        <f>+'Sch. F 2017'!J27</f>
        <v>-54632</v>
      </c>
      <c r="F18" s="686" t="s">
        <v>246</v>
      </c>
    </row>
    <row r="19" spans="1:7" ht="26.25">
      <c r="A19" s="682" t="s">
        <v>241</v>
      </c>
      <c r="B19" s="683" t="s">
        <v>137</v>
      </c>
      <c r="C19" s="683" t="s">
        <v>118</v>
      </c>
      <c r="D19" s="684">
        <v>370</v>
      </c>
      <c r="E19" s="474">
        <f>+'Sch. F 2017'!J28</f>
        <v>-17252</v>
      </c>
      <c r="F19" s="686" t="s">
        <v>247</v>
      </c>
      <c r="G19" s="695"/>
    </row>
    <row r="20" spans="1:7" ht="26.25">
      <c r="A20" s="682" t="s">
        <v>241</v>
      </c>
      <c r="B20" s="683" t="s">
        <v>137</v>
      </c>
      <c r="C20" s="683" t="s">
        <v>118</v>
      </c>
      <c r="D20" s="684">
        <v>371</v>
      </c>
      <c r="E20" s="474">
        <f>+'Sch. F 2017'!J29</f>
        <v>-30440</v>
      </c>
      <c r="F20" s="686" t="s">
        <v>248</v>
      </c>
    </row>
    <row r="21" spans="1:7" ht="26.25">
      <c r="A21" s="682" t="s">
        <v>241</v>
      </c>
      <c r="B21" s="683" t="s">
        <v>137</v>
      </c>
      <c r="C21" s="683" t="s">
        <v>118</v>
      </c>
      <c r="D21" s="684">
        <v>373</v>
      </c>
      <c r="E21" s="474">
        <f>+'Sch. F 2017'!J30</f>
        <v>-8381</v>
      </c>
      <c r="F21" s="686" t="s">
        <v>249</v>
      </c>
    </row>
    <row r="22" spans="1:7" ht="39">
      <c r="A22" s="694" t="s">
        <v>241</v>
      </c>
      <c r="B22" s="689" t="s">
        <v>137</v>
      </c>
      <c r="C22" s="690" t="s">
        <v>120</v>
      </c>
      <c r="D22" s="691">
        <v>3910</v>
      </c>
      <c r="E22" s="692">
        <f>'Sch. F 2017'!K34</f>
        <v>57894.130000000005</v>
      </c>
      <c r="F22" s="693" t="s">
        <v>251</v>
      </c>
      <c r="G22" s="722"/>
    </row>
    <row r="23" spans="1:7" ht="26.25">
      <c r="A23" s="694" t="s">
        <v>241</v>
      </c>
      <c r="B23" s="690" t="s">
        <v>137</v>
      </c>
      <c r="C23" s="690" t="s">
        <v>120</v>
      </c>
      <c r="D23" s="691">
        <v>3911</v>
      </c>
      <c r="E23" s="692">
        <f>'Sch. F 2017'!K35</f>
        <v>1557.21</v>
      </c>
      <c r="F23" s="693" t="s">
        <v>139</v>
      </c>
      <c r="G23" s="722"/>
    </row>
    <row r="24" spans="1:7" ht="26.25">
      <c r="A24" s="694" t="s">
        <v>241</v>
      </c>
      <c r="B24" s="689" t="s">
        <v>137</v>
      </c>
      <c r="C24" s="690" t="s">
        <v>120</v>
      </c>
      <c r="D24" s="691">
        <v>3914</v>
      </c>
      <c r="E24" s="692">
        <f>'Sch. F 2017'!K38</f>
        <v>20816.480000000003</v>
      </c>
      <c r="F24" s="693" t="s">
        <v>252</v>
      </c>
      <c r="G24" s="722"/>
    </row>
    <row r="25" spans="1:7" ht="26.25">
      <c r="A25" s="682" t="s">
        <v>241</v>
      </c>
      <c r="B25" s="683" t="s">
        <v>137</v>
      </c>
      <c r="C25" s="683" t="s">
        <v>120</v>
      </c>
      <c r="D25" s="684">
        <v>368</v>
      </c>
      <c r="E25" s="474">
        <f>+'Sch. F 2017'!K26</f>
        <v>718978.72</v>
      </c>
      <c r="F25" s="686" t="s">
        <v>253</v>
      </c>
    </row>
    <row r="26" spans="1:7" ht="26.25">
      <c r="A26" s="682" t="s">
        <v>241</v>
      </c>
      <c r="B26" s="683" t="s">
        <v>137</v>
      </c>
      <c r="C26" s="683" t="s">
        <v>120</v>
      </c>
      <c r="D26" s="684">
        <v>369</v>
      </c>
      <c r="E26" s="474">
        <f>+'Sch. F 2017'!K27</f>
        <v>417393.04</v>
      </c>
      <c r="F26" s="686" t="s">
        <v>254</v>
      </c>
    </row>
    <row r="27" spans="1:7">
      <c r="A27" s="682" t="s">
        <v>241</v>
      </c>
      <c r="B27" s="683" t="s">
        <v>137</v>
      </c>
      <c r="C27" s="683" t="s">
        <v>121</v>
      </c>
      <c r="D27" s="684">
        <v>3501</v>
      </c>
      <c r="E27" s="474">
        <f>+'Sch. F 2017'!L10</f>
        <v>8586</v>
      </c>
      <c r="F27" s="686" t="s">
        <v>255</v>
      </c>
    </row>
    <row r="28" spans="1:7">
      <c r="A28" s="682" t="s">
        <v>241</v>
      </c>
      <c r="B28" s="683" t="s">
        <v>137</v>
      </c>
      <c r="C28" s="683" t="s">
        <v>121</v>
      </c>
      <c r="D28" s="684">
        <v>355</v>
      </c>
      <c r="E28" s="474">
        <f>+'Sch. F 2017'!L14</f>
        <v>48875.040000000001</v>
      </c>
      <c r="F28" s="686" t="s">
        <v>256</v>
      </c>
    </row>
    <row r="29" spans="1:7" ht="26.25">
      <c r="A29" s="682" t="s">
        <v>241</v>
      </c>
      <c r="B29" s="683" t="s">
        <v>137</v>
      </c>
      <c r="C29" s="683" t="s">
        <v>121</v>
      </c>
      <c r="D29" s="684">
        <v>3551</v>
      </c>
      <c r="E29" s="474">
        <f>+'Sch. F 2017'!L15</f>
        <v>471381.82</v>
      </c>
      <c r="F29" s="686" t="s">
        <v>257</v>
      </c>
    </row>
    <row r="30" spans="1:7">
      <c r="A30" s="682" t="s">
        <v>241</v>
      </c>
      <c r="B30" s="683" t="s">
        <v>137</v>
      </c>
      <c r="C30" s="683" t="s">
        <v>121</v>
      </c>
      <c r="D30" s="684">
        <v>365</v>
      </c>
      <c r="E30" s="474">
        <f>+'Sch. F 2017'!L23</f>
        <v>18054.599999999999</v>
      </c>
      <c r="F30" s="686" t="s">
        <v>258</v>
      </c>
    </row>
    <row r="31" spans="1:7">
      <c r="A31" s="682" t="s">
        <v>241</v>
      </c>
      <c r="B31" s="683" t="s">
        <v>137</v>
      </c>
      <c r="C31" s="683" t="s">
        <v>121</v>
      </c>
      <c r="D31" s="684">
        <v>369</v>
      </c>
      <c r="E31" s="474">
        <f>+'Sch. F 2017'!L27</f>
        <v>722.37</v>
      </c>
      <c r="F31" s="686" t="s">
        <v>259</v>
      </c>
    </row>
    <row r="32" spans="1:7" ht="39">
      <c r="A32" s="682" t="s">
        <v>241</v>
      </c>
      <c r="B32" s="683" t="s">
        <v>137</v>
      </c>
      <c r="C32" s="683" t="s">
        <v>157</v>
      </c>
      <c r="D32" s="684">
        <v>3501</v>
      </c>
      <c r="E32" s="474">
        <f>+'Sch. F 2017'!M10</f>
        <v>-18.54</v>
      </c>
      <c r="F32" s="686" t="s">
        <v>260</v>
      </c>
    </row>
    <row r="33" spans="1:7" ht="26.25">
      <c r="A33" s="682" t="s">
        <v>241</v>
      </c>
      <c r="B33" s="683" t="s">
        <v>137</v>
      </c>
      <c r="C33" s="683" t="s">
        <v>157</v>
      </c>
      <c r="D33" s="684">
        <v>352</v>
      </c>
      <c r="E33" s="474">
        <f>+'Sch. F 2017'!M11</f>
        <v>0</v>
      </c>
      <c r="F33" s="686" t="s">
        <v>261</v>
      </c>
    </row>
    <row r="34" spans="1:7">
      <c r="A34" s="682" t="s">
        <v>241</v>
      </c>
      <c r="B34" s="683" t="s">
        <v>137</v>
      </c>
      <c r="C34" s="683" t="s">
        <v>157</v>
      </c>
      <c r="D34" s="684">
        <v>355</v>
      </c>
      <c r="E34" s="474">
        <f>+'Sch. F 2017'!M14</f>
        <v>-846307.29</v>
      </c>
      <c r="F34" s="686" t="s">
        <v>262</v>
      </c>
    </row>
    <row r="35" spans="1:7" ht="39">
      <c r="A35" s="682" t="s">
        <v>241</v>
      </c>
      <c r="B35" s="683" t="s">
        <v>137</v>
      </c>
      <c r="C35" s="683" t="s">
        <v>157</v>
      </c>
      <c r="D35" s="684">
        <v>3551</v>
      </c>
      <c r="E35" s="474">
        <f>+'Sch. F 2017'!M15</f>
        <v>-6993.1099999999769</v>
      </c>
      <c r="F35" s="686" t="s">
        <v>263</v>
      </c>
    </row>
    <row r="36" spans="1:7" ht="51.75">
      <c r="A36" s="682" t="s">
        <v>241</v>
      </c>
      <c r="B36" s="683" t="s">
        <v>137</v>
      </c>
      <c r="C36" s="683" t="s">
        <v>157</v>
      </c>
      <c r="D36" s="684">
        <v>362</v>
      </c>
      <c r="E36" s="723">
        <f>+'Sch. F 2017'!M21</f>
        <v>-28927.449999999997</v>
      </c>
      <c r="F36" s="724" t="s">
        <v>264</v>
      </c>
    </row>
    <row r="37" spans="1:7" ht="26.25">
      <c r="A37" s="682" t="s">
        <v>241</v>
      </c>
      <c r="B37" s="683" t="s">
        <v>137</v>
      </c>
      <c r="C37" s="683" t="s">
        <v>157</v>
      </c>
      <c r="D37" s="684">
        <v>364</v>
      </c>
      <c r="E37" s="474">
        <f>+'Sch. F 2017'!M22</f>
        <v>-209333.7</v>
      </c>
      <c r="F37" s="686" t="s">
        <v>265</v>
      </c>
    </row>
    <row r="38" spans="1:7" ht="26.25">
      <c r="A38" s="682" t="s">
        <v>241</v>
      </c>
      <c r="B38" s="683" t="s">
        <v>137</v>
      </c>
      <c r="C38" s="683" t="s">
        <v>157</v>
      </c>
      <c r="D38" s="684">
        <v>365</v>
      </c>
      <c r="E38" s="474">
        <f>+'Sch. F 2017'!M23</f>
        <v>-85101.69</v>
      </c>
      <c r="F38" s="686" t="s">
        <v>266</v>
      </c>
    </row>
    <row r="39" spans="1:7" ht="26.25">
      <c r="A39" s="682" t="s">
        <v>241</v>
      </c>
      <c r="B39" s="683" t="s">
        <v>137</v>
      </c>
      <c r="C39" s="683" t="s">
        <v>157</v>
      </c>
      <c r="D39" s="684">
        <v>368</v>
      </c>
      <c r="E39" s="474">
        <f>+'Sch. F 2017'!M26</f>
        <v>-20646.09</v>
      </c>
      <c r="F39" s="686" t="s">
        <v>267</v>
      </c>
    </row>
    <row r="40" spans="1:7" ht="26.25">
      <c r="A40" s="682" t="s">
        <v>241</v>
      </c>
      <c r="B40" s="683" t="s">
        <v>137</v>
      </c>
      <c r="C40" s="683" t="s">
        <v>157</v>
      </c>
      <c r="D40" s="684">
        <v>369</v>
      </c>
      <c r="E40" s="474">
        <f>+'Sch. F 2017'!M27</f>
        <v>-12606.48</v>
      </c>
      <c r="F40" s="686" t="s">
        <v>268</v>
      </c>
    </row>
    <row r="41" spans="1:7" ht="15.75" thickBot="1">
      <c r="A41" s="696" t="s">
        <v>241</v>
      </c>
      <c r="B41" s="697" t="s">
        <v>137</v>
      </c>
      <c r="C41" s="697" t="s">
        <v>157</v>
      </c>
      <c r="D41" s="698">
        <v>373</v>
      </c>
      <c r="E41" s="699">
        <f>+'Sch. F 2017'!M30</f>
        <v>-1953.54</v>
      </c>
      <c r="F41" s="700" t="s">
        <v>269</v>
      </c>
    </row>
    <row r="42" spans="1:7">
      <c r="A42"/>
      <c r="B42"/>
      <c r="C42"/>
      <c r="D42"/>
      <c r="E42"/>
      <c r="F42"/>
      <c r="G42"/>
    </row>
    <row r="43" spans="1:7" hidden="1">
      <c r="A43" s="695" t="s">
        <v>270</v>
      </c>
    </row>
    <row r="44" spans="1:7" hidden="1"/>
    <row r="45" spans="1:7" hidden="1">
      <c r="A45" s="725" t="s">
        <v>109</v>
      </c>
      <c r="B45" s="726" t="s">
        <v>109</v>
      </c>
      <c r="C45" s="726"/>
      <c r="D45" s="726"/>
      <c r="E45" s="726"/>
      <c r="F45" s="726"/>
      <c r="G45" s="480"/>
    </row>
    <row r="46" spans="1:7" hidden="1">
      <c r="A46" s="725" t="s">
        <v>114</v>
      </c>
      <c r="B46" s="726" t="s">
        <v>116</v>
      </c>
      <c r="C46" s="726" t="s">
        <v>118</v>
      </c>
      <c r="D46" s="726" t="s">
        <v>157</v>
      </c>
      <c r="E46" s="726"/>
      <c r="G46" s="480"/>
    </row>
    <row r="47" spans="1:7" hidden="1">
      <c r="A47" s="681">
        <v>355</v>
      </c>
      <c r="B47" s="480">
        <v>1423.68</v>
      </c>
      <c r="C47" s="480"/>
      <c r="D47" s="480">
        <v>-364.8</v>
      </c>
      <c r="F47" s="681"/>
    </row>
    <row r="48" spans="1:7" hidden="1">
      <c r="A48" s="681">
        <v>364</v>
      </c>
      <c r="B48" s="480">
        <v>50435.79</v>
      </c>
      <c r="C48" s="480">
        <v>-5018.88</v>
      </c>
      <c r="D48" s="480">
        <v>-24328.379999999997</v>
      </c>
      <c r="F48" s="681"/>
    </row>
    <row r="49" spans="1:6" hidden="1">
      <c r="A49" s="681">
        <v>365</v>
      </c>
      <c r="B49" s="480">
        <v>100847.28773399998</v>
      </c>
      <c r="C49" s="480">
        <v>-10334.220000000001</v>
      </c>
      <c r="D49" s="480">
        <v>-59808.575800499981</v>
      </c>
      <c r="F49" s="681"/>
    </row>
    <row r="50" spans="1:6" hidden="1">
      <c r="A50" s="681">
        <v>367</v>
      </c>
      <c r="B50" s="480"/>
      <c r="C50" s="480">
        <v>-9226.58</v>
      </c>
      <c r="D50" s="480">
        <v>0</v>
      </c>
      <c r="F50" s="681"/>
    </row>
    <row r="51" spans="1:6" hidden="1">
      <c r="A51" s="681">
        <v>368</v>
      </c>
      <c r="B51" s="480">
        <v>45823.31</v>
      </c>
      <c r="C51" s="480">
        <v>-3549.4300000000003</v>
      </c>
      <c r="D51" s="480">
        <v>-8098.5300000000007</v>
      </c>
      <c r="F51" s="681"/>
    </row>
    <row r="52" spans="1:6" hidden="1">
      <c r="A52" s="681">
        <v>369</v>
      </c>
      <c r="B52" s="480"/>
      <c r="C52" s="480">
        <v>-19.47</v>
      </c>
      <c r="D52" s="480">
        <v>0</v>
      </c>
      <c r="F52" s="681"/>
    </row>
    <row r="53" spans="1:6" hidden="1">
      <c r="A53" s="727">
        <v>373</v>
      </c>
      <c r="B53" s="492">
        <v>1777.5099999999998</v>
      </c>
      <c r="C53" s="492">
        <v>-664.09</v>
      </c>
      <c r="D53" s="492">
        <v>-583.67999999999995</v>
      </c>
      <c r="F53" s="681"/>
    </row>
    <row r="54" spans="1:6" hidden="1">
      <c r="A54" s="728" t="s">
        <v>98</v>
      </c>
      <c r="B54" s="729">
        <f>SUM(B47:B53)</f>
        <v>200307.57773399999</v>
      </c>
      <c r="C54" s="729">
        <f>SUM(C47:C53)</f>
        <v>-28812.670000000002</v>
      </c>
      <c r="D54" s="729">
        <f>SUM(D47:D53)</f>
        <v>-93183.965800499966</v>
      </c>
      <c r="F54" s="681"/>
    </row>
    <row r="55" spans="1:6" hidden="1"/>
    <row r="56" spans="1:6">
      <c r="A56"/>
    </row>
    <row r="59" spans="1:6">
      <c r="F59" s="710"/>
    </row>
  </sheetData>
  <mergeCells count="3">
    <mergeCell ref="A1:F1"/>
    <mergeCell ref="A2:F2"/>
    <mergeCell ref="A3:F3"/>
  </mergeCells>
  <pageMargins left="0.7" right="0.7" top="0.75" bottom="0.75" header="0.3" footer="0.3"/>
  <pageSetup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pageSetUpPr fitToPage="1"/>
  </sheetPr>
  <dimension ref="A1:U52"/>
  <sheetViews>
    <sheetView topLeftCell="A21" workbookViewId="0">
      <selection activeCell="M35" sqref="M35"/>
    </sheetView>
  </sheetViews>
  <sheetFormatPr defaultColWidth="9.140625" defaultRowHeight="12.75"/>
  <cols>
    <col min="1" max="1" width="6.7109375" style="450" customWidth="1"/>
    <col min="2" max="2" width="11.42578125" style="420" customWidth="1"/>
    <col min="3" max="6" width="11.7109375" style="420" customWidth="1"/>
    <col min="7" max="7" width="11.42578125" style="420" customWidth="1"/>
    <col min="8" max="8" width="6.7109375" style="420" customWidth="1"/>
    <col min="9" max="9" width="11.42578125" style="420" customWidth="1"/>
    <col min="10" max="15" width="11.7109375" style="420" customWidth="1"/>
    <col min="16" max="16" width="11.42578125" style="420" customWidth="1"/>
    <col min="17" max="17" width="12.42578125" style="455" bestFit="1" customWidth="1"/>
    <col min="18" max="18" width="9.140625" style="420"/>
    <col min="19" max="19" width="10" style="420" bestFit="1" customWidth="1"/>
    <col min="20" max="16384" width="9.140625" style="420"/>
  </cols>
  <sheetData>
    <row r="1" spans="1:21" s="415" customFormat="1" ht="18">
      <c r="A1" s="769" t="s">
        <v>105</v>
      </c>
      <c r="B1" s="769"/>
      <c r="C1" s="769"/>
      <c r="D1" s="769"/>
      <c r="E1" s="769"/>
      <c r="F1" s="769"/>
      <c r="G1" s="769"/>
      <c r="H1" s="769"/>
      <c r="I1" s="769"/>
      <c r="J1" s="769"/>
      <c r="K1" s="769"/>
      <c r="L1" s="769"/>
      <c r="M1" s="769"/>
      <c r="N1" s="769"/>
      <c r="O1" s="769"/>
      <c r="P1" s="769"/>
    </row>
    <row r="2" spans="1:21" s="416" customFormat="1" ht="15">
      <c r="A2" s="770" t="s">
        <v>271</v>
      </c>
      <c r="B2" s="770"/>
      <c r="C2" s="770"/>
      <c r="D2" s="770"/>
      <c r="E2" s="770"/>
      <c r="F2" s="770"/>
      <c r="G2" s="770"/>
      <c r="H2" s="770"/>
      <c r="I2" s="770"/>
      <c r="J2" s="770"/>
      <c r="K2" s="770"/>
      <c r="L2" s="770"/>
      <c r="M2" s="770"/>
      <c r="N2" s="770"/>
      <c r="O2" s="770"/>
      <c r="P2" s="770"/>
    </row>
    <row r="3" spans="1:21" s="417" customFormat="1" ht="15.75">
      <c r="A3" s="771" t="s">
        <v>192</v>
      </c>
      <c r="B3" s="771"/>
      <c r="C3" s="771"/>
      <c r="D3" s="771"/>
      <c r="E3" s="771"/>
      <c r="F3" s="771"/>
      <c r="G3" s="771"/>
      <c r="H3" s="771"/>
      <c r="I3" s="771"/>
      <c r="J3" s="771"/>
      <c r="K3" s="771"/>
      <c r="L3" s="771"/>
      <c r="M3" s="771"/>
      <c r="N3" s="771"/>
      <c r="O3" s="771"/>
      <c r="P3" s="771"/>
    </row>
    <row r="4" spans="1:21" s="418" customFormat="1">
      <c r="A4" s="772">
        <v>2018</v>
      </c>
      <c r="B4" s="772"/>
      <c r="C4" s="772"/>
      <c r="D4" s="772"/>
      <c r="E4" s="772"/>
      <c r="F4" s="772"/>
      <c r="G4" s="772"/>
      <c r="H4" s="772"/>
      <c r="I4" s="772"/>
      <c r="J4" s="772"/>
      <c r="K4" s="772"/>
      <c r="L4" s="772"/>
      <c r="M4" s="772"/>
      <c r="N4" s="772"/>
      <c r="O4" s="772"/>
      <c r="P4" s="772"/>
    </row>
    <row r="5" spans="1:21" ht="15" customHeight="1">
      <c r="A5" s="419"/>
      <c r="B5" s="419"/>
      <c r="C5" s="419"/>
      <c r="D5" s="419"/>
      <c r="E5" s="419"/>
      <c r="F5" s="419"/>
      <c r="G5" s="419"/>
      <c r="H5" s="419"/>
      <c r="I5" s="419"/>
      <c r="J5" s="419"/>
      <c r="K5" s="419"/>
      <c r="L5" s="419"/>
      <c r="M5" s="419"/>
      <c r="N5" s="419"/>
      <c r="O5" s="419"/>
      <c r="P5" s="419"/>
      <c r="Q5" s="419"/>
    </row>
    <row r="6" spans="1:21" s="414" customFormat="1" ht="13.5" thickBot="1">
      <c r="A6" s="773" t="s">
        <v>106</v>
      </c>
      <c r="B6" s="773"/>
      <c r="C6" s="773"/>
      <c r="D6" s="773"/>
      <c r="E6" s="773"/>
      <c r="F6" s="773"/>
      <c r="G6" s="773"/>
      <c r="H6" s="421"/>
      <c r="I6" s="418"/>
      <c r="J6" s="418"/>
      <c r="K6" s="418" t="s">
        <v>107</v>
      </c>
      <c r="L6" s="418"/>
      <c r="M6" s="418"/>
      <c r="N6" s="418" t="s">
        <v>108</v>
      </c>
      <c r="P6" s="418"/>
      <c r="Q6" s="422"/>
      <c r="R6" s="422"/>
    </row>
    <row r="7" spans="1:21" s="428" customFormat="1">
      <c r="A7" s="423" t="s">
        <v>109</v>
      </c>
      <c r="B7" s="424" t="s">
        <v>110</v>
      </c>
      <c r="C7" s="424"/>
      <c r="D7" s="424"/>
      <c r="E7" s="424"/>
      <c r="F7" s="424" t="s">
        <v>111</v>
      </c>
      <c r="G7" s="424" t="s">
        <v>112</v>
      </c>
      <c r="H7" s="425" t="s">
        <v>109</v>
      </c>
      <c r="I7" s="424" t="s">
        <v>110</v>
      </c>
      <c r="J7" s="424"/>
      <c r="K7" s="424"/>
      <c r="L7" s="424"/>
      <c r="M7" s="424" t="s">
        <v>113</v>
      </c>
      <c r="N7" s="424"/>
      <c r="O7" s="424" t="s">
        <v>111</v>
      </c>
      <c r="P7" s="426" t="s">
        <v>112</v>
      </c>
      <c r="Q7" s="427"/>
      <c r="R7" s="427"/>
    </row>
    <row r="8" spans="1:21" s="428" customFormat="1" ht="13.5" thickBot="1">
      <c r="A8" s="429" t="s">
        <v>114</v>
      </c>
      <c r="B8" s="430" t="s">
        <v>115</v>
      </c>
      <c r="C8" s="430" t="s">
        <v>116</v>
      </c>
      <c r="D8" s="430" t="s">
        <v>117</v>
      </c>
      <c r="E8" s="430" t="s">
        <v>118</v>
      </c>
      <c r="F8" s="430" t="s">
        <v>119</v>
      </c>
      <c r="G8" s="430" t="s">
        <v>115</v>
      </c>
      <c r="H8" s="431" t="s">
        <v>114</v>
      </c>
      <c r="I8" s="430" t="s">
        <v>115</v>
      </c>
      <c r="J8" s="430" t="s">
        <v>118</v>
      </c>
      <c r="K8" s="430" t="s">
        <v>120</v>
      </c>
      <c r="L8" s="430" t="s">
        <v>121</v>
      </c>
      <c r="M8" s="430" t="s">
        <v>122</v>
      </c>
      <c r="N8" s="430" t="s">
        <v>117</v>
      </c>
      <c r="O8" s="430" t="s">
        <v>119</v>
      </c>
      <c r="P8" s="432" t="s">
        <v>115</v>
      </c>
      <c r="Q8" s="427"/>
      <c r="R8" s="427"/>
    </row>
    <row r="9" spans="1:21" s="440" customFormat="1">
      <c r="A9" s="433">
        <v>350</v>
      </c>
      <c r="B9" s="434">
        <f>+'Sch. F 2017'!G9</f>
        <v>17629</v>
      </c>
      <c r="C9" s="434">
        <v>0</v>
      </c>
      <c r="D9" s="434">
        <v>0</v>
      </c>
      <c r="E9" s="434">
        <v>0</v>
      </c>
      <c r="F9" s="435">
        <v>0</v>
      </c>
      <c r="G9" s="435">
        <f t="shared" ref="G9:G49" si="0">SUM(B9:F9)</f>
        <v>17629</v>
      </c>
      <c r="H9" s="436">
        <f t="shared" ref="H9:H49" si="1">A9</f>
        <v>350</v>
      </c>
      <c r="I9" s="434">
        <f>+'Sch. F 2017'!P9</f>
        <v>0</v>
      </c>
      <c r="J9" s="434">
        <f t="shared" ref="J9:J49" si="2">+E9</f>
        <v>0</v>
      </c>
      <c r="K9" s="434">
        <v>0</v>
      </c>
      <c r="L9" s="434">
        <v>0</v>
      </c>
      <c r="M9" s="437">
        <v>0</v>
      </c>
      <c r="N9" s="434">
        <v>0</v>
      </c>
      <c r="O9" s="434">
        <v>0</v>
      </c>
      <c r="P9" s="438">
        <f t="shared" ref="P9:P49" si="3">SUM(I9:O9)</f>
        <v>0</v>
      </c>
      <c r="Q9" s="439"/>
      <c r="R9" s="439"/>
      <c r="S9" s="439"/>
      <c r="T9" s="439"/>
      <c r="U9" s="439"/>
    </row>
    <row r="10" spans="1:21" s="440" customFormat="1">
      <c r="A10" s="433">
        <v>3501</v>
      </c>
      <c r="B10" s="434">
        <f>+'Sch. F 2017'!G10</f>
        <v>0</v>
      </c>
      <c r="C10" s="434">
        <v>0</v>
      </c>
      <c r="D10" s="434">
        <v>0</v>
      </c>
      <c r="E10" s="434">
        <v>0</v>
      </c>
      <c r="F10" s="435">
        <v>0</v>
      </c>
      <c r="G10" s="435">
        <f t="shared" si="0"/>
        <v>0</v>
      </c>
      <c r="H10" s="436">
        <f t="shared" si="1"/>
        <v>3501</v>
      </c>
      <c r="I10" s="434">
        <f>+'Sch. F 2017'!P10</f>
        <v>890.14000000000033</v>
      </c>
      <c r="J10" s="434">
        <f t="shared" si="2"/>
        <v>0</v>
      </c>
      <c r="K10" s="434">
        <v>0</v>
      </c>
      <c r="L10" s="434">
        <v>0</v>
      </c>
      <c r="M10" s="437">
        <v>-890</v>
      </c>
      <c r="N10" s="434">
        <v>0</v>
      </c>
      <c r="O10" s="434">
        <v>0</v>
      </c>
      <c r="P10" s="438">
        <f t="shared" si="3"/>
        <v>0.14000000000032742</v>
      </c>
      <c r="Q10" s="439"/>
      <c r="R10" s="439"/>
      <c r="S10" s="439"/>
      <c r="T10" s="439"/>
      <c r="U10" s="439"/>
    </row>
    <row r="11" spans="1:21" s="440" customFormat="1">
      <c r="A11" s="433">
        <v>352</v>
      </c>
      <c r="B11" s="434">
        <f>+'Sch. F 2017'!G11</f>
        <v>1815906.9400000006</v>
      </c>
      <c r="C11" s="434">
        <v>103589.23000000004</v>
      </c>
      <c r="D11" s="434">
        <v>0</v>
      </c>
      <c r="E11" s="434">
        <v>0</v>
      </c>
      <c r="F11" s="435">
        <v>0</v>
      </c>
      <c r="G11" s="435">
        <f t="shared" si="0"/>
        <v>1919496.1700000006</v>
      </c>
      <c r="H11" s="436">
        <f t="shared" si="1"/>
        <v>352</v>
      </c>
      <c r="I11" s="434">
        <f>+'Sch. F 2017'!P11</f>
        <v>28194.36</v>
      </c>
      <c r="J11" s="434">
        <f t="shared" si="2"/>
        <v>0</v>
      </c>
      <c r="K11" s="434">
        <v>33944.859999999993</v>
      </c>
      <c r="L11" s="434">
        <v>0</v>
      </c>
      <c r="M11" s="437">
        <v>0</v>
      </c>
      <c r="N11" s="434">
        <v>0</v>
      </c>
      <c r="O11" s="434">
        <v>0</v>
      </c>
      <c r="P11" s="438">
        <f t="shared" si="3"/>
        <v>62139.219999999994</v>
      </c>
      <c r="Q11" s="439"/>
      <c r="R11" s="439"/>
      <c r="S11" s="439"/>
      <c r="T11" s="439"/>
      <c r="U11" s="439"/>
    </row>
    <row r="12" spans="1:21" s="440" customFormat="1">
      <c r="A12" s="433">
        <v>353</v>
      </c>
      <c r="B12" s="434">
        <f>+'Sch. F 2017'!G12</f>
        <v>6724915.3399999999</v>
      </c>
      <c r="C12" s="434">
        <v>236776.97000000003</v>
      </c>
      <c r="D12" s="434">
        <v>0</v>
      </c>
      <c r="E12" s="434">
        <v>0</v>
      </c>
      <c r="F12" s="435">
        <v>0</v>
      </c>
      <c r="G12" s="435">
        <f t="shared" si="0"/>
        <v>6961692.3099999996</v>
      </c>
      <c r="H12" s="436">
        <f t="shared" si="1"/>
        <v>353</v>
      </c>
      <c r="I12" s="434">
        <f>+'Sch. F 2017'!P12</f>
        <v>1258230.8700000001</v>
      </c>
      <c r="J12" s="434">
        <f t="shared" si="2"/>
        <v>0</v>
      </c>
      <c r="K12" s="434">
        <v>178320.44</v>
      </c>
      <c r="L12" s="434">
        <v>0</v>
      </c>
      <c r="M12" s="437">
        <v>0</v>
      </c>
      <c r="N12" s="434">
        <v>0</v>
      </c>
      <c r="O12" s="434">
        <v>0</v>
      </c>
      <c r="P12" s="438">
        <f t="shared" si="3"/>
        <v>1436551.31</v>
      </c>
      <c r="Q12" s="439"/>
      <c r="R12" s="439"/>
      <c r="S12" s="439"/>
      <c r="T12" s="439"/>
      <c r="U12" s="439"/>
    </row>
    <row r="13" spans="1:21" s="440" customFormat="1">
      <c r="A13" s="433">
        <v>354</v>
      </c>
      <c r="B13" s="434">
        <f>+'Sch. F 2017'!G13</f>
        <v>224802</v>
      </c>
      <c r="C13" s="434">
        <v>0</v>
      </c>
      <c r="D13" s="434">
        <v>0</v>
      </c>
      <c r="E13" s="434">
        <v>0</v>
      </c>
      <c r="F13" s="435">
        <v>0</v>
      </c>
      <c r="G13" s="435">
        <f t="shared" si="0"/>
        <v>224802</v>
      </c>
      <c r="H13" s="436">
        <f t="shared" si="1"/>
        <v>354</v>
      </c>
      <c r="I13" s="434">
        <f>+'Sch. F 2017'!P13</f>
        <v>204462.59999999998</v>
      </c>
      <c r="J13" s="434">
        <f t="shared" si="2"/>
        <v>0</v>
      </c>
      <c r="K13" s="434">
        <v>4720.7999999999993</v>
      </c>
      <c r="L13" s="434">
        <v>0</v>
      </c>
      <c r="M13" s="437">
        <v>0</v>
      </c>
      <c r="N13" s="434">
        <v>0</v>
      </c>
      <c r="O13" s="434">
        <v>0</v>
      </c>
      <c r="P13" s="438">
        <f t="shared" si="3"/>
        <v>209183.39999999997</v>
      </c>
      <c r="Q13" s="439"/>
      <c r="R13" s="439"/>
      <c r="S13" s="439"/>
      <c r="T13" s="439"/>
      <c r="U13" s="439"/>
    </row>
    <row r="14" spans="1:21" s="440" customFormat="1">
      <c r="A14" s="433">
        <v>355</v>
      </c>
      <c r="B14" s="434">
        <f>+'Sch. F 2017'!G14</f>
        <v>1447747</v>
      </c>
      <c r="C14" s="434">
        <v>0</v>
      </c>
      <c r="D14" s="434">
        <v>0</v>
      </c>
      <c r="E14" s="434">
        <v>0</v>
      </c>
      <c r="F14" s="435">
        <v>0</v>
      </c>
      <c r="G14" s="435">
        <f t="shared" si="0"/>
        <v>1447747</v>
      </c>
      <c r="H14" s="436">
        <f t="shared" si="1"/>
        <v>355</v>
      </c>
      <c r="I14" s="434">
        <f>+'Sch. F 2017'!P14</f>
        <v>349831.35999999987</v>
      </c>
      <c r="J14" s="434">
        <f t="shared" si="2"/>
        <v>0</v>
      </c>
      <c r="K14" s="434">
        <v>63867.599999999969</v>
      </c>
      <c r="L14" s="434">
        <v>0</v>
      </c>
      <c r="M14" s="437">
        <v>0</v>
      </c>
      <c r="N14" s="434">
        <v>0</v>
      </c>
      <c r="O14" s="434">
        <v>0</v>
      </c>
      <c r="P14" s="438">
        <f t="shared" si="3"/>
        <v>413698.95999999985</v>
      </c>
      <c r="Q14" s="439"/>
      <c r="R14" s="439"/>
      <c r="S14" s="439"/>
      <c r="T14" s="439"/>
      <c r="U14" s="439"/>
    </row>
    <row r="15" spans="1:21" s="440" customFormat="1">
      <c r="A15" s="433">
        <v>3551</v>
      </c>
      <c r="B15" s="434">
        <f>+'Sch. F 2017'!G15</f>
        <v>4004860.7800000003</v>
      </c>
      <c r="C15" s="434">
        <v>9869.630000000001</v>
      </c>
      <c r="D15" s="434">
        <v>0</v>
      </c>
      <c r="E15" s="434">
        <v>0</v>
      </c>
      <c r="F15" s="435">
        <v>0</v>
      </c>
      <c r="G15" s="435">
        <f t="shared" si="0"/>
        <v>4014730.41</v>
      </c>
      <c r="H15" s="436">
        <f t="shared" si="1"/>
        <v>3551</v>
      </c>
      <c r="I15" s="434">
        <f>+'Sch. F 2017'!P15</f>
        <v>595217.4800000001</v>
      </c>
      <c r="J15" s="434">
        <f t="shared" si="2"/>
        <v>0</v>
      </c>
      <c r="K15" s="434">
        <v>113117.90999999997</v>
      </c>
      <c r="L15" s="434">
        <v>0</v>
      </c>
      <c r="M15" s="437">
        <v>-13942.18</v>
      </c>
      <c r="N15" s="434">
        <v>0</v>
      </c>
      <c r="O15" s="434">
        <v>0</v>
      </c>
      <c r="P15" s="438">
        <f t="shared" si="3"/>
        <v>694393.21000000008</v>
      </c>
      <c r="Q15" s="439"/>
      <c r="R15" s="439"/>
      <c r="S15" s="439"/>
      <c r="T15" s="439"/>
      <c r="U15" s="439"/>
    </row>
    <row r="16" spans="1:21" s="440" customFormat="1">
      <c r="A16" s="433">
        <v>356</v>
      </c>
      <c r="B16" s="434">
        <f>+'Sch. F 2017'!G16</f>
        <v>3005946.91</v>
      </c>
      <c r="C16" s="434">
        <v>87992.22</v>
      </c>
      <c r="D16" s="434">
        <v>0</v>
      </c>
      <c r="E16" s="434">
        <v>0</v>
      </c>
      <c r="F16" s="435">
        <v>0</v>
      </c>
      <c r="G16" s="435">
        <f t="shared" si="0"/>
        <v>3093939.1300000004</v>
      </c>
      <c r="H16" s="436">
        <f t="shared" si="1"/>
        <v>356</v>
      </c>
      <c r="I16" s="434">
        <f>+'Sch. F 2017'!P16</f>
        <v>444733.14299999992</v>
      </c>
      <c r="J16" s="434">
        <f t="shared" si="2"/>
        <v>0</v>
      </c>
      <c r="K16" s="434">
        <v>76595.579999999973</v>
      </c>
      <c r="L16" s="434">
        <v>0</v>
      </c>
      <c r="M16" s="437">
        <v>-14832.12</v>
      </c>
      <c r="N16" s="434">
        <v>0</v>
      </c>
      <c r="O16" s="434">
        <v>0</v>
      </c>
      <c r="P16" s="438">
        <f t="shared" si="3"/>
        <v>506496.60299999989</v>
      </c>
      <c r="Q16" s="439"/>
      <c r="R16" s="439"/>
      <c r="S16" s="439"/>
      <c r="T16" s="439"/>
      <c r="U16" s="439"/>
    </row>
    <row r="17" spans="1:21" s="440" customFormat="1">
      <c r="A17" s="433">
        <v>359</v>
      </c>
      <c r="B17" s="434">
        <f>+'Sch. F 2017'!G17</f>
        <v>6788</v>
      </c>
      <c r="C17" s="434">
        <v>0</v>
      </c>
      <c r="D17" s="434">
        <v>0</v>
      </c>
      <c r="E17" s="434">
        <v>0</v>
      </c>
      <c r="F17" s="435">
        <v>0</v>
      </c>
      <c r="G17" s="435">
        <f t="shared" si="0"/>
        <v>6788</v>
      </c>
      <c r="H17" s="436">
        <f t="shared" si="1"/>
        <v>359</v>
      </c>
      <c r="I17" s="434">
        <f>+'Sch. F 2017'!P17</f>
        <v>5805.52</v>
      </c>
      <c r="J17" s="434">
        <f t="shared" si="2"/>
        <v>0</v>
      </c>
      <c r="K17" s="434">
        <v>101.76000000000003</v>
      </c>
      <c r="L17" s="434">
        <v>0</v>
      </c>
      <c r="M17" s="437">
        <v>0</v>
      </c>
      <c r="N17" s="434">
        <v>0</v>
      </c>
      <c r="O17" s="434">
        <v>0</v>
      </c>
      <c r="P17" s="438">
        <f t="shared" si="3"/>
        <v>5907.2800000000007</v>
      </c>
      <c r="Q17" s="439"/>
      <c r="R17" s="439"/>
      <c r="S17" s="439"/>
      <c r="T17" s="439"/>
      <c r="U17" s="439"/>
    </row>
    <row r="18" spans="1:21" s="440" customFormat="1">
      <c r="A18" s="433">
        <v>360</v>
      </c>
      <c r="B18" s="434">
        <f>+'Sch. F 2017'!G18</f>
        <v>13572</v>
      </c>
      <c r="C18" s="434">
        <v>0</v>
      </c>
      <c r="D18" s="434">
        <v>0</v>
      </c>
      <c r="E18" s="434">
        <v>0</v>
      </c>
      <c r="F18" s="435">
        <v>0</v>
      </c>
      <c r="G18" s="435">
        <f t="shared" si="0"/>
        <v>13572</v>
      </c>
      <c r="H18" s="436">
        <f t="shared" si="1"/>
        <v>360</v>
      </c>
      <c r="I18" s="434">
        <f>+'Sch. F 2017'!P18</f>
        <v>0</v>
      </c>
      <c r="J18" s="434">
        <f t="shared" si="2"/>
        <v>0</v>
      </c>
      <c r="K18" s="434">
        <v>0</v>
      </c>
      <c r="L18" s="434">
        <v>0</v>
      </c>
      <c r="M18" s="437">
        <v>0</v>
      </c>
      <c r="N18" s="434">
        <v>0</v>
      </c>
      <c r="O18" s="434">
        <v>0</v>
      </c>
      <c r="P18" s="438">
        <f t="shared" si="3"/>
        <v>0</v>
      </c>
      <c r="Q18" s="439"/>
      <c r="R18" s="439"/>
      <c r="S18" s="439"/>
      <c r="T18" s="439"/>
      <c r="U18" s="439"/>
    </row>
    <row r="19" spans="1:21" s="440" customFormat="1">
      <c r="A19" s="433">
        <v>3601</v>
      </c>
      <c r="B19" s="434">
        <f>+'Sch. F 2017'!G19</f>
        <v>56995</v>
      </c>
      <c r="C19" s="434">
        <v>0</v>
      </c>
      <c r="D19" s="434">
        <v>0</v>
      </c>
      <c r="E19" s="434">
        <v>0</v>
      </c>
      <c r="F19" s="435">
        <v>0</v>
      </c>
      <c r="G19" s="435">
        <f t="shared" si="0"/>
        <v>56995</v>
      </c>
      <c r="H19" s="436">
        <f t="shared" si="1"/>
        <v>3601</v>
      </c>
      <c r="I19" s="434">
        <f>+'Sch. F 2017'!P19</f>
        <v>32276</v>
      </c>
      <c r="J19" s="434">
        <f t="shared" si="2"/>
        <v>0</v>
      </c>
      <c r="K19" s="434">
        <v>912</v>
      </c>
      <c r="L19" s="434">
        <v>0</v>
      </c>
      <c r="M19" s="437">
        <v>0</v>
      </c>
      <c r="N19" s="434">
        <v>0</v>
      </c>
      <c r="O19" s="434">
        <v>0</v>
      </c>
      <c r="P19" s="441">
        <f t="shared" si="3"/>
        <v>33188</v>
      </c>
      <c r="Q19" s="439"/>
      <c r="R19" s="439"/>
      <c r="S19" s="439"/>
      <c r="T19" s="439"/>
      <c r="U19" s="439"/>
    </row>
    <row r="20" spans="1:21" s="440" customFormat="1">
      <c r="A20" s="433">
        <v>361</v>
      </c>
      <c r="B20" s="434">
        <f>+'Sch. F 2017'!G20</f>
        <v>1198983.1200000001</v>
      </c>
      <c r="C20" s="434">
        <v>0</v>
      </c>
      <c r="D20" s="434">
        <v>0</v>
      </c>
      <c r="E20" s="434">
        <v>0</v>
      </c>
      <c r="F20" s="435">
        <v>0</v>
      </c>
      <c r="G20" s="435">
        <f t="shared" si="0"/>
        <v>1198983.1200000001</v>
      </c>
      <c r="H20" s="436">
        <f t="shared" si="1"/>
        <v>361</v>
      </c>
      <c r="I20" s="434">
        <f>+'Sch. F 2017'!P20</f>
        <v>67457.319999999992</v>
      </c>
      <c r="J20" s="434">
        <f t="shared" si="2"/>
        <v>0</v>
      </c>
      <c r="K20" s="434">
        <v>20382.720000000005</v>
      </c>
      <c r="L20" s="434">
        <v>0</v>
      </c>
      <c r="M20" s="437">
        <v>0</v>
      </c>
      <c r="N20" s="434">
        <v>0</v>
      </c>
      <c r="O20" s="434">
        <v>0</v>
      </c>
      <c r="P20" s="441">
        <f t="shared" si="3"/>
        <v>87840.04</v>
      </c>
      <c r="Q20" s="439"/>
      <c r="R20" s="439"/>
      <c r="S20" s="439"/>
      <c r="T20" s="439"/>
      <c r="U20" s="439"/>
    </row>
    <row r="21" spans="1:21" s="440" customFormat="1">
      <c r="A21" s="433">
        <v>362</v>
      </c>
      <c r="B21" s="434">
        <f>+'Sch. F 2017'!G21</f>
        <v>12928997.76</v>
      </c>
      <c r="C21" s="434">
        <v>0</v>
      </c>
      <c r="D21" s="434">
        <v>0</v>
      </c>
      <c r="E21" s="434">
        <v>0</v>
      </c>
      <c r="F21" s="434">
        <v>0</v>
      </c>
      <c r="G21" s="435">
        <f t="shared" si="0"/>
        <v>12928997.76</v>
      </c>
      <c r="H21" s="436">
        <f t="shared" si="1"/>
        <v>362</v>
      </c>
      <c r="I21" s="434">
        <f>+'Sch. F 2017'!P21</f>
        <v>3246596.9899999998</v>
      </c>
      <c r="J21" s="434">
        <f t="shared" si="2"/>
        <v>0</v>
      </c>
      <c r="K21" s="434">
        <v>310296.00000000012</v>
      </c>
      <c r="L21" s="434">
        <v>0</v>
      </c>
      <c r="M21" s="437">
        <v>0</v>
      </c>
      <c r="N21" s="434">
        <v>0</v>
      </c>
      <c r="O21" s="434">
        <v>0</v>
      </c>
      <c r="P21" s="441">
        <f t="shared" si="3"/>
        <v>3556892.9899999998</v>
      </c>
      <c r="Q21" s="439"/>
      <c r="R21" s="439"/>
      <c r="S21" s="439"/>
      <c r="T21" s="439"/>
      <c r="U21" s="439"/>
    </row>
    <row r="22" spans="1:21" s="440" customFormat="1">
      <c r="A22" s="433">
        <v>364</v>
      </c>
      <c r="B22" s="434">
        <f>+'Sch. F 2017'!G22</f>
        <v>16160439.299999999</v>
      </c>
      <c r="C22" s="434">
        <v>518900.57000000012</v>
      </c>
      <c r="D22" s="434">
        <v>0</v>
      </c>
      <c r="E22" s="434">
        <v>-370133</v>
      </c>
      <c r="F22" s="434">
        <v>0</v>
      </c>
      <c r="G22" s="435">
        <f t="shared" si="0"/>
        <v>16309206.869999999</v>
      </c>
      <c r="H22" s="436">
        <f t="shared" si="1"/>
        <v>364</v>
      </c>
      <c r="I22" s="434">
        <f>+'Sch. F 2017'!P22</f>
        <v>8161460.4900000002</v>
      </c>
      <c r="J22" s="434">
        <f t="shared" si="2"/>
        <v>-370133</v>
      </c>
      <c r="K22" s="434">
        <v>639937.78</v>
      </c>
      <c r="L22" s="434">
        <v>0</v>
      </c>
      <c r="M22" s="437">
        <v>-115026.35</v>
      </c>
      <c r="N22" s="434">
        <v>0</v>
      </c>
      <c r="O22" s="434">
        <v>0</v>
      </c>
      <c r="P22" s="441">
        <f t="shared" si="3"/>
        <v>8316238.9199999999</v>
      </c>
      <c r="Q22" s="439"/>
      <c r="R22" s="439"/>
      <c r="S22" s="439"/>
      <c r="T22" s="439"/>
      <c r="U22" s="439"/>
    </row>
    <row r="23" spans="1:21" s="440" customFormat="1">
      <c r="A23" s="433">
        <v>365</v>
      </c>
      <c r="B23" s="434">
        <f>+'Sch. F 2017'!G23</f>
        <v>14690170</v>
      </c>
      <c r="C23" s="434">
        <v>294180</v>
      </c>
      <c r="D23" s="434">
        <v>0</v>
      </c>
      <c r="E23" s="434">
        <v>-275441</v>
      </c>
      <c r="F23" s="434">
        <v>0</v>
      </c>
      <c r="G23" s="435">
        <f t="shared" si="0"/>
        <v>14708909</v>
      </c>
      <c r="H23" s="436">
        <f t="shared" si="1"/>
        <v>365</v>
      </c>
      <c r="I23" s="434">
        <f>+'Sch. F 2017'!P23</f>
        <v>9515110.9800000004</v>
      </c>
      <c r="J23" s="434">
        <f t="shared" si="2"/>
        <v>-275441</v>
      </c>
      <c r="K23" s="434">
        <v>503965.4200000001</v>
      </c>
      <c r="L23" s="434">
        <v>2022.2</v>
      </c>
      <c r="M23" s="437">
        <v>-20442.91</v>
      </c>
      <c r="N23" s="434">
        <v>0</v>
      </c>
      <c r="O23" s="434">
        <v>0</v>
      </c>
      <c r="P23" s="441">
        <f t="shared" si="3"/>
        <v>9725214.6899999995</v>
      </c>
      <c r="Q23" s="439"/>
      <c r="R23" s="439"/>
      <c r="S23" s="439"/>
      <c r="T23" s="439"/>
      <c r="U23" s="439"/>
    </row>
    <row r="24" spans="1:21" s="440" customFormat="1">
      <c r="A24" s="433">
        <v>366</v>
      </c>
      <c r="B24" s="434">
        <f>+'Sch. F 2017'!G24</f>
        <v>6387669.8300000001</v>
      </c>
      <c r="C24" s="434">
        <v>215811.40000000008</v>
      </c>
      <c r="D24" s="434">
        <v>0</v>
      </c>
      <c r="E24" s="434">
        <v>0</v>
      </c>
      <c r="F24" s="434">
        <v>0</v>
      </c>
      <c r="G24" s="435">
        <f t="shared" si="0"/>
        <v>6603481.2300000004</v>
      </c>
      <c r="H24" s="436">
        <f t="shared" si="1"/>
        <v>366</v>
      </c>
      <c r="I24" s="434">
        <f>+'Sch. F 2017'!P24</f>
        <v>1129293.3999999999</v>
      </c>
      <c r="J24" s="434">
        <f t="shared" si="2"/>
        <v>0</v>
      </c>
      <c r="K24" s="434">
        <v>117148.60999999999</v>
      </c>
      <c r="L24" s="434">
        <v>0</v>
      </c>
      <c r="M24" s="437">
        <v>-3284.2500000000005</v>
      </c>
      <c r="N24" s="434">
        <v>0</v>
      </c>
      <c r="O24" s="434">
        <v>0</v>
      </c>
      <c r="P24" s="441">
        <f t="shared" si="3"/>
        <v>1243157.7599999998</v>
      </c>
      <c r="Q24" s="439"/>
      <c r="R24" s="439"/>
      <c r="S24" s="439"/>
      <c r="T24" s="439"/>
      <c r="U24" s="439"/>
    </row>
    <row r="25" spans="1:21" s="440" customFormat="1">
      <c r="A25" s="433">
        <v>367</v>
      </c>
      <c r="B25" s="434">
        <f>+'Sch. F 2017'!G25</f>
        <v>8803308.0399999991</v>
      </c>
      <c r="C25" s="434">
        <v>551909.65999999968</v>
      </c>
      <c r="D25" s="434">
        <v>0</v>
      </c>
      <c r="E25" s="434">
        <v>-8032</v>
      </c>
      <c r="F25" s="434">
        <v>0</v>
      </c>
      <c r="G25" s="435">
        <f t="shared" si="0"/>
        <v>9347185.6999999993</v>
      </c>
      <c r="H25" s="436">
        <f t="shared" si="1"/>
        <v>367</v>
      </c>
      <c r="I25" s="434">
        <f>+'Sch. F 2017'!P25</f>
        <v>3386367.89</v>
      </c>
      <c r="J25" s="434">
        <f t="shared" si="2"/>
        <v>-8032</v>
      </c>
      <c r="K25" s="434">
        <v>293854.3</v>
      </c>
      <c r="L25" s="434">
        <v>363.15</v>
      </c>
      <c r="M25" s="437">
        <v>-13103.86</v>
      </c>
      <c r="N25" s="434">
        <v>0</v>
      </c>
      <c r="O25" s="434">
        <v>0</v>
      </c>
      <c r="P25" s="441">
        <f t="shared" si="3"/>
        <v>3659449.48</v>
      </c>
      <c r="Q25" s="439"/>
      <c r="R25" s="439"/>
      <c r="S25" s="439"/>
      <c r="T25" s="439"/>
      <c r="U25" s="439"/>
    </row>
    <row r="26" spans="1:21" s="440" customFormat="1">
      <c r="A26" s="433">
        <v>368</v>
      </c>
      <c r="B26" s="434">
        <f>+'Sch. F 2017'!G26</f>
        <v>18625010.190000001</v>
      </c>
      <c r="C26" s="434">
        <v>150022.63999999993</v>
      </c>
      <c r="D26" s="434">
        <v>0</v>
      </c>
      <c r="E26" s="434">
        <v>-269610</v>
      </c>
      <c r="F26" s="434">
        <v>0</v>
      </c>
      <c r="G26" s="435">
        <f t="shared" si="0"/>
        <v>18505422.830000002</v>
      </c>
      <c r="H26" s="436">
        <f t="shared" si="1"/>
        <v>368</v>
      </c>
      <c r="I26" s="434">
        <f>+'Sch. F 2017'!P26</f>
        <v>13854539.230000002</v>
      </c>
      <c r="J26" s="434">
        <f t="shared" si="2"/>
        <v>-269610</v>
      </c>
      <c r="K26" s="434">
        <v>748276.33000000007</v>
      </c>
      <c r="L26" s="434">
        <v>0</v>
      </c>
      <c r="M26" s="437">
        <v>-20954.21</v>
      </c>
      <c r="N26" s="434">
        <v>0</v>
      </c>
      <c r="O26" s="434">
        <v>0</v>
      </c>
      <c r="P26" s="441">
        <f t="shared" si="3"/>
        <v>14312251.350000001</v>
      </c>
      <c r="Q26" s="439"/>
      <c r="R26" s="439"/>
      <c r="S26" s="439"/>
      <c r="T26" s="439"/>
      <c r="U26" s="439"/>
    </row>
    <row r="27" spans="1:21" s="440" customFormat="1">
      <c r="A27" s="433">
        <v>369</v>
      </c>
      <c r="B27" s="434">
        <f>+'Sch. F 2017'!G27</f>
        <v>11099852.549999999</v>
      </c>
      <c r="C27" s="434">
        <v>230966.86000000019</v>
      </c>
      <c r="D27" s="434">
        <v>0</v>
      </c>
      <c r="E27" s="434">
        <v>-86577</v>
      </c>
      <c r="F27" s="434">
        <v>0</v>
      </c>
      <c r="G27" s="435">
        <f t="shared" si="0"/>
        <v>11244242.409999998</v>
      </c>
      <c r="H27" s="436">
        <f t="shared" si="1"/>
        <v>369</v>
      </c>
      <c r="I27" s="434">
        <f>+'Sch. F 2017'!P27</f>
        <v>7481437.0699999994</v>
      </c>
      <c r="J27" s="434">
        <f t="shared" si="2"/>
        <v>-86577</v>
      </c>
      <c r="K27" s="434">
        <v>401613.38999999984</v>
      </c>
      <c r="L27" s="434">
        <v>505.55</v>
      </c>
      <c r="M27" s="437">
        <v>-19388.629999999997</v>
      </c>
      <c r="N27" s="434">
        <v>0</v>
      </c>
      <c r="O27" s="434">
        <v>0</v>
      </c>
      <c r="P27" s="441">
        <f t="shared" si="3"/>
        <v>7777590.379999999</v>
      </c>
      <c r="Q27" s="439"/>
      <c r="R27" s="439"/>
      <c r="S27" s="439"/>
      <c r="T27" s="439"/>
      <c r="U27" s="439"/>
    </row>
    <row r="28" spans="1:21" s="440" customFormat="1">
      <c r="A28" s="433">
        <v>370</v>
      </c>
      <c r="B28" s="434">
        <f>+'Sch. F 2017'!G28</f>
        <v>4172311.59</v>
      </c>
      <c r="C28" s="434">
        <v>191600.96000000008</v>
      </c>
      <c r="D28" s="434">
        <v>0</v>
      </c>
      <c r="E28" s="434">
        <v>-33591</v>
      </c>
      <c r="F28" s="434">
        <v>0</v>
      </c>
      <c r="G28" s="435">
        <f t="shared" si="0"/>
        <v>4330321.55</v>
      </c>
      <c r="H28" s="436">
        <f t="shared" si="1"/>
        <v>370</v>
      </c>
      <c r="I28" s="434">
        <f>+'Sch. F 2017'!P28</f>
        <v>2819107.68</v>
      </c>
      <c r="J28" s="434">
        <f t="shared" si="2"/>
        <v>-33591</v>
      </c>
      <c r="K28" s="434">
        <v>156947.60999999999</v>
      </c>
      <c r="L28" s="434">
        <v>0</v>
      </c>
      <c r="M28" s="437">
        <v>-2530.96</v>
      </c>
      <c r="N28" s="434">
        <v>0</v>
      </c>
      <c r="O28" s="434">
        <v>0</v>
      </c>
      <c r="P28" s="441">
        <f t="shared" si="3"/>
        <v>2939933.33</v>
      </c>
      <c r="Q28" s="439"/>
      <c r="R28" s="439"/>
      <c r="S28" s="439"/>
      <c r="T28" s="439"/>
      <c r="U28" s="439"/>
    </row>
    <row r="29" spans="1:21" s="440" customFormat="1">
      <c r="A29" s="433">
        <v>371</v>
      </c>
      <c r="B29" s="434">
        <f>+'Sch. F 2017'!G29</f>
        <v>3356880.46</v>
      </c>
      <c r="C29" s="434">
        <v>163499.15999999997</v>
      </c>
      <c r="D29" s="434">
        <v>0</v>
      </c>
      <c r="E29" s="434">
        <v>-33176</v>
      </c>
      <c r="F29" s="434">
        <v>0</v>
      </c>
      <c r="G29" s="435">
        <f t="shared" si="0"/>
        <v>3487203.62</v>
      </c>
      <c r="H29" s="436">
        <f t="shared" si="1"/>
        <v>371</v>
      </c>
      <c r="I29" s="434">
        <f>+'Sch. F 2017'!P29</f>
        <v>1773092.6800000002</v>
      </c>
      <c r="J29" s="434">
        <f t="shared" si="2"/>
        <v>-33176</v>
      </c>
      <c r="K29" s="434">
        <v>152705.23000000001</v>
      </c>
      <c r="L29" s="434">
        <v>0</v>
      </c>
      <c r="M29" s="437">
        <v>-12163.26</v>
      </c>
      <c r="N29" s="434">
        <v>0</v>
      </c>
      <c r="O29" s="434">
        <v>0</v>
      </c>
      <c r="P29" s="441">
        <f t="shared" si="3"/>
        <v>1880458.6500000001</v>
      </c>
      <c r="Q29" s="439"/>
      <c r="R29" s="439"/>
      <c r="S29" s="439"/>
      <c r="T29" s="439"/>
      <c r="U29" s="439"/>
    </row>
    <row r="30" spans="1:21" s="440" customFormat="1">
      <c r="A30" s="433">
        <v>373</v>
      </c>
      <c r="B30" s="434">
        <f>+'Sch. F 2017'!G30</f>
        <v>2273885.6700000004</v>
      </c>
      <c r="C30" s="434">
        <v>84405.339999999953</v>
      </c>
      <c r="D30" s="434">
        <v>0</v>
      </c>
      <c r="E30" s="434">
        <v>-4213</v>
      </c>
      <c r="F30" s="434">
        <v>0</v>
      </c>
      <c r="G30" s="435">
        <f t="shared" si="0"/>
        <v>2354078.0100000002</v>
      </c>
      <c r="H30" s="436">
        <f t="shared" si="1"/>
        <v>373</v>
      </c>
      <c r="I30" s="434">
        <f>+'Sch. F 2017'!P30</f>
        <v>1287965.4500000002</v>
      </c>
      <c r="J30" s="434">
        <f t="shared" si="2"/>
        <v>-4213</v>
      </c>
      <c r="K30" s="434">
        <v>114064.09999999992</v>
      </c>
      <c r="L30" s="434">
        <v>0</v>
      </c>
      <c r="M30" s="437">
        <v>-7253.3099999999995</v>
      </c>
      <c r="N30" s="434">
        <v>0</v>
      </c>
      <c r="O30" s="434">
        <v>0</v>
      </c>
      <c r="P30" s="441">
        <f t="shared" si="3"/>
        <v>1390563.24</v>
      </c>
      <c r="Q30" s="439"/>
      <c r="R30" s="439"/>
      <c r="S30" s="439"/>
      <c r="T30" s="439"/>
      <c r="U30" s="439"/>
    </row>
    <row r="31" spans="1:21" s="440" customFormat="1">
      <c r="A31" s="433">
        <v>380</v>
      </c>
      <c r="B31" s="434">
        <f>+'Sch. F 2017'!G31</f>
        <v>320005</v>
      </c>
      <c r="C31" s="434">
        <v>0</v>
      </c>
      <c r="D31" s="434">
        <v>0</v>
      </c>
      <c r="E31" s="434">
        <v>0</v>
      </c>
      <c r="F31" s="434">
        <v>0</v>
      </c>
      <c r="G31" s="435">
        <f t="shared" si="0"/>
        <v>320005</v>
      </c>
      <c r="H31" s="436">
        <f t="shared" si="1"/>
        <v>380</v>
      </c>
      <c r="I31" s="434">
        <f>+'Sch. F 2017'!P31</f>
        <v>0</v>
      </c>
      <c r="J31" s="434">
        <f t="shared" si="2"/>
        <v>0</v>
      </c>
      <c r="K31" s="434">
        <v>0</v>
      </c>
      <c r="L31" s="434">
        <v>0</v>
      </c>
      <c r="M31" s="437">
        <v>0</v>
      </c>
      <c r="N31" s="434">
        <v>0</v>
      </c>
      <c r="O31" s="434">
        <v>0</v>
      </c>
      <c r="P31" s="441">
        <f t="shared" si="3"/>
        <v>0</v>
      </c>
      <c r="Q31" s="439"/>
      <c r="R31" s="439"/>
      <c r="S31" s="439"/>
      <c r="T31" s="439"/>
      <c r="U31" s="439"/>
    </row>
    <row r="32" spans="1:21" s="440" customFormat="1">
      <c r="A32" s="433">
        <v>389</v>
      </c>
      <c r="B32" s="434">
        <f>+'Sch. F 2017'!G32</f>
        <v>864156</v>
      </c>
      <c r="C32" s="434">
        <v>0</v>
      </c>
      <c r="D32" s="434">
        <v>0</v>
      </c>
      <c r="E32" s="434">
        <v>0</v>
      </c>
      <c r="F32" s="434">
        <v>0</v>
      </c>
      <c r="G32" s="435">
        <f t="shared" si="0"/>
        <v>864156</v>
      </c>
      <c r="H32" s="436">
        <f t="shared" si="1"/>
        <v>389</v>
      </c>
      <c r="I32" s="434">
        <f>+'Sch. F 2017'!P32</f>
        <v>6704</v>
      </c>
      <c r="J32" s="434">
        <f t="shared" si="2"/>
        <v>0</v>
      </c>
      <c r="K32" s="434">
        <v>0</v>
      </c>
      <c r="L32" s="434">
        <v>0</v>
      </c>
      <c r="M32" s="437">
        <v>0</v>
      </c>
      <c r="N32" s="434">
        <v>0</v>
      </c>
      <c r="O32" s="434">
        <v>0</v>
      </c>
      <c r="P32" s="441">
        <f t="shared" si="3"/>
        <v>6704</v>
      </c>
      <c r="Q32" s="439"/>
      <c r="R32" s="439"/>
      <c r="S32" s="439"/>
      <c r="T32" s="439"/>
      <c r="U32" s="439"/>
    </row>
    <row r="33" spans="1:21" s="440" customFormat="1">
      <c r="A33" s="433">
        <v>390</v>
      </c>
      <c r="B33" s="434">
        <f>+'Sch. F 2017'!G33</f>
        <v>4010284</v>
      </c>
      <c r="C33" s="434">
        <v>0</v>
      </c>
      <c r="D33" s="434">
        <v>0</v>
      </c>
      <c r="E33" s="434">
        <v>0</v>
      </c>
      <c r="F33" s="434">
        <v>0</v>
      </c>
      <c r="G33" s="435">
        <f t="shared" si="0"/>
        <v>4010284</v>
      </c>
      <c r="H33" s="436">
        <f t="shared" si="1"/>
        <v>390</v>
      </c>
      <c r="I33" s="434">
        <f>+'Sch. F 2017'!P33</f>
        <v>849472.44</v>
      </c>
      <c r="J33" s="434">
        <f t="shared" si="2"/>
        <v>0</v>
      </c>
      <c r="K33" s="434">
        <v>80205.720000000016</v>
      </c>
      <c r="L33" s="434">
        <v>0</v>
      </c>
      <c r="M33" s="437">
        <v>0</v>
      </c>
      <c r="N33" s="434">
        <v>0</v>
      </c>
      <c r="O33" s="434">
        <v>0</v>
      </c>
      <c r="P33" s="438">
        <f t="shared" si="3"/>
        <v>929678.15999999992</v>
      </c>
      <c r="Q33" s="439"/>
      <c r="R33" s="439"/>
      <c r="S33" s="439"/>
      <c r="T33" s="439"/>
      <c r="U33" s="439"/>
    </row>
    <row r="34" spans="1:21" s="440" customFormat="1">
      <c r="A34" s="433">
        <v>3910</v>
      </c>
      <c r="B34" s="434">
        <f>+'Sch. F 2017'!G34</f>
        <v>445011.67</v>
      </c>
      <c r="C34" s="434">
        <v>0</v>
      </c>
      <c r="D34" s="434">
        <v>0</v>
      </c>
      <c r="E34" s="434">
        <v>0</v>
      </c>
      <c r="F34" s="434">
        <v>0</v>
      </c>
      <c r="G34" s="435">
        <f t="shared" si="0"/>
        <v>445011.67</v>
      </c>
      <c r="H34" s="436">
        <f t="shared" si="1"/>
        <v>3910</v>
      </c>
      <c r="I34" s="434">
        <f>+'Sch. F 2017'!P34</f>
        <v>253681.73</v>
      </c>
      <c r="J34" s="434">
        <f t="shared" si="2"/>
        <v>0</v>
      </c>
      <c r="K34" s="663">
        <v>66935.929999999993</v>
      </c>
      <c r="L34" s="434">
        <v>0</v>
      </c>
      <c r="M34" s="437">
        <v>0</v>
      </c>
      <c r="N34" s="434">
        <v>0</v>
      </c>
      <c r="O34" s="434">
        <v>0</v>
      </c>
      <c r="P34" s="441">
        <f t="shared" si="3"/>
        <v>320617.66000000003</v>
      </c>
      <c r="Q34" s="439"/>
      <c r="R34" s="439"/>
      <c r="S34" s="439"/>
      <c r="T34" s="439"/>
      <c r="U34" s="439"/>
    </row>
    <row r="35" spans="1:21" s="440" customFormat="1">
      <c r="A35" s="433">
        <v>3911</v>
      </c>
      <c r="B35" s="434">
        <f>+'Sch. F 2017'!G35</f>
        <v>10900</v>
      </c>
      <c r="C35" s="434">
        <v>0</v>
      </c>
      <c r="D35" s="434">
        <v>0</v>
      </c>
      <c r="E35" s="434">
        <v>0</v>
      </c>
      <c r="F35" s="434">
        <v>0</v>
      </c>
      <c r="G35" s="435">
        <f t="shared" si="0"/>
        <v>10900</v>
      </c>
      <c r="H35" s="436">
        <f t="shared" si="1"/>
        <v>3911</v>
      </c>
      <c r="I35" s="434">
        <f>+'Sch. F 2017'!P35</f>
        <v>4671.6100000000006</v>
      </c>
      <c r="J35" s="434">
        <f t="shared" si="2"/>
        <v>0</v>
      </c>
      <c r="K35" s="663">
        <v>1557.2</v>
      </c>
      <c r="L35" s="434">
        <v>0</v>
      </c>
      <c r="M35" s="437">
        <v>0</v>
      </c>
      <c r="N35" s="434">
        <v>0</v>
      </c>
      <c r="O35" s="434">
        <v>0</v>
      </c>
      <c r="P35" s="441">
        <f t="shared" si="3"/>
        <v>6228.81</v>
      </c>
      <c r="Q35" s="439"/>
      <c r="R35" s="439"/>
      <c r="S35" s="439"/>
      <c r="T35" s="439"/>
      <c r="U35" s="439"/>
    </row>
    <row r="36" spans="1:21" s="440" customFormat="1">
      <c r="A36" s="433">
        <v>3912</v>
      </c>
      <c r="B36" s="434">
        <f>+'Sch. F 2017'!G36</f>
        <v>276867.40000000002</v>
      </c>
      <c r="C36" s="434">
        <v>0</v>
      </c>
      <c r="D36" s="434">
        <v>0</v>
      </c>
      <c r="E36" s="434">
        <v>0</v>
      </c>
      <c r="F36" s="434">
        <v>0</v>
      </c>
      <c r="G36" s="435">
        <f t="shared" si="0"/>
        <v>276867.40000000002</v>
      </c>
      <c r="H36" s="436">
        <f t="shared" si="1"/>
        <v>3912</v>
      </c>
      <c r="I36" s="434">
        <f>+'Sch. F 2017'!P36</f>
        <v>278448</v>
      </c>
      <c r="J36" s="434">
        <f t="shared" si="2"/>
        <v>0</v>
      </c>
      <c r="K36" s="434">
        <v>3549.8800000000006</v>
      </c>
      <c r="L36" s="434">
        <v>0</v>
      </c>
      <c r="M36" s="437">
        <v>0</v>
      </c>
      <c r="N36" s="434">
        <v>0</v>
      </c>
      <c r="O36" s="434">
        <v>0</v>
      </c>
      <c r="P36" s="441">
        <f t="shared" si="3"/>
        <v>281997.88</v>
      </c>
      <c r="Q36" s="439"/>
      <c r="R36" s="439"/>
      <c r="S36" s="439"/>
      <c r="T36" s="439"/>
      <c r="U36" s="439"/>
    </row>
    <row r="37" spans="1:21" s="440" customFormat="1">
      <c r="A37" s="433">
        <v>3913</v>
      </c>
      <c r="B37" s="434">
        <f>+'Sch. F 2017'!G37</f>
        <v>6997</v>
      </c>
      <c r="C37" s="434">
        <v>0</v>
      </c>
      <c r="D37" s="434">
        <v>0</v>
      </c>
      <c r="E37" s="434">
        <v>0</v>
      </c>
      <c r="F37" s="434">
        <v>0</v>
      </c>
      <c r="G37" s="435">
        <f t="shared" si="0"/>
        <v>6997</v>
      </c>
      <c r="H37" s="436">
        <f t="shared" si="1"/>
        <v>3913</v>
      </c>
      <c r="I37" s="434">
        <f>+'Sch. F 2017'!P37</f>
        <v>6311.34</v>
      </c>
      <c r="J37" s="434">
        <f t="shared" si="2"/>
        <v>0</v>
      </c>
      <c r="K37" s="434">
        <v>228.63000000000005</v>
      </c>
      <c r="L37" s="434">
        <v>0</v>
      </c>
      <c r="M37" s="437">
        <v>0</v>
      </c>
      <c r="N37" s="434">
        <v>0</v>
      </c>
      <c r="O37" s="434">
        <v>0</v>
      </c>
      <c r="P37" s="441">
        <f t="shared" si="3"/>
        <v>6539.97</v>
      </c>
      <c r="Q37" s="439"/>
      <c r="R37" s="439"/>
      <c r="S37" s="439"/>
      <c r="T37" s="439"/>
      <c r="U37" s="439"/>
    </row>
    <row r="38" spans="1:21" s="440" customFormat="1">
      <c r="A38" s="433">
        <v>3914</v>
      </c>
      <c r="B38" s="434">
        <f>+'Sch. F 2017'!G38</f>
        <v>1270517.56</v>
      </c>
      <c r="C38" s="434">
        <f>150382.97+39392.14</f>
        <v>189775.11</v>
      </c>
      <c r="D38" s="434">
        <v>0</v>
      </c>
      <c r="E38" s="434">
        <v>0</v>
      </c>
      <c r="F38" s="434">
        <v>0</v>
      </c>
      <c r="G38" s="435">
        <f t="shared" si="0"/>
        <v>1460292.67</v>
      </c>
      <c r="H38" s="436">
        <f t="shared" si="1"/>
        <v>3914</v>
      </c>
      <c r="I38" s="434">
        <f>+'Sch. F 2017'!P38</f>
        <v>1052089.97</v>
      </c>
      <c r="J38" s="434">
        <f t="shared" si="2"/>
        <v>0</v>
      </c>
      <c r="K38" s="434">
        <v>37627.660000000003</v>
      </c>
      <c r="L38" s="434">
        <v>0</v>
      </c>
      <c r="M38" s="437">
        <v>0</v>
      </c>
      <c r="N38" s="434">
        <v>0</v>
      </c>
      <c r="O38" s="434">
        <v>0</v>
      </c>
      <c r="P38" s="441">
        <f t="shared" si="3"/>
        <v>1089717.6299999999</v>
      </c>
      <c r="Q38" s="439"/>
      <c r="R38" s="439"/>
      <c r="S38" s="439"/>
      <c r="T38" s="439"/>
      <c r="U38" s="439"/>
    </row>
    <row r="39" spans="1:21" s="440" customFormat="1">
      <c r="A39" s="433">
        <v>3921</v>
      </c>
      <c r="B39" s="434">
        <f>+'Sch. F 2017'!G39</f>
        <v>413923.6</v>
      </c>
      <c r="C39" s="434">
        <v>0</v>
      </c>
      <c r="D39" s="434">
        <v>0</v>
      </c>
      <c r="E39" s="434">
        <v>0</v>
      </c>
      <c r="F39" s="434">
        <v>0</v>
      </c>
      <c r="G39" s="435">
        <f t="shared" si="0"/>
        <v>413923.6</v>
      </c>
      <c r="H39" s="436">
        <f t="shared" si="1"/>
        <v>3921</v>
      </c>
      <c r="I39" s="434">
        <f>+'Sch. F 2017'!P39</f>
        <v>24424.57</v>
      </c>
      <c r="J39" s="434">
        <f t="shared" si="2"/>
        <v>0</v>
      </c>
      <c r="K39" s="434">
        <v>6082.44</v>
      </c>
      <c r="L39" s="434">
        <v>0</v>
      </c>
      <c r="M39" s="437">
        <v>0</v>
      </c>
      <c r="N39" s="434">
        <v>0</v>
      </c>
      <c r="O39" s="434">
        <v>0</v>
      </c>
      <c r="P39" s="441">
        <f t="shared" si="3"/>
        <v>30507.01</v>
      </c>
      <c r="Q39" s="439"/>
      <c r="R39" s="439"/>
      <c r="S39" s="439"/>
      <c r="T39" s="439"/>
      <c r="U39" s="439"/>
    </row>
    <row r="40" spans="1:21" s="440" customFormat="1">
      <c r="A40" s="433">
        <v>3922</v>
      </c>
      <c r="B40" s="434">
        <f>+'Sch. F 2017'!G40</f>
        <v>1090276.06</v>
      </c>
      <c r="C40" s="434">
        <v>0</v>
      </c>
      <c r="D40" s="434">
        <f>1060+25994.87</f>
        <v>27054.87</v>
      </c>
      <c r="E40" s="434">
        <v>-112446</v>
      </c>
      <c r="F40" s="435">
        <v>-395</v>
      </c>
      <c r="G40" s="435">
        <f t="shared" si="0"/>
        <v>1004489.9300000002</v>
      </c>
      <c r="H40" s="436">
        <f t="shared" si="1"/>
        <v>3922</v>
      </c>
      <c r="I40" s="434">
        <f>+'Sch. F 2017'!P40</f>
        <v>669945.62</v>
      </c>
      <c r="J40" s="434">
        <f t="shared" si="2"/>
        <v>-112446</v>
      </c>
      <c r="K40" s="434">
        <f>76363.02-O40</f>
        <v>76363.02</v>
      </c>
      <c r="L40" s="434">
        <v>16095</v>
      </c>
      <c r="M40" s="437">
        <v>0</v>
      </c>
      <c r="N40" s="434">
        <v>25994.87</v>
      </c>
      <c r="O40" s="434">
        <v>0</v>
      </c>
      <c r="P40" s="441">
        <f t="shared" si="3"/>
        <v>675952.51</v>
      </c>
      <c r="Q40" s="439"/>
      <c r="R40" s="439"/>
      <c r="S40" s="439"/>
      <c r="T40" s="439"/>
      <c r="U40" s="439"/>
    </row>
    <row r="41" spans="1:21" s="440" customFormat="1">
      <c r="A41" s="433">
        <v>3923</v>
      </c>
      <c r="B41" s="434">
        <f>+'Sch. F 2017'!G41</f>
        <v>3629916.54</v>
      </c>
      <c r="C41" s="434">
        <v>0</v>
      </c>
      <c r="D41" s="434">
        <v>0</v>
      </c>
      <c r="E41" s="434">
        <v>0</v>
      </c>
      <c r="F41" s="435">
        <v>0</v>
      </c>
      <c r="G41" s="435">
        <f t="shared" si="0"/>
        <v>3629916.54</v>
      </c>
      <c r="H41" s="436">
        <f t="shared" si="1"/>
        <v>3923</v>
      </c>
      <c r="I41" s="434">
        <f>+'Sch. F 2017'!P41</f>
        <v>2303782.25</v>
      </c>
      <c r="J41" s="434">
        <f t="shared" si="2"/>
        <v>0</v>
      </c>
      <c r="K41" s="434">
        <v>237867.36000000002</v>
      </c>
      <c r="L41" s="434">
        <v>0</v>
      </c>
      <c r="M41" s="437">
        <v>0</v>
      </c>
      <c r="N41" s="434">
        <v>0</v>
      </c>
      <c r="O41" s="434">
        <v>0</v>
      </c>
      <c r="P41" s="441">
        <f t="shared" si="3"/>
        <v>2541649.61</v>
      </c>
      <c r="Q41" s="439"/>
      <c r="R41" s="439"/>
      <c r="S41" s="439"/>
      <c r="T41" s="439"/>
      <c r="U41" s="439"/>
    </row>
    <row r="42" spans="1:21" s="440" customFormat="1">
      <c r="A42" s="442">
        <v>3924</v>
      </c>
      <c r="B42" s="434">
        <f>+'Sch. F 2017'!G42</f>
        <v>144084</v>
      </c>
      <c r="C42" s="434">
        <v>0</v>
      </c>
      <c r="D42" s="434">
        <v>0</v>
      </c>
      <c r="E42" s="434">
        <v>0</v>
      </c>
      <c r="F42" s="435">
        <v>0</v>
      </c>
      <c r="G42" s="435">
        <f t="shared" si="0"/>
        <v>144084</v>
      </c>
      <c r="H42" s="436">
        <f t="shared" si="1"/>
        <v>3924</v>
      </c>
      <c r="I42" s="434">
        <f>+'Sch. F 2017'!P42</f>
        <v>78979.05</v>
      </c>
      <c r="J42" s="434">
        <f t="shared" si="2"/>
        <v>0</v>
      </c>
      <c r="K42" s="434">
        <v>5969.4000000000015</v>
      </c>
      <c r="L42" s="434">
        <v>0</v>
      </c>
      <c r="M42" s="437">
        <v>0</v>
      </c>
      <c r="N42" s="434">
        <v>0</v>
      </c>
      <c r="O42" s="434">
        <v>0</v>
      </c>
      <c r="P42" s="441">
        <f t="shared" si="3"/>
        <v>84948.450000000012</v>
      </c>
      <c r="Q42" s="439"/>
      <c r="R42" s="439"/>
      <c r="S42" s="439"/>
      <c r="T42" s="439"/>
      <c r="U42" s="439"/>
    </row>
    <row r="43" spans="1:21" s="440" customFormat="1">
      <c r="A43" s="442">
        <v>393</v>
      </c>
      <c r="B43" s="434">
        <f>+'Sch. F 2017'!G43</f>
        <v>149712</v>
      </c>
      <c r="C43" s="434">
        <v>0</v>
      </c>
      <c r="D43" s="434">
        <v>0</v>
      </c>
      <c r="E43" s="434">
        <v>0</v>
      </c>
      <c r="F43" s="435">
        <v>0</v>
      </c>
      <c r="G43" s="435">
        <f t="shared" si="0"/>
        <v>149712</v>
      </c>
      <c r="H43" s="436">
        <f t="shared" si="1"/>
        <v>393</v>
      </c>
      <c r="I43" s="434">
        <f>+'Sch. F 2017'!P43</f>
        <v>146210.51999999999</v>
      </c>
      <c r="J43" s="434">
        <f t="shared" si="2"/>
        <v>0</v>
      </c>
      <c r="K43" s="434">
        <v>4749.76</v>
      </c>
      <c r="L43" s="434">
        <v>0</v>
      </c>
      <c r="M43" s="437">
        <v>0</v>
      </c>
      <c r="N43" s="434">
        <v>0</v>
      </c>
      <c r="O43" s="434">
        <v>0</v>
      </c>
      <c r="P43" s="441">
        <f t="shared" si="3"/>
        <v>150960.28</v>
      </c>
      <c r="Q43" s="439"/>
      <c r="R43" s="439"/>
      <c r="S43" s="439"/>
      <c r="T43" s="439"/>
      <c r="U43" s="439"/>
    </row>
    <row r="44" spans="1:21" s="440" customFormat="1">
      <c r="A44" s="443">
        <v>394</v>
      </c>
      <c r="B44" s="434">
        <f>+'Sch. F 2017'!G44</f>
        <v>435299.99</v>
      </c>
      <c r="C44" s="434">
        <v>3747.74</v>
      </c>
      <c r="D44" s="434">
        <v>0</v>
      </c>
      <c r="E44" s="434">
        <v>0</v>
      </c>
      <c r="F44" s="435">
        <v>0</v>
      </c>
      <c r="G44" s="435">
        <f t="shared" si="0"/>
        <v>439047.73</v>
      </c>
      <c r="H44" s="436">
        <f t="shared" si="1"/>
        <v>394</v>
      </c>
      <c r="I44" s="434">
        <f>+'Sch. F 2017'!P44</f>
        <v>305167.81</v>
      </c>
      <c r="J44" s="434">
        <f t="shared" si="2"/>
        <v>0</v>
      </c>
      <c r="K44" s="434">
        <v>37724.780000000006</v>
      </c>
      <c r="L44" s="434">
        <v>0</v>
      </c>
      <c r="M44" s="437">
        <v>0</v>
      </c>
      <c r="N44" s="434">
        <v>0</v>
      </c>
      <c r="O44" s="434">
        <v>0</v>
      </c>
      <c r="P44" s="441">
        <f t="shared" si="3"/>
        <v>342892.59</v>
      </c>
      <c r="Q44" s="439"/>
      <c r="R44" s="439"/>
      <c r="S44" s="439"/>
      <c r="T44" s="439"/>
      <c r="U44" s="439"/>
    </row>
    <row r="45" spans="1:21">
      <c r="A45" s="433">
        <v>395</v>
      </c>
      <c r="B45" s="434">
        <f>+'Sch. F 2017'!G45</f>
        <v>119512</v>
      </c>
      <c r="C45" s="434">
        <v>0</v>
      </c>
      <c r="D45" s="434">
        <v>0</v>
      </c>
      <c r="E45" s="434">
        <v>0</v>
      </c>
      <c r="F45" s="435">
        <v>0</v>
      </c>
      <c r="G45" s="435">
        <f t="shared" si="0"/>
        <v>119512</v>
      </c>
      <c r="H45" s="436">
        <f t="shared" si="1"/>
        <v>395</v>
      </c>
      <c r="I45" s="434">
        <f>+'Sch. F 2017'!P45</f>
        <v>111954.01</v>
      </c>
      <c r="J45" s="434">
        <f t="shared" si="2"/>
        <v>0</v>
      </c>
      <c r="K45" s="434">
        <v>6645.5</v>
      </c>
      <c r="L45" s="434">
        <v>0</v>
      </c>
      <c r="M45" s="437">
        <v>0</v>
      </c>
      <c r="N45" s="434">
        <v>0</v>
      </c>
      <c r="O45" s="434">
        <v>0</v>
      </c>
      <c r="P45" s="441">
        <f t="shared" si="3"/>
        <v>118599.51</v>
      </c>
      <c r="Q45" s="439"/>
      <c r="R45" s="439"/>
      <c r="S45" s="439"/>
      <c r="T45" s="439"/>
      <c r="U45" s="439"/>
    </row>
    <row r="46" spans="1:21">
      <c r="A46" s="433">
        <v>396</v>
      </c>
      <c r="B46" s="434">
        <f>+'Sch. F 2017'!G46</f>
        <v>884704.44000000006</v>
      </c>
      <c r="C46" s="434">
        <v>0</v>
      </c>
      <c r="D46" s="434">
        <v>0</v>
      </c>
      <c r="E46" s="434">
        <v>0</v>
      </c>
      <c r="F46" s="435">
        <v>0</v>
      </c>
      <c r="G46" s="435">
        <f t="shared" si="0"/>
        <v>884704.44000000006</v>
      </c>
      <c r="H46" s="436">
        <f t="shared" si="1"/>
        <v>396</v>
      </c>
      <c r="I46" s="434">
        <f>+'Sch. F 2017'!P46</f>
        <v>257897.77000000002</v>
      </c>
      <c r="J46" s="434">
        <f t="shared" si="2"/>
        <v>0</v>
      </c>
      <c r="K46" s="434">
        <v>38927.040000000001</v>
      </c>
      <c r="L46" s="434">
        <v>0</v>
      </c>
      <c r="M46" s="437">
        <v>0</v>
      </c>
      <c r="N46" s="434">
        <v>0</v>
      </c>
      <c r="O46" s="434">
        <v>0</v>
      </c>
      <c r="P46" s="441">
        <f t="shared" si="3"/>
        <v>296824.81</v>
      </c>
      <c r="Q46" s="439"/>
      <c r="R46" s="439"/>
      <c r="S46" s="439"/>
      <c r="T46" s="439"/>
      <c r="U46" s="439"/>
    </row>
    <row r="47" spans="1:21">
      <c r="A47" s="433">
        <v>397</v>
      </c>
      <c r="B47" s="434">
        <f>+'Sch. F 2017'!G47</f>
        <v>366628</v>
      </c>
      <c r="C47" s="434">
        <v>0</v>
      </c>
      <c r="D47" s="434">
        <v>0</v>
      </c>
      <c r="E47" s="434">
        <v>0</v>
      </c>
      <c r="F47" s="435">
        <v>0</v>
      </c>
      <c r="G47" s="444">
        <f t="shared" si="0"/>
        <v>366628</v>
      </c>
      <c r="H47" s="436">
        <f t="shared" si="1"/>
        <v>397</v>
      </c>
      <c r="I47" s="434">
        <f>+'Sch. F 2017'!P47</f>
        <v>336341.62</v>
      </c>
      <c r="J47" s="434">
        <f t="shared" si="2"/>
        <v>0</v>
      </c>
      <c r="K47" s="434">
        <v>30251.420000000002</v>
      </c>
      <c r="L47" s="434">
        <v>0</v>
      </c>
      <c r="M47" s="437">
        <v>0</v>
      </c>
      <c r="N47" s="434">
        <v>0</v>
      </c>
      <c r="O47" s="434">
        <v>0</v>
      </c>
      <c r="P47" s="445">
        <f t="shared" si="3"/>
        <v>366593.04</v>
      </c>
      <c r="Q47" s="439"/>
      <c r="R47" s="439"/>
      <c r="S47" s="439"/>
      <c r="T47" s="439"/>
      <c r="U47" s="439"/>
    </row>
    <row r="48" spans="1:21" s="440" customFormat="1">
      <c r="A48" s="433">
        <v>398</v>
      </c>
      <c r="B48" s="434">
        <f>+'Sch. F 2017'!G48</f>
        <v>56868</v>
      </c>
      <c r="C48" s="434">
        <v>0</v>
      </c>
      <c r="D48" s="434">
        <v>0</v>
      </c>
      <c r="E48" s="434">
        <v>0</v>
      </c>
      <c r="F48" s="435">
        <v>0</v>
      </c>
      <c r="G48" s="435">
        <f t="shared" si="0"/>
        <v>56868</v>
      </c>
      <c r="H48" s="436">
        <f t="shared" si="1"/>
        <v>398</v>
      </c>
      <c r="I48" s="434">
        <f>+'Sch. F 2017'!P48</f>
        <v>39077.42</v>
      </c>
      <c r="J48" s="434">
        <f t="shared" si="2"/>
        <v>0</v>
      </c>
      <c r="K48" s="434">
        <v>5789.9199999999973</v>
      </c>
      <c r="L48" s="434">
        <v>0</v>
      </c>
      <c r="M48" s="437">
        <v>0</v>
      </c>
      <c r="N48" s="434">
        <v>0</v>
      </c>
      <c r="O48" s="434">
        <v>0</v>
      </c>
      <c r="P48" s="441">
        <f t="shared" si="3"/>
        <v>44867.34</v>
      </c>
      <c r="Q48" s="439"/>
      <c r="R48" s="439"/>
      <c r="S48" s="439"/>
      <c r="T48" s="439"/>
      <c r="U48" s="439"/>
    </row>
    <row r="49" spans="1:21" s="440" customFormat="1">
      <c r="A49" s="433">
        <v>399</v>
      </c>
      <c r="B49" s="434">
        <f>+'Sch. F 2017'!G49</f>
        <v>10000</v>
      </c>
      <c r="C49" s="434">
        <v>0</v>
      </c>
      <c r="D49" s="434">
        <v>0</v>
      </c>
      <c r="E49" s="434">
        <v>0</v>
      </c>
      <c r="F49" s="435">
        <v>0</v>
      </c>
      <c r="G49" s="435">
        <f t="shared" si="0"/>
        <v>10000</v>
      </c>
      <c r="H49" s="436">
        <f t="shared" si="1"/>
        <v>399</v>
      </c>
      <c r="I49" s="434">
        <f>+'Sch. F 2017'!P49</f>
        <v>10000</v>
      </c>
      <c r="J49" s="434">
        <f t="shared" si="2"/>
        <v>0</v>
      </c>
      <c r="K49" s="434">
        <v>0</v>
      </c>
      <c r="L49" s="434">
        <v>0</v>
      </c>
      <c r="M49" s="437">
        <v>0</v>
      </c>
      <c r="N49" s="434">
        <v>0</v>
      </c>
      <c r="O49" s="434">
        <v>0</v>
      </c>
      <c r="P49" s="441">
        <f t="shared" si="3"/>
        <v>10000</v>
      </c>
      <c r="Q49" s="439"/>
      <c r="R49" s="439"/>
      <c r="S49" s="439"/>
      <c r="T49" s="439"/>
      <c r="U49" s="439"/>
    </row>
    <row r="50" spans="1:21" ht="13.5" thickBot="1">
      <c r="A50" s="446" t="s">
        <v>98</v>
      </c>
      <c r="B50" s="447">
        <f t="shared" ref="B50:G50" si="4">SUM(B9:B49)</f>
        <v>131522334.74000001</v>
      </c>
      <c r="C50" s="447">
        <f t="shared" si="4"/>
        <v>3033047.49</v>
      </c>
      <c r="D50" s="447">
        <f t="shared" si="4"/>
        <v>27054.87</v>
      </c>
      <c r="E50" s="447">
        <f t="shared" si="4"/>
        <v>-1193219</v>
      </c>
      <c r="F50" s="447">
        <f t="shared" si="4"/>
        <v>-395</v>
      </c>
      <c r="G50" s="447">
        <f t="shared" si="4"/>
        <v>133388823.10000002</v>
      </c>
      <c r="H50" s="448"/>
      <c r="I50" s="447">
        <f t="shared" ref="I50:P50" si="5">SUM(I9:I49)</f>
        <v>62377230.383000001</v>
      </c>
      <c r="J50" s="447">
        <f t="shared" si="5"/>
        <v>-1193219</v>
      </c>
      <c r="K50" s="447">
        <f>SUM(K9:K49)</f>
        <v>4571248.1000000006</v>
      </c>
      <c r="L50" s="447">
        <f t="shared" si="5"/>
        <v>18985.900000000001</v>
      </c>
      <c r="M50" s="447">
        <f>SUM(M9:M49)</f>
        <v>-243812.04000000004</v>
      </c>
      <c r="N50" s="447">
        <f t="shared" si="5"/>
        <v>25994.87</v>
      </c>
      <c r="O50" s="447">
        <f t="shared" si="5"/>
        <v>0</v>
      </c>
      <c r="P50" s="449">
        <f t="shared" si="5"/>
        <v>65556428.213</v>
      </c>
      <c r="Q50" s="420"/>
    </row>
    <row r="51" spans="1:21" ht="13.5" thickTop="1">
      <c r="B51" s="451"/>
      <c r="E51" s="451"/>
      <c r="H51" s="412"/>
      <c r="Q51" s="451"/>
      <c r="R51" s="452"/>
      <c r="S51" s="452"/>
    </row>
    <row r="52" spans="1:21">
      <c r="E52" s="451"/>
      <c r="H52" s="412"/>
      <c r="N52" s="451"/>
      <c r="Q52" s="451"/>
      <c r="R52" s="452"/>
      <c r="S52" s="452"/>
    </row>
  </sheetData>
  <mergeCells count="5">
    <mergeCell ref="A1:P1"/>
    <mergeCell ref="A2:P2"/>
    <mergeCell ref="A3:P3"/>
    <mergeCell ref="A4:P4"/>
    <mergeCell ref="A6:G6"/>
  </mergeCells>
  <printOptions horizontalCentered="1"/>
  <pageMargins left="0.5" right="0.5" top="0.5" bottom="0.75" header="0.3" footer="0.3"/>
  <pageSetup scale="7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00B050"/>
    <pageSetUpPr fitToPage="1"/>
  </sheetPr>
  <dimension ref="A1:R85"/>
  <sheetViews>
    <sheetView topLeftCell="A12" workbookViewId="0">
      <selection activeCell="E15" sqref="E15"/>
    </sheetView>
  </sheetViews>
  <sheetFormatPr defaultColWidth="8.7109375" defaultRowHeight="15"/>
  <cols>
    <col min="1" max="1" width="11.42578125" style="476" customWidth="1"/>
    <col min="2" max="2" width="13.7109375" style="476" bestFit="1" customWidth="1"/>
    <col min="3" max="3" width="13.28515625" style="478" bestFit="1" customWidth="1"/>
    <col min="4" max="4" width="10.85546875" style="476" bestFit="1" customWidth="1"/>
    <col min="5" max="5" width="14.28515625" style="480" bestFit="1" customWidth="1"/>
    <col min="6" max="6" width="61.7109375" style="482" customWidth="1"/>
    <col min="7" max="7" width="18.28515625" style="476" bestFit="1" customWidth="1"/>
    <col min="8" max="8" width="10.7109375" style="476" bestFit="1" customWidth="1"/>
    <col min="9" max="9" width="9.42578125" style="476" bestFit="1" customWidth="1"/>
    <col min="10" max="11" width="10.140625" style="476" bestFit="1" customWidth="1"/>
    <col min="12" max="16384" width="8.7109375" style="476"/>
  </cols>
  <sheetData>
    <row r="1" spans="1:18" s="457" customFormat="1" ht="18">
      <c r="A1" s="766" t="s">
        <v>105</v>
      </c>
      <c r="B1" s="766"/>
      <c r="C1" s="766"/>
      <c r="D1" s="766"/>
      <c r="E1" s="766"/>
      <c r="F1" s="766"/>
      <c r="G1" s="456"/>
      <c r="H1" s="456"/>
      <c r="I1" s="456"/>
      <c r="J1" s="456"/>
      <c r="K1" s="456"/>
      <c r="L1" s="456"/>
      <c r="M1" s="456"/>
      <c r="N1" s="456"/>
      <c r="O1" s="456"/>
      <c r="P1" s="456"/>
      <c r="Q1" s="456"/>
      <c r="R1" s="456"/>
    </row>
    <row r="2" spans="1:18" s="459" customFormat="1">
      <c r="A2" s="767" t="s">
        <v>271</v>
      </c>
      <c r="B2" s="767"/>
      <c r="C2" s="767"/>
      <c r="D2" s="767"/>
      <c r="E2" s="767"/>
      <c r="F2" s="767"/>
      <c r="G2" s="458"/>
      <c r="H2" s="458"/>
      <c r="I2" s="458"/>
      <c r="J2" s="458"/>
      <c r="K2" s="458"/>
      <c r="L2" s="458"/>
      <c r="M2" s="458"/>
      <c r="N2" s="458"/>
      <c r="O2" s="458"/>
      <c r="P2" s="458"/>
      <c r="Q2" s="458"/>
      <c r="R2" s="458"/>
    </row>
    <row r="3" spans="1:18" s="459" customFormat="1" ht="15.75">
      <c r="A3" s="768" t="s">
        <v>123</v>
      </c>
      <c r="B3" s="768"/>
      <c r="C3" s="768"/>
      <c r="D3" s="768"/>
      <c r="E3" s="768"/>
      <c r="F3" s="768"/>
      <c r="G3" s="460"/>
      <c r="H3" s="460"/>
      <c r="I3" s="460"/>
      <c r="J3" s="460"/>
      <c r="K3" s="460"/>
      <c r="L3" s="460"/>
      <c r="M3" s="460"/>
      <c r="N3" s="460"/>
      <c r="O3" s="460"/>
      <c r="P3" s="460"/>
      <c r="Q3" s="460"/>
      <c r="R3" s="460"/>
    </row>
    <row r="4" spans="1:18" s="464" customFormat="1" ht="13.5" thickBot="1">
      <c r="A4" s="461"/>
      <c r="B4" s="462"/>
      <c r="C4" s="462"/>
      <c r="D4" s="462"/>
      <c r="E4" s="463"/>
      <c r="F4" s="462"/>
      <c r="G4" s="462"/>
      <c r="H4" s="462"/>
      <c r="I4" s="462"/>
      <c r="J4" s="462"/>
      <c r="K4" s="462"/>
      <c r="L4" s="462"/>
      <c r="M4" s="462"/>
      <c r="N4" s="462"/>
      <c r="O4" s="462"/>
      <c r="P4" s="462"/>
      <c r="Q4" s="462"/>
      <c r="R4" s="462"/>
    </row>
    <row r="5" spans="1:18" s="469" customFormat="1" ht="12.75">
      <c r="A5" s="465" t="s">
        <v>124</v>
      </c>
      <c r="B5" s="466" t="s">
        <v>125</v>
      </c>
      <c r="C5" s="466" t="s">
        <v>126</v>
      </c>
      <c r="D5" s="466" t="s">
        <v>127</v>
      </c>
      <c r="E5" s="467" t="s">
        <v>128</v>
      </c>
      <c r="F5" s="468" t="s">
        <v>129</v>
      </c>
    </row>
    <row r="6" spans="1:18">
      <c r="A6" s="470" t="s">
        <v>130</v>
      </c>
      <c r="B6" s="471" t="s">
        <v>131</v>
      </c>
      <c r="C6" s="472" t="s">
        <v>116</v>
      </c>
      <c r="D6" s="473">
        <v>3911</v>
      </c>
      <c r="E6" s="474">
        <f>+'Sch. F 2018'!C35</f>
        <v>0</v>
      </c>
      <c r="F6" s="475" t="s">
        <v>132</v>
      </c>
    </row>
    <row r="7" spans="1:18" ht="26.25">
      <c r="A7" s="470" t="s">
        <v>130</v>
      </c>
      <c r="B7" s="471" t="s">
        <v>131</v>
      </c>
      <c r="C7" s="472" t="s">
        <v>116</v>
      </c>
      <c r="D7" s="473">
        <v>3914</v>
      </c>
      <c r="E7" s="474">
        <f>+'Sch. F 2018'!C38</f>
        <v>189775.11</v>
      </c>
      <c r="F7" s="475" t="s">
        <v>133</v>
      </c>
    </row>
    <row r="8" spans="1:18" ht="16.350000000000001" customHeight="1">
      <c r="A8" s="470" t="s">
        <v>130</v>
      </c>
      <c r="B8" s="471" t="s">
        <v>131</v>
      </c>
      <c r="C8" s="471" t="s">
        <v>118</v>
      </c>
      <c r="D8" s="473">
        <f>'Sch. F 2018'!A23</f>
        <v>365</v>
      </c>
      <c r="E8" s="474">
        <f>+'Sch. F 2018'!E23</f>
        <v>-275441</v>
      </c>
      <c r="F8" s="475" t="s">
        <v>134</v>
      </c>
      <c r="H8" s="477"/>
    </row>
    <row r="9" spans="1:18" ht="26.25">
      <c r="A9" s="470" t="s">
        <v>130</v>
      </c>
      <c r="B9" s="471" t="s">
        <v>131</v>
      </c>
      <c r="C9" s="471" t="s">
        <v>118</v>
      </c>
      <c r="D9" s="473">
        <f>'Sch. F 2018'!A28</f>
        <v>370</v>
      </c>
      <c r="E9" s="474">
        <f>+'Sch. F 2018'!E28</f>
        <v>-33591</v>
      </c>
      <c r="F9" s="475" t="s">
        <v>135</v>
      </c>
    </row>
    <row r="10" spans="1:18" ht="26.25">
      <c r="A10" s="470" t="s">
        <v>130</v>
      </c>
      <c r="B10" s="471" t="s">
        <v>131</v>
      </c>
      <c r="C10" s="471" t="s">
        <v>118</v>
      </c>
      <c r="D10" s="473">
        <f>'Sch. F 2018'!A40</f>
        <v>3922</v>
      </c>
      <c r="E10" s="474">
        <f>+'Sch. F 2018'!E40</f>
        <v>-112446</v>
      </c>
      <c r="F10" s="475" t="s">
        <v>136</v>
      </c>
      <c r="H10" s="478"/>
      <c r="J10" s="478"/>
      <c r="K10" s="478"/>
    </row>
    <row r="11" spans="1:18" ht="16.350000000000001" customHeight="1">
      <c r="A11" s="470" t="s">
        <v>130</v>
      </c>
      <c r="B11" s="472" t="s">
        <v>137</v>
      </c>
      <c r="C11" s="471" t="s">
        <v>118</v>
      </c>
      <c r="D11" s="473">
        <v>365</v>
      </c>
      <c r="E11" s="474">
        <f>+'Sch. F 2018'!J23</f>
        <v>-275441</v>
      </c>
      <c r="F11" s="475" t="s">
        <v>134</v>
      </c>
      <c r="H11" s="477"/>
    </row>
    <row r="12" spans="1:18" ht="26.25">
      <c r="A12" s="470" t="s">
        <v>130</v>
      </c>
      <c r="B12" s="472" t="s">
        <v>137</v>
      </c>
      <c r="C12" s="471" t="s">
        <v>118</v>
      </c>
      <c r="D12" s="473">
        <f>'Sch. F 2018'!A28</f>
        <v>370</v>
      </c>
      <c r="E12" s="474">
        <f>+'Sch. F 2018'!J28</f>
        <v>-33591</v>
      </c>
      <c r="F12" s="475" t="s">
        <v>135</v>
      </c>
      <c r="H12" s="477"/>
    </row>
    <row r="13" spans="1:18" ht="26.25">
      <c r="A13" s="470" t="s">
        <v>130</v>
      </c>
      <c r="B13" s="472" t="s">
        <v>137</v>
      </c>
      <c r="C13" s="471" t="s">
        <v>118</v>
      </c>
      <c r="D13" s="473">
        <v>3922</v>
      </c>
      <c r="E13" s="474">
        <f>+'Sch. F 2018'!J40</f>
        <v>-112446</v>
      </c>
      <c r="F13" s="475" t="s">
        <v>136</v>
      </c>
      <c r="H13" s="477"/>
    </row>
    <row r="14" spans="1:18" s="533" customFormat="1" ht="39">
      <c r="A14" s="730" t="s">
        <v>130</v>
      </c>
      <c r="B14" s="731" t="s">
        <v>137</v>
      </c>
      <c r="C14" s="732" t="s">
        <v>120</v>
      </c>
      <c r="D14" s="733">
        <v>3910</v>
      </c>
      <c r="E14" s="734">
        <f>'Sch. F 2018'!K34</f>
        <v>66935.929999999993</v>
      </c>
      <c r="F14" s="735" t="s">
        <v>138</v>
      </c>
      <c r="G14" s="532"/>
    </row>
    <row r="15" spans="1:18" s="533" customFormat="1" ht="26.25">
      <c r="A15" s="730" t="s">
        <v>130</v>
      </c>
      <c r="B15" s="736" t="s">
        <v>137</v>
      </c>
      <c r="C15" s="736" t="s">
        <v>120</v>
      </c>
      <c r="D15" s="737">
        <v>3911</v>
      </c>
      <c r="E15" s="692">
        <f>'Sch. F 2018'!K35</f>
        <v>1557.2</v>
      </c>
      <c r="F15" s="738" t="s">
        <v>139</v>
      </c>
      <c r="G15" s="532"/>
    </row>
    <row r="16" spans="1:18" s="533" customFormat="1" ht="27" thickBot="1">
      <c r="A16" s="626" t="s">
        <v>130</v>
      </c>
      <c r="B16" s="627" t="s">
        <v>137</v>
      </c>
      <c r="C16" s="628" t="s">
        <v>120</v>
      </c>
      <c r="D16" s="629">
        <v>3914</v>
      </c>
      <c r="E16" s="630">
        <f>'Sch. F 2018'!K38</f>
        <v>37627.660000000003</v>
      </c>
      <c r="F16" s="631" t="s">
        <v>140</v>
      </c>
      <c r="G16" s="532"/>
    </row>
    <row r="17" spans="1:6">
      <c r="A17" s="479"/>
      <c r="C17" s="476"/>
      <c r="F17" s="481"/>
    </row>
    <row r="18" spans="1:6">
      <c r="A18" s="479" t="s">
        <v>141</v>
      </c>
    </row>
    <row r="19" spans="1:6" ht="15.75" thickBot="1">
      <c r="A19" s="479"/>
      <c r="E19" s="476"/>
      <c r="F19" s="476"/>
    </row>
    <row r="20" spans="1:6" ht="12.75">
      <c r="B20" s="483" t="s">
        <v>109</v>
      </c>
      <c r="C20" s="485"/>
      <c r="E20" s="476"/>
      <c r="F20" s="476"/>
    </row>
    <row r="21" spans="1:6" ht="12.75">
      <c r="B21" s="486" t="s">
        <v>114</v>
      </c>
      <c r="C21" s="487" t="s">
        <v>118</v>
      </c>
      <c r="E21" s="476"/>
      <c r="F21" s="476"/>
    </row>
    <row r="22" spans="1:6">
      <c r="B22" s="488">
        <v>364</v>
      </c>
      <c r="C22" s="740">
        <v>-341422.65</v>
      </c>
      <c r="E22" s="476"/>
      <c r="F22" s="476"/>
    </row>
    <row r="23" spans="1:6">
      <c r="B23" s="489">
        <v>365</v>
      </c>
      <c r="C23" s="739">
        <f>-264538.76-21412.64+19674</f>
        <v>-266277.40000000002</v>
      </c>
      <c r="E23" s="476"/>
      <c r="F23" s="476"/>
    </row>
    <row r="24" spans="1:6">
      <c r="B24" s="489">
        <v>368</v>
      </c>
      <c r="C24" s="739">
        <v>-234325.97</v>
      </c>
      <c r="E24" s="476"/>
      <c r="F24" s="476"/>
    </row>
    <row r="25" spans="1:6">
      <c r="B25" s="489">
        <v>369</v>
      </c>
      <c r="C25" s="739">
        <v>-19674</v>
      </c>
      <c r="E25" s="476"/>
      <c r="F25" s="476"/>
    </row>
    <row r="26" spans="1:6">
      <c r="B26" s="491">
        <v>370</v>
      </c>
      <c r="C26" s="741">
        <v>-19403.14</v>
      </c>
      <c r="E26" s="476"/>
      <c r="F26" s="476"/>
    </row>
    <row r="27" spans="1:6" ht="13.5" thickBot="1">
      <c r="B27" s="624" t="s">
        <v>98</v>
      </c>
      <c r="C27" s="625">
        <f>SUM(C22:C26)</f>
        <v>-881103.16</v>
      </c>
      <c r="E27" s="476"/>
      <c r="F27" s="476"/>
    </row>
    <row r="28" spans="1:6">
      <c r="E28" s="476"/>
      <c r="F28" s="476"/>
    </row>
    <row r="29" spans="1:6">
      <c r="E29" s="476"/>
      <c r="F29" s="476"/>
    </row>
    <row r="31" spans="1:6">
      <c r="A31" s="479"/>
      <c r="F31" s="481"/>
    </row>
    <row r="32" spans="1:6">
      <c r="A32" s="479"/>
      <c r="C32" s="476"/>
      <c r="F32" s="481"/>
    </row>
    <row r="33" spans="1:6">
      <c r="A33" s="479"/>
      <c r="C33" s="476"/>
      <c r="F33" s="481"/>
    </row>
    <row r="34" spans="1:6">
      <c r="A34" s="479"/>
      <c r="C34" s="476"/>
      <c r="F34" s="481"/>
    </row>
    <row r="35" spans="1:6">
      <c r="A35" s="479"/>
      <c r="F35" s="481"/>
    </row>
    <row r="43" spans="1:6">
      <c r="C43" s="493"/>
      <c r="E43" s="494"/>
    </row>
    <row r="44" spans="1:6">
      <c r="C44" s="493"/>
      <c r="E44" s="494"/>
    </row>
    <row r="45" spans="1:6">
      <c r="C45" s="493"/>
    </row>
    <row r="85" spans="6:6">
      <c r="F85" s="481"/>
    </row>
  </sheetData>
  <mergeCells count="3">
    <mergeCell ref="A1:F1"/>
    <mergeCell ref="A2:F2"/>
    <mergeCell ref="A3:F3"/>
  </mergeCells>
  <pageMargins left="0.7" right="0.7" top="0.75" bottom="0.75" header="0.3" footer="0.3"/>
  <pageSetup scale="7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pageSetUpPr fitToPage="1"/>
  </sheetPr>
  <dimension ref="A1:Q51"/>
  <sheetViews>
    <sheetView topLeftCell="A32" workbookViewId="0">
      <selection activeCell="M54" sqref="M54"/>
    </sheetView>
  </sheetViews>
  <sheetFormatPr defaultColWidth="9.140625" defaultRowHeight="12.75"/>
  <cols>
    <col min="1" max="1" width="6.7109375" style="517" customWidth="1"/>
    <col min="2" max="2" width="12.140625" style="414" customWidth="1"/>
    <col min="3" max="7" width="11.7109375" style="414" customWidth="1"/>
    <col min="8" max="8" width="6.7109375" style="414" customWidth="1"/>
    <col min="9" max="9" width="11.42578125" style="414" customWidth="1"/>
    <col min="10" max="15" width="11.7109375" style="414" customWidth="1"/>
    <col min="16" max="16" width="11.42578125" style="414" customWidth="1"/>
    <col min="17" max="17" width="9.140625" style="414" customWidth="1"/>
    <col min="18" max="16384" width="9.140625" style="414"/>
  </cols>
  <sheetData>
    <row r="1" spans="1:17" s="415" customFormat="1" ht="18">
      <c r="A1" s="769" t="s">
        <v>105</v>
      </c>
      <c r="B1" s="769"/>
      <c r="C1" s="769"/>
      <c r="D1" s="769"/>
      <c r="E1" s="769"/>
      <c r="F1" s="769"/>
      <c r="G1" s="769"/>
      <c r="H1" s="769"/>
      <c r="I1" s="769"/>
      <c r="J1" s="769"/>
      <c r="K1" s="769"/>
      <c r="L1" s="769"/>
      <c r="M1" s="769"/>
      <c r="N1" s="769"/>
      <c r="O1" s="769"/>
      <c r="P1" s="769"/>
    </row>
    <row r="2" spans="1:17" s="416" customFormat="1" ht="15">
      <c r="A2" s="770" t="s">
        <v>271</v>
      </c>
      <c r="B2" s="770"/>
      <c r="C2" s="770"/>
      <c r="D2" s="770"/>
      <c r="E2" s="770"/>
      <c r="F2" s="770"/>
      <c r="G2" s="770"/>
      <c r="H2" s="770"/>
      <c r="I2" s="770"/>
      <c r="J2" s="770"/>
      <c r="K2" s="770"/>
      <c r="L2" s="770"/>
      <c r="M2" s="770"/>
      <c r="N2" s="770"/>
      <c r="O2" s="770"/>
      <c r="P2" s="770"/>
    </row>
    <row r="3" spans="1:17" s="417" customFormat="1" ht="15.75">
      <c r="A3" s="771" t="s">
        <v>192</v>
      </c>
      <c r="B3" s="771"/>
      <c r="C3" s="771"/>
      <c r="D3" s="771"/>
      <c r="E3" s="771"/>
      <c r="F3" s="771"/>
      <c r="G3" s="771"/>
      <c r="H3" s="771"/>
      <c r="I3" s="771"/>
      <c r="J3" s="771"/>
      <c r="K3" s="771"/>
      <c r="L3" s="771"/>
      <c r="M3" s="771"/>
      <c r="N3" s="771"/>
      <c r="O3" s="771"/>
      <c r="P3" s="771"/>
    </row>
    <row r="4" spans="1:17" s="418" customFormat="1">
      <c r="A4" s="772">
        <v>2019</v>
      </c>
      <c r="B4" s="772"/>
      <c r="C4" s="772"/>
      <c r="D4" s="772"/>
      <c r="E4" s="772"/>
      <c r="F4" s="772"/>
      <c r="G4" s="772"/>
      <c r="H4" s="772"/>
      <c r="I4" s="772"/>
      <c r="J4" s="772"/>
      <c r="K4" s="772"/>
      <c r="L4" s="772"/>
      <c r="M4" s="772"/>
      <c r="N4" s="772"/>
      <c r="O4" s="772"/>
      <c r="P4" s="772"/>
    </row>
    <row r="5" spans="1:17" ht="15">
      <c r="A5" s="495"/>
      <c r="B5" s="496"/>
      <c r="C5" s="496"/>
      <c r="D5" s="496"/>
      <c r="E5" s="496"/>
      <c r="F5" s="496"/>
      <c r="G5" s="496"/>
      <c r="H5" s="495"/>
      <c r="I5" s="496"/>
      <c r="J5" s="496"/>
      <c r="K5" s="496"/>
      <c r="L5" s="496"/>
      <c r="M5" s="496"/>
      <c r="N5" s="496"/>
      <c r="O5" s="496"/>
      <c r="P5" s="496"/>
    </row>
    <row r="6" spans="1:17" ht="13.5" thickBot="1">
      <c r="A6" s="773" t="s">
        <v>106</v>
      </c>
      <c r="B6" s="773"/>
      <c r="C6" s="773"/>
      <c r="D6" s="773"/>
      <c r="E6" s="773"/>
      <c r="F6" s="773"/>
      <c r="G6" s="773"/>
      <c r="H6" s="421"/>
      <c r="I6" s="418"/>
      <c r="J6" s="418"/>
      <c r="K6" s="418" t="s">
        <v>107</v>
      </c>
      <c r="L6" s="418"/>
      <c r="M6" s="418"/>
      <c r="N6" s="418" t="s">
        <v>108</v>
      </c>
      <c r="P6" s="418"/>
    </row>
    <row r="7" spans="1:17" s="428" customFormat="1">
      <c r="A7" s="423" t="s">
        <v>109</v>
      </c>
      <c r="B7" s="424" t="s">
        <v>110</v>
      </c>
      <c r="C7" s="424"/>
      <c r="D7" s="424"/>
      <c r="E7" s="424"/>
      <c r="F7" s="424" t="s">
        <v>111</v>
      </c>
      <c r="G7" s="497" t="s">
        <v>112</v>
      </c>
      <c r="H7" s="498" t="s">
        <v>109</v>
      </c>
      <c r="I7" s="424" t="s">
        <v>110</v>
      </c>
      <c r="J7" s="424"/>
      <c r="K7" s="424"/>
      <c r="L7" s="424"/>
      <c r="M7" s="424" t="s">
        <v>113</v>
      </c>
      <c r="N7" s="424"/>
      <c r="O7" s="424" t="s">
        <v>111</v>
      </c>
      <c r="P7" s="426" t="s">
        <v>112</v>
      </c>
    </row>
    <row r="8" spans="1:17" s="428" customFormat="1" ht="13.5" thickBot="1">
      <c r="A8" s="429" t="s">
        <v>114</v>
      </c>
      <c r="B8" s="430" t="s">
        <v>115</v>
      </c>
      <c r="C8" s="430" t="s">
        <v>116</v>
      </c>
      <c r="D8" s="430" t="s">
        <v>117</v>
      </c>
      <c r="E8" s="430" t="s">
        <v>118</v>
      </c>
      <c r="F8" s="430" t="s">
        <v>119</v>
      </c>
      <c r="G8" s="499" t="s">
        <v>115</v>
      </c>
      <c r="H8" s="500" t="s">
        <v>114</v>
      </c>
      <c r="I8" s="430" t="s">
        <v>115</v>
      </c>
      <c r="J8" s="430" t="s">
        <v>118</v>
      </c>
      <c r="K8" s="430" t="s">
        <v>120</v>
      </c>
      <c r="L8" s="430" t="s">
        <v>121</v>
      </c>
      <c r="M8" s="430" t="s">
        <v>122</v>
      </c>
      <c r="N8" s="430" t="s">
        <v>117</v>
      </c>
      <c r="O8" s="430" t="s">
        <v>119</v>
      </c>
      <c r="P8" s="432" t="s">
        <v>115</v>
      </c>
    </row>
    <row r="9" spans="1:17" s="509" customFormat="1">
      <c r="A9" s="433">
        <v>350</v>
      </c>
      <c r="B9" s="501">
        <f>+'Sch. F 2018'!G9</f>
        <v>17629</v>
      </c>
      <c r="C9" s="502">
        <v>0</v>
      </c>
      <c r="D9" s="502">
        <v>0</v>
      </c>
      <c r="E9" s="502">
        <v>0</v>
      </c>
      <c r="F9" s="502">
        <v>0</v>
      </c>
      <c r="G9" s="503">
        <f t="shared" ref="G9:G49" si="0">SUM(B9:F9)</f>
        <v>17629</v>
      </c>
      <c r="H9" s="504">
        <f t="shared" ref="H9:H33" si="1">+A9</f>
        <v>350</v>
      </c>
      <c r="I9" s="501">
        <f>'Sch. F 2018'!P9</f>
        <v>0</v>
      </c>
      <c r="J9" s="434">
        <f t="shared" ref="J9:J49" si="2">+E9</f>
        <v>0</v>
      </c>
      <c r="K9" s="505">
        <f>'Sch. J'!P8</f>
        <v>0</v>
      </c>
      <c r="L9" s="502">
        <v>0</v>
      </c>
      <c r="M9" s="502">
        <v>0</v>
      </c>
      <c r="N9" s="506"/>
      <c r="O9" s="506"/>
      <c r="P9" s="507">
        <f t="shared" ref="P9:P49" si="3">SUM(I9:O9)</f>
        <v>0</v>
      </c>
      <c r="Q9" s="508"/>
    </row>
    <row r="10" spans="1:17" s="509" customFormat="1">
      <c r="A10" s="433">
        <v>3501</v>
      </c>
      <c r="B10" s="501">
        <f>+'Sch. F 2018'!G10</f>
        <v>0</v>
      </c>
      <c r="C10" s="502">
        <v>0</v>
      </c>
      <c r="D10" s="502">
        <v>0</v>
      </c>
      <c r="E10" s="502">
        <v>0</v>
      </c>
      <c r="F10" s="502">
        <v>0</v>
      </c>
      <c r="G10" s="503">
        <f t="shared" si="0"/>
        <v>0</v>
      </c>
      <c r="H10" s="504">
        <f t="shared" si="1"/>
        <v>3501</v>
      </c>
      <c r="I10" s="501">
        <f>'Sch. F 2018'!P10</f>
        <v>0.14000000000032742</v>
      </c>
      <c r="J10" s="434">
        <f t="shared" si="2"/>
        <v>0</v>
      </c>
      <c r="K10" s="505">
        <f>'Sch. J'!P9</f>
        <v>0</v>
      </c>
      <c r="L10" s="502">
        <v>0</v>
      </c>
      <c r="M10" s="502">
        <v>0</v>
      </c>
      <c r="N10" s="506"/>
      <c r="O10" s="506"/>
      <c r="P10" s="507">
        <f t="shared" si="3"/>
        <v>0.14000000000032742</v>
      </c>
      <c r="Q10" s="508"/>
    </row>
    <row r="11" spans="1:17" s="509" customFormat="1">
      <c r="A11" s="433">
        <v>352</v>
      </c>
      <c r="B11" s="501">
        <f>+'Sch. F 2018'!G11</f>
        <v>1919496.1700000006</v>
      </c>
      <c r="C11" s="502">
        <v>0</v>
      </c>
      <c r="D11" s="502">
        <v>0</v>
      </c>
      <c r="E11" s="502">
        <v>0</v>
      </c>
      <c r="F11" s="502">
        <v>0</v>
      </c>
      <c r="G11" s="503">
        <f t="shared" si="0"/>
        <v>1919496.1700000006</v>
      </c>
      <c r="H11" s="504">
        <f t="shared" si="1"/>
        <v>352</v>
      </c>
      <c r="I11" s="501">
        <f>'Sch. F 2018'!P11</f>
        <v>62139.219999999994</v>
      </c>
      <c r="J11" s="434">
        <f t="shared" si="2"/>
        <v>0</v>
      </c>
      <c r="K11" s="505">
        <f>'Sch. J'!P10</f>
        <v>34550.87999999999</v>
      </c>
      <c r="L11" s="502">
        <v>0</v>
      </c>
      <c r="M11" s="502">
        <v>0</v>
      </c>
      <c r="N11" s="506"/>
      <c r="O11" s="506"/>
      <c r="P11" s="507">
        <f t="shared" si="3"/>
        <v>96690.099999999977</v>
      </c>
      <c r="Q11" s="508"/>
    </row>
    <row r="12" spans="1:17" s="509" customFormat="1">
      <c r="A12" s="433">
        <v>353</v>
      </c>
      <c r="B12" s="501">
        <f>+'Sch. F 2018'!G12</f>
        <v>6961692.3099999996</v>
      </c>
      <c r="C12" s="502">
        <v>839765.12000000011</v>
      </c>
      <c r="D12" s="502">
        <v>0</v>
      </c>
      <c r="E12" s="502">
        <v>0</v>
      </c>
      <c r="F12" s="502">
        <v>0</v>
      </c>
      <c r="G12" s="503">
        <f t="shared" si="0"/>
        <v>7801457.4299999997</v>
      </c>
      <c r="H12" s="504">
        <f t="shared" si="1"/>
        <v>353</v>
      </c>
      <c r="I12" s="501">
        <f>'Sch. F 2018'!P12</f>
        <v>1436551.31</v>
      </c>
      <c r="J12" s="434">
        <f t="shared" si="2"/>
        <v>0</v>
      </c>
      <c r="K12" s="505">
        <f>'Sch. J'!P11</f>
        <v>185382</v>
      </c>
      <c r="L12" s="502">
        <v>0</v>
      </c>
      <c r="M12" s="502">
        <v>0</v>
      </c>
      <c r="N12" s="506"/>
      <c r="O12" s="506"/>
      <c r="P12" s="507">
        <f t="shared" si="3"/>
        <v>1621933.31</v>
      </c>
      <c r="Q12" s="508"/>
    </row>
    <row r="13" spans="1:17" s="509" customFormat="1">
      <c r="A13" s="433">
        <v>354</v>
      </c>
      <c r="B13" s="501">
        <f>+'Sch. F 2018'!G13</f>
        <v>224802</v>
      </c>
      <c r="C13" s="502">
        <v>0</v>
      </c>
      <c r="D13" s="502">
        <v>0</v>
      </c>
      <c r="E13" s="502">
        <v>0</v>
      </c>
      <c r="F13" s="502">
        <v>0</v>
      </c>
      <c r="G13" s="503">
        <f t="shared" si="0"/>
        <v>224802</v>
      </c>
      <c r="H13" s="504">
        <f t="shared" si="1"/>
        <v>354</v>
      </c>
      <c r="I13" s="501">
        <f>'Sch. F 2018'!P13</f>
        <v>209183.39999999997</v>
      </c>
      <c r="J13" s="434">
        <f t="shared" si="2"/>
        <v>0</v>
      </c>
      <c r="K13" s="505">
        <f>'Sch. J'!P12</f>
        <v>4720.8</v>
      </c>
      <c r="L13" s="502">
        <v>0</v>
      </c>
      <c r="M13" s="502">
        <v>0</v>
      </c>
      <c r="N13" s="506"/>
      <c r="O13" s="506"/>
      <c r="P13" s="507">
        <f t="shared" si="3"/>
        <v>213904.19999999995</v>
      </c>
      <c r="Q13" s="508"/>
    </row>
    <row r="14" spans="1:17" s="509" customFormat="1">
      <c r="A14" s="433">
        <v>355</v>
      </c>
      <c r="B14" s="501">
        <f>+'Sch. F 2018'!G14</f>
        <v>1447747</v>
      </c>
      <c r="C14" s="502">
        <v>0</v>
      </c>
      <c r="D14" s="502">
        <v>0</v>
      </c>
      <c r="E14" s="502">
        <v>0</v>
      </c>
      <c r="F14" s="502">
        <v>0</v>
      </c>
      <c r="G14" s="503">
        <f t="shared" si="0"/>
        <v>1447747</v>
      </c>
      <c r="H14" s="504">
        <f t="shared" si="1"/>
        <v>355</v>
      </c>
      <c r="I14" s="501">
        <f>'Sch. F 2018'!P14</f>
        <v>413698.95999999985</v>
      </c>
      <c r="J14" s="434">
        <f t="shared" si="2"/>
        <v>0</v>
      </c>
      <c r="K14" s="505">
        <f>'Sch. J'!P13</f>
        <v>63867.600000000006</v>
      </c>
      <c r="L14" s="502">
        <v>0</v>
      </c>
      <c r="M14" s="502">
        <v>0</v>
      </c>
      <c r="N14" s="506"/>
      <c r="O14" s="506"/>
      <c r="P14" s="507">
        <f t="shared" si="3"/>
        <v>477566.55999999982</v>
      </c>
      <c r="Q14" s="508"/>
    </row>
    <row r="15" spans="1:17" s="509" customFormat="1">
      <c r="A15" s="433">
        <v>3551</v>
      </c>
      <c r="B15" s="501">
        <f>+'Sch. F 2018'!G15</f>
        <v>4014730.41</v>
      </c>
      <c r="C15" s="502">
        <v>0</v>
      </c>
      <c r="D15" s="502">
        <v>0</v>
      </c>
      <c r="E15" s="502">
        <v>0</v>
      </c>
      <c r="F15" s="502">
        <v>0</v>
      </c>
      <c r="G15" s="503">
        <f t="shared" si="0"/>
        <v>4014730.41</v>
      </c>
      <c r="H15" s="504">
        <f t="shared" si="1"/>
        <v>3551</v>
      </c>
      <c r="I15" s="501">
        <f>'Sch. F 2018'!P15</f>
        <v>694393.21000000008</v>
      </c>
      <c r="J15" s="434">
        <f t="shared" si="2"/>
        <v>0</v>
      </c>
      <c r="K15" s="505">
        <f>'Sch. J'!P14</f>
        <v>113237.15999999997</v>
      </c>
      <c r="L15" s="502">
        <v>0</v>
      </c>
      <c r="M15" s="502">
        <v>0</v>
      </c>
      <c r="N15" s="506"/>
      <c r="O15" s="506"/>
      <c r="P15" s="507">
        <f t="shared" si="3"/>
        <v>807630.37000000011</v>
      </c>
      <c r="Q15" s="508"/>
    </row>
    <row r="16" spans="1:17" s="509" customFormat="1">
      <c r="A16" s="433">
        <v>356</v>
      </c>
      <c r="B16" s="501">
        <f>+'Sch. F 2018'!G16</f>
        <v>3093939.1300000004</v>
      </c>
      <c r="C16" s="502">
        <v>42966.32</v>
      </c>
      <c r="D16" s="502">
        <v>0</v>
      </c>
      <c r="E16" s="502">
        <v>0</v>
      </c>
      <c r="F16" s="502">
        <v>0</v>
      </c>
      <c r="G16" s="503">
        <f t="shared" si="0"/>
        <v>3136905.45</v>
      </c>
      <c r="H16" s="504">
        <f t="shared" si="1"/>
        <v>356</v>
      </c>
      <c r="I16" s="501">
        <f>'Sch. F 2018'!P16</f>
        <v>506496.60299999989</v>
      </c>
      <c r="J16" s="434">
        <f t="shared" si="2"/>
        <v>0</v>
      </c>
      <c r="K16" s="505">
        <f>'Sch. J'!P15</f>
        <v>77348.52</v>
      </c>
      <c r="L16" s="502">
        <v>0</v>
      </c>
      <c r="M16" s="502">
        <v>0</v>
      </c>
      <c r="N16" s="506"/>
      <c r="O16" s="506"/>
      <c r="P16" s="507">
        <f t="shared" si="3"/>
        <v>583845.12299999991</v>
      </c>
      <c r="Q16" s="508"/>
    </row>
    <row r="17" spans="1:17" s="509" customFormat="1">
      <c r="A17" s="433">
        <v>359</v>
      </c>
      <c r="B17" s="501">
        <f>+'Sch. F 2018'!G17</f>
        <v>6788</v>
      </c>
      <c r="C17" s="502">
        <v>0</v>
      </c>
      <c r="D17" s="502">
        <v>0</v>
      </c>
      <c r="E17" s="502">
        <v>0</v>
      </c>
      <c r="F17" s="502">
        <v>0</v>
      </c>
      <c r="G17" s="503">
        <f t="shared" si="0"/>
        <v>6788</v>
      </c>
      <c r="H17" s="504">
        <f t="shared" si="1"/>
        <v>359</v>
      </c>
      <c r="I17" s="501">
        <f>'Sch. F 2018'!P17</f>
        <v>5907.2800000000007</v>
      </c>
      <c r="J17" s="434">
        <f t="shared" si="2"/>
        <v>0</v>
      </c>
      <c r="K17" s="505">
        <f>'Sch. J'!P16</f>
        <v>101.76000000000003</v>
      </c>
      <c r="L17" s="502">
        <v>0</v>
      </c>
      <c r="M17" s="502">
        <v>0</v>
      </c>
      <c r="N17" s="506"/>
      <c r="O17" s="506"/>
      <c r="P17" s="507">
        <f t="shared" si="3"/>
        <v>6009.0400000000009</v>
      </c>
      <c r="Q17" s="508"/>
    </row>
    <row r="18" spans="1:17" s="509" customFormat="1">
      <c r="A18" s="433">
        <v>360</v>
      </c>
      <c r="B18" s="501">
        <f>+'Sch. F 2018'!G18</f>
        <v>13572</v>
      </c>
      <c r="C18" s="502">
        <v>0</v>
      </c>
      <c r="D18" s="502">
        <v>0</v>
      </c>
      <c r="E18" s="502">
        <v>0</v>
      </c>
      <c r="F18" s="502">
        <f>-F31</f>
        <v>320005</v>
      </c>
      <c r="G18" s="503">
        <f t="shared" si="0"/>
        <v>333577</v>
      </c>
      <c r="H18" s="504">
        <f t="shared" si="1"/>
        <v>360</v>
      </c>
      <c r="I18" s="501">
        <f>'Sch. F 2018'!P18</f>
        <v>0</v>
      </c>
      <c r="J18" s="434">
        <f t="shared" si="2"/>
        <v>0</v>
      </c>
      <c r="K18" s="505">
        <f>'Sch. J'!P17</f>
        <v>0</v>
      </c>
      <c r="L18" s="502">
        <v>0</v>
      </c>
      <c r="M18" s="502">
        <v>0</v>
      </c>
      <c r="N18" s="506"/>
      <c r="O18" s="506"/>
      <c r="P18" s="507">
        <f t="shared" si="3"/>
        <v>0</v>
      </c>
      <c r="Q18" s="508"/>
    </row>
    <row r="19" spans="1:17" s="509" customFormat="1">
      <c r="A19" s="433">
        <v>3601</v>
      </c>
      <c r="B19" s="501">
        <f>+'Sch. F 2018'!G19</f>
        <v>56995</v>
      </c>
      <c r="C19" s="502">
        <v>0</v>
      </c>
      <c r="D19" s="502">
        <v>0</v>
      </c>
      <c r="E19" s="502">
        <v>0</v>
      </c>
      <c r="F19" s="502">
        <v>0</v>
      </c>
      <c r="G19" s="503">
        <f t="shared" si="0"/>
        <v>56995</v>
      </c>
      <c r="H19" s="504">
        <f t="shared" si="1"/>
        <v>3601</v>
      </c>
      <c r="I19" s="501">
        <f>'Sch. F 2018'!P19</f>
        <v>33188</v>
      </c>
      <c r="J19" s="434">
        <f t="shared" si="2"/>
        <v>0</v>
      </c>
      <c r="K19" s="505">
        <f>'Sch. J'!P18</f>
        <v>912</v>
      </c>
      <c r="L19" s="502">
        <v>0</v>
      </c>
      <c r="M19" s="502">
        <v>0</v>
      </c>
      <c r="N19" s="506"/>
      <c r="O19" s="506"/>
      <c r="P19" s="507">
        <f t="shared" si="3"/>
        <v>34100</v>
      </c>
      <c r="Q19" s="508"/>
    </row>
    <row r="20" spans="1:17" s="511" customFormat="1">
      <c r="A20" s="433">
        <v>361</v>
      </c>
      <c r="B20" s="501">
        <f>+'Sch. F 2018'!G20</f>
        <v>1198983.1200000001</v>
      </c>
      <c r="C20" s="502">
        <v>0</v>
      </c>
      <c r="D20" s="502">
        <v>0</v>
      </c>
      <c r="E20" s="502">
        <v>0</v>
      </c>
      <c r="F20" s="502">
        <v>0</v>
      </c>
      <c r="G20" s="503">
        <f t="shared" si="0"/>
        <v>1198983.1200000001</v>
      </c>
      <c r="H20" s="504">
        <f t="shared" si="1"/>
        <v>361</v>
      </c>
      <c r="I20" s="501">
        <f>'Sch. F 2018'!P20</f>
        <v>87840.04</v>
      </c>
      <c r="J20" s="434">
        <f t="shared" si="2"/>
        <v>0</v>
      </c>
      <c r="K20" s="505">
        <f>'Sch. J'!P19</f>
        <v>20382.72</v>
      </c>
      <c r="L20" s="502">
        <v>0</v>
      </c>
      <c r="M20" s="502">
        <v>0</v>
      </c>
      <c r="N20" s="510"/>
      <c r="O20" s="510"/>
      <c r="P20" s="507">
        <f t="shared" si="3"/>
        <v>108222.76</v>
      </c>
      <c r="Q20" s="508"/>
    </row>
    <row r="21" spans="1:17" s="511" customFormat="1">
      <c r="A21" s="433">
        <v>362</v>
      </c>
      <c r="B21" s="501">
        <f>+'Sch. F 2018'!G21</f>
        <v>12928997.76</v>
      </c>
      <c r="C21" s="502">
        <v>336695.47000000003</v>
      </c>
      <c r="D21" s="502">
        <v>0</v>
      </c>
      <c r="E21" s="502">
        <v>0</v>
      </c>
      <c r="F21" s="502">
        <v>0</v>
      </c>
      <c r="G21" s="503">
        <f t="shared" si="0"/>
        <v>13265693.23</v>
      </c>
      <c r="H21" s="504">
        <f t="shared" si="1"/>
        <v>362</v>
      </c>
      <c r="I21" s="501">
        <f>'Sch. F 2018'!P21</f>
        <v>3556892.9899999998</v>
      </c>
      <c r="J21" s="434">
        <f t="shared" si="2"/>
        <v>0</v>
      </c>
      <c r="K21" s="505">
        <f>'Sch. J'!P20</f>
        <v>312909.51</v>
      </c>
      <c r="L21" s="502">
        <v>0</v>
      </c>
      <c r="M21" s="502">
        <v>0</v>
      </c>
      <c r="N21" s="510"/>
      <c r="P21" s="507">
        <f t="shared" si="3"/>
        <v>3869802.5</v>
      </c>
      <c r="Q21" s="508"/>
    </row>
    <row r="22" spans="1:17" s="511" customFormat="1">
      <c r="A22" s="433">
        <v>364</v>
      </c>
      <c r="B22" s="501">
        <f>+'Sch. F 2018'!G22</f>
        <v>16309206.869999999</v>
      </c>
      <c r="C22" s="502">
        <v>8744986.5599999987</v>
      </c>
      <c r="D22" s="502">
        <v>0</v>
      </c>
      <c r="E22" s="502">
        <v>-60382.880000000005</v>
      </c>
      <c r="F22" s="502">
        <v>0</v>
      </c>
      <c r="G22" s="503">
        <f t="shared" si="0"/>
        <v>24993810.550000001</v>
      </c>
      <c r="H22" s="504">
        <f t="shared" si="1"/>
        <v>364</v>
      </c>
      <c r="I22" s="501">
        <f>'Sch. F 2018'!P22</f>
        <v>8316238.9199999999</v>
      </c>
      <c r="J22" s="434">
        <f t="shared" si="2"/>
        <v>-60382.880000000005</v>
      </c>
      <c r="K22" s="505">
        <f>'Sch. J'!P21</f>
        <v>865418.86999999988</v>
      </c>
      <c r="L22" s="502">
        <v>0</v>
      </c>
      <c r="M22" s="502">
        <v>-5254164.03</v>
      </c>
      <c r="N22" s="510"/>
      <c r="O22" s="510">
        <f>-'Sch. F 2019 Notes'!F40+-'Sch. F 2019 Notes'!E40</f>
        <v>5513828</v>
      </c>
      <c r="P22" s="507">
        <f t="shared" si="3"/>
        <v>9380938.879999999</v>
      </c>
      <c r="Q22" s="508"/>
    </row>
    <row r="23" spans="1:17" s="511" customFormat="1">
      <c r="A23" s="433">
        <v>365</v>
      </c>
      <c r="B23" s="501">
        <f>+'Sch. F 2018'!G23</f>
        <v>14708909</v>
      </c>
      <c r="C23" s="502">
        <v>5707297.8600000022</v>
      </c>
      <c r="D23" s="502">
        <v>0</v>
      </c>
      <c r="E23" s="502">
        <v>-36281.769999999997</v>
      </c>
      <c r="F23" s="502">
        <v>0</v>
      </c>
      <c r="G23" s="503">
        <f t="shared" si="0"/>
        <v>20379925.090000004</v>
      </c>
      <c r="H23" s="504">
        <f t="shared" si="1"/>
        <v>365</v>
      </c>
      <c r="I23" s="501">
        <f>'Sch. F 2018'!P23</f>
        <v>9725214.6899999995</v>
      </c>
      <c r="J23" s="434">
        <f t="shared" si="2"/>
        <v>-36281.769999999997</v>
      </c>
      <c r="K23" s="505">
        <f>'Sch. J'!P22</f>
        <v>619823.72</v>
      </c>
      <c r="L23" s="502">
        <v>26981.119999999999</v>
      </c>
      <c r="M23" s="502">
        <v>-1839521.89</v>
      </c>
      <c r="N23" s="510"/>
      <c r="O23" s="510">
        <f>-'Sch. F 2019 Notes'!F41+-'Sch. F 2019 Notes'!E41-'Sch. F 2019 Notes'!D41</f>
        <v>1971619</v>
      </c>
      <c r="P23" s="507">
        <f t="shared" si="3"/>
        <v>10467834.869999999</v>
      </c>
      <c r="Q23" s="508"/>
    </row>
    <row r="24" spans="1:17" s="511" customFormat="1">
      <c r="A24" s="433">
        <v>366</v>
      </c>
      <c r="B24" s="501">
        <f>+'Sch. F 2018'!G24</f>
        <v>6603481.2300000004</v>
      </c>
      <c r="C24" s="502">
        <v>310088.67000000004</v>
      </c>
      <c r="D24" s="502">
        <v>0</v>
      </c>
      <c r="E24" s="502">
        <v>0</v>
      </c>
      <c r="F24" s="502">
        <v>0</v>
      </c>
      <c r="G24" s="503">
        <f t="shared" si="0"/>
        <v>6913569.9000000004</v>
      </c>
      <c r="H24" s="504">
        <f t="shared" si="1"/>
        <v>366</v>
      </c>
      <c r="I24" s="501">
        <f>'Sch. F 2018'!P24</f>
        <v>1243157.7599999998</v>
      </c>
      <c r="J24" s="434">
        <f t="shared" si="2"/>
        <v>0</v>
      </c>
      <c r="K24" s="505">
        <f>'Sch. J'!P23</f>
        <v>119669.02999999998</v>
      </c>
      <c r="L24" s="502">
        <v>0</v>
      </c>
      <c r="M24" s="502">
        <v>-2586.56</v>
      </c>
      <c r="N24" s="510"/>
      <c r="O24" s="510"/>
      <c r="P24" s="507">
        <f t="shared" si="3"/>
        <v>1360240.2299999997</v>
      </c>
      <c r="Q24" s="508"/>
    </row>
    <row r="25" spans="1:17" s="511" customFormat="1">
      <c r="A25" s="433">
        <v>367</v>
      </c>
      <c r="B25" s="501">
        <f>+'Sch. F 2018'!G25</f>
        <v>9347185.6999999993</v>
      </c>
      <c r="C25" s="502">
        <v>550722.65999999992</v>
      </c>
      <c r="D25" s="502">
        <v>0</v>
      </c>
      <c r="E25" s="502">
        <v>-1230.3499999999999</v>
      </c>
      <c r="F25" s="502">
        <v>0</v>
      </c>
      <c r="G25" s="503">
        <f t="shared" si="0"/>
        <v>9896678.0099999998</v>
      </c>
      <c r="H25" s="504">
        <f t="shared" si="1"/>
        <v>367</v>
      </c>
      <c r="I25" s="501">
        <f>'Sch. F 2018'!P25</f>
        <v>3659449.48</v>
      </c>
      <c r="J25" s="434">
        <f t="shared" si="2"/>
        <v>-1230.3499999999999</v>
      </c>
      <c r="K25" s="505">
        <f>'Sch. J'!P24</f>
        <v>302690.76</v>
      </c>
      <c r="L25" s="502">
        <v>0</v>
      </c>
      <c r="M25" s="502">
        <v>-10411.81</v>
      </c>
      <c r="N25" s="510"/>
      <c r="O25" s="510"/>
      <c r="P25" s="507">
        <f t="shared" si="3"/>
        <v>3950498.0799999996</v>
      </c>
      <c r="Q25" s="508"/>
    </row>
    <row r="26" spans="1:17" s="511" customFormat="1">
      <c r="A26" s="433">
        <v>368</v>
      </c>
      <c r="B26" s="501">
        <f>+'Sch. F 2018'!G26</f>
        <v>18505422.830000002</v>
      </c>
      <c r="C26" s="502">
        <v>5089394.9400000023</v>
      </c>
      <c r="D26" s="502">
        <v>0</v>
      </c>
      <c r="E26" s="502">
        <v>-116688.77</v>
      </c>
      <c r="F26" s="502">
        <v>0</v>
      </c>
      <c r="G26" s="503">
        <f t="shared" si="0"/>
        <v>23478129.000000004</v>
      </c>
      <c r="H26" s="504">
        <f t="shared" si="1"/>
        <v>368</v>
      </c>
      <c r="I26" s="501">
        <f>'Sch. F 2018'!P26</f>
        <v>14312251.350000001</v>
      </c>
      <c r="J26" s="434">
        <f t="shared" si="2"/>
        <v>-116688.77</v>
      </c>
      <c r="K26" s="505">
        <f>'Sch. J'!P25</f>
        <v>846775.11</v>
      </c>
      <c r="L26" s="502">
        <v>32291.94</v>
      </c>
      <c r="M26" s="502">
        <v>-30590.789999999997</v>
      </c>
      <c r="N26" s="510"/>
      <c r="O26" s="510">
        <f>-'Sch. F 2019 Notes'!F43-'Sch. F 2019 Notes'!E43-'Sch. F 2019 Notes'!D43</f>
        <v>63445</v>
      </c>
      <c r="P26" s="507">
        <f t="shared" si="3"/>
        <v>15107483.840000002</v>
      </c>
      <c r="Q26" s="508"/>
    </row>
    <row r="27" spans="1:17" s="511" customFormat="1">
      <c r="A27" s="433">
        <v>369</v>
      </c>
      <c r="B27" s="501">
        <f>+'Sch. F 2018'!G27</f>
        <v>11244242.409999998</v>
      </c>
      <c r="C27" s="502">
        <v>3177204.3899999992</v>
      </c>
      <c r="D27" s="502">
        <v>0</v>
      </c>
      <c r="E27" s="502">
        <v>-472770.1</v>
      </c>
      <c r="F27" s="502">
        <v>0</v>
      </c>
      <c r="G27" s="503">
        <f t="shared" si="0"/>
        <v>13948676.699999997</v>
      </c>
      <c r="H27" s="504">
        <f t="shared" si="1"/>
        <v>369</v>
      </c>
      <c r="I27" s="501">
        <f>'Sch. F 2018'!P27</f>
        <v>7777590.379999999</v>
      </c>
      <c r="J27" s="434">
        <f t="shared" si="2"/>
        <v>-472770.1</v>
      </c>
      <c r="K27" s="505">
        <f>'Sch. J'!P26</f>
        <v>477962.24999999994</v>
      </c>
      <c r="L27" s="502">
        <v>247.28</v>
      </c>
      <c r="M27" s="502">
        <v>-272733.46000000002</v>
      </c>
      <c r="N27" s="510"/>
      <c r="O27" s="510">
        <f>-'Sch. F 2019 Notes'!F44-'Sch. F 2019 Notes'!E44</f>
        <v>256656</v>
      </c>
      <c r="P27" s="507">
        <f t="shared" si="3"/>
        <v>7766952.3499999996</v>
      </c>
      <c r="Q27" s="508"/>
    </row>
    <row r="28" spans="1:17" s="511" customFormat="1">
      <c r="A28" s="433">
        <v>370</v>
      </c>
      <c r="B28" s="501">
        <f>+'Sch. F 2018'!G28</f>
        <v>4330321.55</v>
      </c>
      <c r="C28" s="502">
        <v>831645.29000000015</v>
      </c>
      <c r="D28" s="502">
        <v>0</v>
      </c>
      <c r="E28" s="502">
        <v>-47091.8</v>
      </c>
      <c r="F28" s="502">
        <v>0</v>
      </c>
      <c r="G28" s="503">
        <f t="shared" si="0"/>
        <v>5114875.04</v>
      </c>
      <c r="H28" s="504">
        <f t="shared" si="1"/>
        <v>370</v>
      </c>
      <c r="I28" s="501">
        <f>'Sch. F 2018'!P28</f>
        <v>2939933.33</v>
      </c>
      <c r="J28" s="434">
        <f t="shared" si="2"/>
        <v>-47091.8</v>
      </c>
      <c r="K28" s="505">
        <f>'Sch. J'!P27</f>
        <v>181932.72</v>
      </c>
      <c r="L28" s="512">
        <v>181.4</v>
      </c>
      <c r="M28" s="512">
        <v>-153305.1</v>
      </c>
      <c r="N28" s="510"/>
      <c r="O28" s="510">
        <f>-'Sch. F 2019 Notes'!F45-'Sch. F 2019 Notes'!E45</f>
        <v>166661</v>
      </c>
      <c r="P28" s="507">
        <f t="shared" si="3"/>
        <v>3088311.5500000003</v>
      </c>
      <c r="Q28" s="508"/>
    </row>
    <row r="29" spans="1:17" s="511" customFormat="1">
      <c r="A29" s="433">
        <v>371</v>
      </c>
      <c r="B29" s="501">
        <f>+'Sch. F 2018'!G29</f>
        <v>3487203.62</v>
      </c>
      <c r="C29" s="502">
        <v>493801.13</v>
      </c>
      <c r="D29" s="502">
        <v>0</v>
      </c>
      <c r="E29" s="502">
        <v>-485905.29</v>
      </c>
      <c r="F29" s="502">
        <v>0</v>
      </c>
      <c r="G29" s="503">
        <f t="shared" si="0"/>
        <v>3495099.46</v>
      </c>
      <c r="H29" s="504">
        <f t="shared" si="1"/>
        <v>371</v>
      </c>
      <c r="I29" s="501">
        <f>'Sch. F 2018'!P29</f>
        <v>1880458.6500000001</v>
      </c>
      <c r="J29" s="434">
        <f t="shared" si="2"/>
        <v>-485905.29</v>
      </c>
      <c r="K29" s="505">
        <f>'Sch. J'!P28</f>
        <v>150982.76</v>
      </c>
      <c r="L29" s="502">
        <v>0</v>
      </c>
      <c r="M29" s="502">
        <v>-23476.66</v>
      </c>
      <c r="N29" s="510"/>
      <c r="O29" s="510">
        <f>-'Sch. F 2019 Notes'!F46-'Sch. F 2019 Notes'!E46</f>
        <v>271602</v>
      </c>
      <c r="P29" s="507">
        <f t="shared" si="3"/>
        <v>1793661.4600000002</v>
      </c>
      <c r="Q29" s="508"/>
    </row>
    <row r="30" spans="1:17" s="511" customFormat="1">
      <c r="A30" s="433">
        <v>373</v>
      </c>
      <c r="B30" s="501">
        <f>+'Sch. F 2018'!G30</f>
        <v>2354078.0100000002</v>
      </c>
      <c r="C30" s="502">
        <v>418548.99</v>
      </c>
      <c r="D30" s="502">
        <v>0</v>
      </c>
      <c r="E30" s="502">
        <v>-127650.79</v>
      </c>
      <c r="F30" s="502">
        <v>0</v>
      </c>
      <c r="G30" s="503">
        <f t="shared" si="0"/>
        <v>2644976.21</v>
      </c>
      <c r="H30" s="504">
        <f t="shared" si="1"/>
        <v>373</v>
      </c>
      <c r="I30" s="501">
        <f>'Sch. F 2018'!P30</f>
        <v>1390563.24</v>
      </c>
      <c r="J30" s="434">
        <f t="shared" si="2"/>
        <v>-127650.79</v>
      </c>
      <c r="K30" s="505">
        <f>'Sch. J'!P29</f>
        <v>120932.00999999998</v>
      </c>
      <c r="L30" s="502">
        <v>0</v>
      </c>
      <c r="M30" s="502">
        <v>-14789.609999999999</v>
      </c>
      <c r="N30" s="510"/>
      <c r="O30" s="510">
        <f>-'Sch. F 2019 Notes'!F47-'Sch. F 2019 Notes'!E47</f>
        <v>8521</v>
      </c>
      <c r="P30" s="507">
        <f t="shared" si="3"/>
        <v>1377575.8499999999</v>
      </c>
      <c r="Q30" s="508"/>
    </row>
    <row r="31" spans="1:17" s="511" customFormat="1">
      <c r="A31" s="433">
        <v>380</v>
      </c>
      <c r="B31" s="501">
        <f>+'Sch. F 2018'!G31</f>
        <v>320005</v>
      </c>
      <c r="C31" s="502">
        <v>0</v>
      </c>
      <c r="D31" s="502">
        <v>0</v>
      </c>
      <c r="E31" s="502">
        <v>0</v>
      </c>
      <c r="F31" s="502">
        <f>-B31</f>
        <v>-320005</v>
      </c>
      <c r="G31" s="503">
        <f t="shared" si="0"/>
        <v>0</v>
      </c>
      <c r="H31" s="504">
        <f t="shared" si="1"/>
        <v>380</v>
      </c>
      <c r="I31" s="501">
        <f>'Sch. F 2018'!P31</f>
        <v>0</v>
      </c>
      <c r="J31" s="434">
        <f t="shared" si="2"/>
        <v>0</v>
      </c>
      <c r="K31" s="505">
        <f>'Sch. J'!P30</f>
        <v>0</v>
      </c>
      <c r="L31" s="502">
        <v>0</v>
      </c>
      <c r="M31" s="502">
        <v>0</v>
      </c>
      <c r="N31" s="510"/>
      <c r="P31" s="507">
        <f t="shared" si="3"/>
        <v>0</v>
      </c>
      <c r="Q31" s="508"/>
    </row>
    <row r="32" spans="1:17" s="511" customFormat="1">
      <c r="A32" s="433">
        <v>389</v>
      </c>
      <c r="B32" s="501">
        <f>+'Sch. F 2018'!G32</f>
        <v>864156</v>
      </c>
      <c r="C32" s="502">
        <v>0</v>
      </c>
      <c r="D32" s="502">
        <v>0</v>
      </c>
      <c r="E32" s="502">
        <v>0</v>
      </c>
      <c r="F32" s="502">
        <v>0</v>
      </c>
      <c r="G32" s="503">
        <f t="shared" si="0"/>
        <v>864156</v>
      </c>
      <c r="H32" s="504">
        <f t="shared" si="1"/>
        <v>389</v>
      </c>
      <c r="I32" s="501">
        <f>'Sch. F 2018'!P32</f>
        <v>6704</v>
      </c>
      <c r="J32" s="434">
        <f t="shared" si="2"/>
        <v>0</v>
      </c>
      <c r="K32" s="505">
        <f>'Sch. J'!P31</f>
        <v>0</v>
      </c>
      <c r="L32" s="502">
        <v>0</v>
      </c>
      <c r="M32" s="502">
        <v>0</v>
      </c>
      <c r="N32" s="510"/>
      <c r="O32" s="510"/>
      <c r="P32" s="507">
        <f t="shared" si="3"/>
        <v>6704</v>
      </c>
      <c r="Q32" s="508"/>
    </row>
    <row r="33" spans="1:17" s="511" customFormat="1">
      <c r="A33" s="433">
        <v>390</v>
      </c>
      <c r="B33" s="501">
        <f>+'Sch. F 2018'!G33</f>
        <v>4010284</v>
      </c>
      <c r="C33" s="502">
        <v>0</v>
      </c>
      <c r="D33" s="502">
        <v>0</v>
      </c>
      <c r="E33" s="502">
        <v>0</v>
      </c>
      <c r="F33" s="502">
        <v>0</v>
      </c>
      <c r="G33" s="503">
        <f t="shared" si="0"/>
        <v>4010284</v>
      </c>
      <c r="H33" s="504">
        <f t="shared" si="1"/>
        <v>390</v>
      </c>
      <c r="I33" s="501">
        <f>'Sch. F 2018'!P33</f>
        <v>929678.15999999992</v>
      </c>
      <c r="J33" s="434">
        <f t="shared" si="2"/>
        <v>0</v>
      </c>
      <c r="K33" s="505">
        <f>'Sch. J'!P32</f>
        <v>80205.719999999987</v>
      </c>
      <c r="L33" s="502">
        <v>0</v>
      </c>
      <c r="M33" s="502">
        <v>0</v>
      </c>
      <c r="N33" s="510"/>
      <c r="O33" s="510"/>
      <c r="P33" s="507">
        <f t="shared" si="3"/>
        <v>1009883.8799999999</v>
      </c>
      <c r="Q33" s="508"/>
    </row>
    <row r="34" spans="1:17" s="511" customFormat="1">
      <c r="A34" s="433">
        <v>3910</v>
      </c>
      <c r="B34" s="501">
        <f>+'Sch. F 2018'!G34</f>
        <v>445011.67</v>
      </c>
      <c r="C34" s="502">
        <v>8185.15</v>
      </c>
      <c r="D34" s="502">
        <v>0</v>
      </c>
      <c r="E34" s="502">
        <v>0</v>
      </c>
      <c r="F34" s="502">
        <v>0</v>
      </c>
      <c r="G34" s="503">
        <f t="shared" si="0"/>
        <v>453196.82</v>
      </c>
      <c r="H34" s="513">
        <f>+'Sch. F 2018'!H34</f>
        <v>3910</v>
      </c>
      <c r="I34" s="501">
        <f>'Sch. F 2018'!P34</f>
        <v>320617.66000000003</v>
      </c>
      <c r="J34" s="434">
        <f t="shared" si="2"/>
        <v>0</v>
      </c>
      <c r="K34" s="505">
        <f>'Sch. J'!P33</f>
        <v>66766.66</v>
      </c>
      <c r="L34" s="502">
        <v>0</v>
      </c>
      <c r="M34" s="502">
        <v>0</v>
      </c>
      <c r="N34" s="510"/>
      <c r="O34" s="510"/>
      <c r="P34" s="507">
        <f t="shared" si="3"/>
        <v>387384.32000000007</v>
      </c>
      <c r="Q34" s="508"/>
    </row>
    <row r="35" spans="1:17" s="511" customFormat="1">
      <c r="A35" s="433">
        <v>3911</v>
      </c>
      <c r="B35" s="501">
        <f>+'Sch. F 2018'!G35</f>
        <v>10900</v>
      </c>
      <c r="C35" s="502">
        <v>0</v>
      </c>
      <c r="D35" s="502">
        <v>0</v>
      </c>
      <c r="E35" s="502">
        <v>0</v>
      </c>
      <c r="F35" s="502">
        <v>0</v>
      </c>
      <c r="G35" s="503">
        <f t="shared" si="0"/>
        <v>10900</v>
      </c>
      <c r="H35" s="513">
        <f>+'Sch. F 2018'!H35</f>
        <v>3911</v>
      </c>
      <c r="I35" s="501">
        <f>'Sch. F 2018'!P35</f>
        <v>6228.81</v>
      </c>
      <c r="J35" s="434">
        <f t="shared" si="2"/>
        <v>0</v>
      </c>
      <c r="K35" s="505">
        <f>'Sch. J'!P34</f>
        <v>1557.1999999999998</v>
      </c>
      <c r="L35" s="502">
        <v>0</v>
      </c>
      <c r="M35" s="502">
        <v>0</v>
      </c>
      <c r="N35" s="510"/>
      <c r="O35" s="510"/>
      <c r="P35" s="507">
        <f t="shared" si="3"/>
        <v>7786.01</v>
      </c>
      <c r="Q35" s="508"/>
    </row>
    <row r="36" spans="1:17" s="511" customFormat="1">
      <c r="A36" s="433">
        <v>3912</v>
      </c>
      <c r="B36" s="501">
        <f>+'Sch. F 2018'!G36</f>
        <v>276867.40000000002</v>
      </c>
      <c r="C36" s="502">
        <v>0</v>
      </c>
      <c r="D36" s="502">
        <v>0</v>
      </c>
      <c r="E36" s="502">
        <v>0</v>
      </c>
      <c r="F36" s="502">
        <v>0</v>
      </c>
      <c r="G36" s="503">
        <f t="shared" si="0"/>
        <v>276867.40000000002</v>
      </c>
      <c r="H36" s="513">
        <f>+'Sch. F 2018'!H36</f>
        <v>3912</v>
      </c>
      <c r="I36" s="501">
        <f>'Sch. F 2018'!P36</f>
        <v>281997.88</v>
      </c>
      <c r="J36" s="434">
        <f t="shared" si="2"/>
        <v>0</v>
      </c>
      <c r="K36" s="505">
        <f>'Sch. J'!P35</f>
        <v>1954.8799999999994</v>
      </c>
      <c r="L36" s="502">
        <v>0</v>
      </c>
      <c r="M36" s="502">
        <v>0</v>
      </c>
      <c r="N36" s="510"/>
      <c r="O36" s="510"/>
      <c r="P36" s="507">
        <f t="shared" si="3"/>
        <v>283952.76</v>
      </c>
      <c r="Q36" s="508"/>
    </row>
    <row r="37" spans="1:17" s="511" customFormat="1">
      <c r="A37" s="433">
        <v>3913</v>
      </c>
      <c r="B37" s="501">
        <f>+'Sch. F 2018'!G37</f>
        <v>6997</v>
      </c>
      <c r="C37" s="502">
        <v>0</v>
      </c>
      <c r="D37" s="502">
        <v>0</v>
      </c>
      <c r="E37" s="502">
        <v>0</v>
      </c>
      <c r="F37" s="502">
        <v>0</v>
      </c>
      <c r="G37" s="503">
        <f t="shared" si="0"/>
        <v>6997</v>
      </c>
      <c r="H37" s="513">
        <f>+'Sch. F 2018'!H37</f>
        <v>3913</v>
      </c>
      <c r="I37" s="501">
        <f>'Sch. F 2018'!P37</f>
        <v>6539.97</v>
      </c>
      <c r="J37" s="434">
        <f t="shared" si="2"/>
        <v>0</v>
      </c>
      <c r="K37" s="505">
        <f>'Sch. J'!P36</f>
        <v>228.63000000000005</v>
      </c>
      <c r="L37" s="502">
        <v>0</v>
      </c>
      <c r="M37" s="502">
        <v>0</v>
      </c>
      <c r="N37" s="510"/>
      <c r="O37" s="510"/>
      <c r="P37" s="507">
        <f t="shared" si="3"/>
        <v>6768.6</v>
      </c>
      <c r="Q37" s="508"/>
    </row>
    <row r="38" spans="1:17" s="511" customFormat="1">
      <c r="A38" s="433">
        <v>3914</v>
      </c>
      <c r="B38" s="501">
        <f>+'Sch. F 2018'!G38</f>
        <v>1460292.67</v>
      </c>
      <c r="C38" s="502">
        <v>-6948.1600000000017</v>
      </c>
      <c r="D38" s="502">
        <v>0</v>
      </c>
      <c r="E38" s="502">
        <v>0</v>
      </c>
      <c r="F38" s="502">
        <v>0</v>
      </c>
      <c r="G38" s="503">
        <f t="shared" si="0"/>
        <v>1453344.51</v>
      </c>
      <c r="H38" s="513">
        <f>+'Sch. F 2018'!H38</f>
        <v>3914</v>
      </c>
      <c r="I38" s="501">
        <f>'Sch. F 2018'!P38</f>
        <v>1089717.6299999999</v>
      </c>
      <c r="J38" s="434">
        <f t="shared" si="2"/>
        <v>0</v>
      </c>
      <c r="K38" s="505">
        <f>'Sch. J'!P37</f>
        <v>35055.530000000006</v>
      </c>
      <c r="L38" s="502">
        <v>0</v>
      </c>
      <c r="M38" s="502">
        <v>0</v>
      </c>
      <c r="N38" s="510"/>
      <c r="O38" s="510"/>
      <c r="P38" s="507">
        <f t="shared" si="3"/>
        <v>1124773.1599999999</v>
      </c>
      <c r="Q38" s="508"/>
    </row>
    <row r="39" spans="1:17" s="511" customFormat="1">
      <c r="A39" s="433">
        <v>3921</v>
      </c>
      <c r="B39" s="501">
        <f>+'Sch. F 2018'!G39</f>
        <v>413923.6</v>
      </c>
      <c r="C39" s="502">
        <v>0</v>
      </c>
      <c r="D39" s="502">
        <v>0</v>
      </c>
      <c r="E39" s="502">
        <v>0</v>
      </c>
      <c r="F39" s="435">
        <f>-373971.6-16000</f>
        <v>-389971.6</v>
      </c>
      <c r="G39" s="503">
        <f t="shared" si="0"/>
        <v>23952</v>
      </c>
      <c r="H39" s="513">
        <f>+'Sch. F 2018'!H39</f>
        <v>3921</v>
      </c>
      <c r="I39" s="501">
        <f>'Sch. F 2018'!P39</f>
        <v>30507.01</v>
      </c>
      <c r="J39" s="434">
        <f t="shared" si="2"/>
        <v>0</v>
      </c>
      <c r="K39" s="505">
        <f>'Sch. J'!P38</f>
        <v>6082.44</v>
      </c>
      <c r="L39" s="502">
        <v>0</v>
      </c>
      <c r="M39" s="502">
        <v>0</v>
      </c>
      <c r="N39" s="510"/>
      <c r="O39" s="505">
        <v>0</v>
      </c>
      <c r="P39" s="507">
        <f t="shared" si="3"/>
        <v>36589.449999999997</v>
      </c>
      <c r="Q39" s="508"/>
    </row>
    <row r="40" spans="1:17" s="511" customFormat="1">
      <c r="A40" s="433">
        <v>3922</v>
      </c>
      <c r="B40" s="501">
        <f>+'Sch. F 2018'!G40</f>
        <v>1004489.9300000002</v>
      </c>
      <c r="C40" s="502">
        <v>67807.59</v>
      </c>
      <c r="D40" s="502">
        <v>-27160.91</v>
      </c>
      <c r="E40" s="502">
        <v>0</v>
      </c>
      <c r="F40" s="435">
        <f>133312.67-32.15</f>
        <v>133280.52000000002</v>
      </c>
      <c r="G40" s="503">
        <f t="shared" si="0"/>
        <v>1178417.1300000004</v>
      </c>
      <c r="H40" s="513">
        <f>+'Sch. F 2018'!H40</f>
        <v>3922</v>
      </c>
      <c r="I40" s="501">
        <f>'Sch. F 2018'!P40</f>
        <v>675952.51</v>
      </c>
      <c r="J40" s="434">
        <f t="shared" si="2"/>
        <v>0</v>
      </c>
      <c r="K40" s="505">
        <f>'Sch. J'!P39</f>
        <v>90666.06</v>
      </c>
      <c r="L40" s="502">
        <v>0</v>
      </c>
      <c r="M40" s="502">
        <v>0</v>
      </c>
      <c r="N40" s="510">
        <f>+D40*'Sch. J'!C39*5+D40*9.8%*4+D40*4.9%*1.5</f>
        <v>-23236.158504999999</v>
      </c>
      <c r="O40" s="505">
        <f>3570+1054</f>
        <v>4624</v>
      </c>
      <c r="P40" s="507">
        <f t="shared" si="3"/>
        <v>748006.41149500012</v>
      </c>
      <c r="Q40" s="508"/>
    </row>
    <row r="41" spans="1:17" s="511" customFormat="1">
      <c r="A41" s="433">
        <v>3923</v>
      </c>
      <c r="B41" s="501">
        <f>+'Sch. F 2018'!G41</f>
        <v>3629916.54</v>
      </c>
      <c r="C41" s="502">
        <v>199871.47999999998</v>
      </c>
      <c r="D41" s="502">
        <v>0</v>
      </c>
      <c r="E41" s="502">
        <v>0</v>
      </c>
      <c r="F41" s="435">
        <v>257011.98</v>
      </c>
      <c r="G41" s="503">
        <f t="shared" si="0"/>
        <v>4086800</v>
      </c>
      <c r="H41" s="513">
        <f>+'Sch. F 2018'!H41</f>
        <v>3923</v>
      </c>
      <c r="I41" s="501">
        <f>'Sch. F 2018'!P41</f>
        <v>2541649.61</v>
      </c>
      <c r="J41" s="434">
        <f t="shared" si="2"/>
        <v>0</v>
      </c>
      <c r="K41" s="505">
        <f>'Sch. J'!P40</f>
        <v>246689.65999999997</v>
      </c>
      <c r="L41" s="502">
        <v>0</v>
      </c>
      <c r="M41" s="502">
        <v>0</v>
      </c>
      <c r="N41" s="510"/>
      <c r="O41" s="505">
        <f>24390.27+4658.26</f>
        <v>29048.53</v>
      </c>
      <c r="P41" s="507">
        <f t="shared" si="3"/>
        <v>2817387.8</v>
      </c>
      <c r="Q41" s="508"/>
    </row>
    <row r="42" spans="1:17" s="511" customFormat="1">
      <c r="A42" s="442">
        <v>3924</v>
      </c>
      <c r="B42" s="501">
        <f>+'Sch. F 2018'!G42</f>
        <v>144084</v>
      </c>
      <c r="C42" s="502">
        <v>0</v>
      </c>
      <c r="D42" s="502">
        <v>0</v>
      </c>
      <c r="E42" s="502">
        <v>0</v>
      </c>
      <c r="F42" s="502">
        <v>0</v>
      </c>
      <c r="G42" s="503">
        <f t="shared" si="0"/>
        <v>144084</v>
      </c>
      <c r="H42" s="513">
        <f>+'Sch. F 2018'!H42</f>
        <v>3924</v>
      </c>
      <c r="I42" s="501">
        <f>'Sch. F 2018'!P42</f>
        <v>84948.450000000012</v>
      </c>
      <c r="J42" s="434">
        <f t="shared" si="2"/>
        <v>0</v>
      </c>
      <c r="K42" s="505">
        <f>'Sch. J'!P41</f>
        <v>19592.2</v>
      </c>
      <c r="L42" s="502">
        <v>0</v>
      </c>
      <c r="M42" s="502">
        <v>0</v>
      </c>
      <c r="N42" s="510"/>
      <c r="O42" s="505">
        <f>-2258.15-5712.22</f>
        <v>-7970.3700000000008</v>
      </c>
      <c r="P42" s="507">
        <f t="shared" si="3"/>
        <v>96570.280000000013</v>
      </c>
      <c r="Q42" s="508"/>
    </row>
    <row r="43" spans="1:17" s="511" customFormat="1">
      <c r="A43" s="442">
        <v>393</v>
      </c>
      <c r="B43" s="501">
        <f>+'Sch. F 2018'!G43</f>
        <v>149712</v>
      </c>
      <c r="C43" s="502">
        <v>0</v>
      </c>
      <c r="D43" s="502">
        <v>0</v>
      </c>
      <c r="E43" s="502">
        <v>0</v>
      </c>
      <c r="F43" s="502">
        <v>0</v>
      </c>
      <c r="G43" s="503">
        <f t="shared" si="0"/>
        <v>149712</v>
      </c>
      <c r="H43" s="513">
        <f>+'Sch. F 2018'!H43</f>
        <v>393</v>
      </c>
      <c r="I43" s="501">
        <f>'Sch. F 2018'!P43</f>
        <v>150960.28</v>
      </c>
      <c r="J43" s="434">
        <f t="shared" si="2"/>
        <v>0</v>
      </c>
      <c r="K43" s="505">
        <f>'Sch. J'!P42</f>
        <v>395.85</v>
      </c>
      <c r="L43" s="502">
        <v>0</v>
      </c>
      <c r="M43" s="502">
        <v>0</v>
      </c>
      <c r="N43" s="510"/>
      <c r="O43" s="510"/>
      <c r="P43" s="507">
        <f t="shared" si="3"/>
        <v>151356.13</v>
      </c>
      <c r="Q43" s="508"/>
    </row>
    <row r="44" spans="1:17" s="511" customFormat="1">
      <c r="A44" s="443">
        <v>394</v>
      </c>
      <c r="B44" s="501">
        <f>+'Sch. F 2018'!G44</f>
        <v>439047.73</v>
      </c>
      <c r="C44" s="502">
        <v>3759.29</v>
      </c>
      <c r="D44" s="502">
        <v>0</v>
      </c>
      <c r="E44" s="502">
        <v>0</v>
      </c>
      <c r="F44" s="502">
        <v>0</v>
      </c>
      <c r="G44" s="503">
        <f t="shared" si="0"/>
        <v>442807.01999999996</v>
      </c>
      <c r="H44" s="513">
        <f>+'Sch. F 2018'!H44</f>
        <v>394</v>
      </c>
      <c r="I44" s="501">
        <f>'Sch. F 2018'!P44</f>
        <v>342892.59</v>
      </c>
      <c r="J44" s="434">
        <f t="shared" si="2"/>
        <v>0</v>
      </c>
      <c r="K44" s="505">
        <f>'Sch. J'!P43</f>
        <v>37961.5</v>
      </c>
      <c r="L44" s="502">
        <v>0</v>
      </c>
      <c r="M44" s="502">
        <v>0</v>
      </c>
      <c r="N44" s="510"/>
      <c r="O44" s="510"/>
      <c r="P44" s="507">
        <f t="shared" si="3"/>
        <v>380854.09</v>
      </c>
      <c r="Q44" s="508"/>
    </row>
    <row r="45" spans="1:17" s="511" customFormat="1">
      <c r="A45" s="433">
        <v>395</v>
      </c>
      <c r="B45" s="501">
        <f>+'Sch. F 2018'!G45</f>
        <v>119512</v>
      </c>
      <c r="C45" s="502">
        <v>0</v>
      </c>
      <c r="D45" s="502">
        <v>0</v>
      </c>
      <c r="E45" s="502">
        <v>0</v>
      </c>
      <c r="F45" s="502">
        <v>0</v>
      </c>
      <c r="G45" s="503">
        <f t="shared" si="0"/>
        <v>119512</v>
      </c>
      <c r="H45" s="513">
        <f>+'Sch. F 2018'!H45</f>
        <v>395</v>
      </c>
      <c r="I45" s="501">
        <f>'Sch. F 2018'!P45</f>
        <v>118599.51</v>
      </c>
      <c r="J45" s="434">
        <f t="shared" si="2"/>
        <v>0</v>
      </c>
      <c r="K45" s="505">
        <f>'Sch. J'!P44</f>
        <v>1096.53</v>
      </c>
      <c r="L45" s="502">
        <v>0</v>
      </c>
      <c r="M45" s="502">
        <v>0</v>
      </c>
      <c r="N45" s="510"/>
      <c r="O45" s="510"/>
      <c r="P45" s="507">
        <f t="shared" si="3"/>
        <v>119696.04</v>
      </c>
      <c r="Q45" s="508"/>
    </row>
    <row r="46" spans="1:17" s="511" customFormat="1">
      <c r="A46" s="433">
        <v>396</v>
      </c>
      <c r="B46" s="501">
        <f>+'Sch. F 2018'!G46</f>
        <v>884704.44000000006</v>
      </c>
      <c r="C46" s="502">
        <v>13818.56</v>
      </c>
      <c r="D46" s="502">
        <v>0</v>
      </c>
      <c r="E46" s="502">
        <v>0</v>
      </c>
      <c r="F46" s="502">
        <v>0</v>
      </c>
      <c r="G46" s="503">
        <f t="shared" si="0"/>
        <v>898523.00000000012</v>
      </c>
      <c r="H46" s="513">
        <f>+'Sch. F 2018'!H46</f>
        <v>396</v>
      </c>
      <c r="I46" s="501">
        <f>'Sch. F 2018'!P46</f>
        <v>296824.81</v>
      </c>
      <c r="J46" s="434">
        <f t="shared" si="2"/>
        <v>0</v>
      </c>
      <c r="K46" s="505">
        <f>'Sch. J'!P45</f>
        <v>38927.039999999994</v>
      </c>
      <c r="L46" s="502">
        <v>0</v>
      </c>
      <c r="M46" s="502">
        <v>0</v>
      </c>
      <c r="N46" s="510"/>
      <c r="O46" s="510"/>
      <c r="P46" s="507">
        <f t="shared" si="3"/>
        <v>335751.85</v>
      </c>
      <c r="Q46" s="508"/>
    </row>
    <row r="47" spans="1:17" s="511" customFormat="1">
      <c r="A47" s="433">
        <v>397</v>
      </c>
      <c r="B47" s="501">
        <f>+'Sch. F 2018'!G47</f>
        <v>366628</v>
      </c>
      <c r="C47" s="502">
        <v>5519.3600000000006</v>
      </c>
      <c r="D47" s="502">
        <v>0</v>
      </c>
      <c r="E47" s="502">
        <v>0</v>
      </c>
      <c r="F47" s="502">
        <v>0</v>
      </c>
      <c r="G47" s="503">
        <f t="shared" si="0"/>
        <v>372147.36</v>
      </c>
      <c r="H47" s="513">
        <f>+'Sch. F 2018'!H47</f>
        <v>397</v>
      </c>
      <c r="I47" s="501">
        <f>'Sch. F 2018'!P47</f>
        <v>366593.04</v>
      </c>
      <c r="J47" s="434">
        <f t="shared" si="2"/>
        <v>0</v>
      </c>
      <c r="K47" s="505">
        <f>'Sch. J'!P46</f>
        <v>15834.489999999998</v>
      </c>
      <c r="L47" s="502">
        <v>0</v>
      </c>
      <c r="M47" s="502">
        <v>0</v>
      </c>
      <c r="N47" s="510"/>
      <c r="O47" s="510"/>
      <c r="P47" s="507">
        <f t="shared" si="3"/>
        <v>382427.52999999997</v>
      </c>
      <c r="Q47" s="508"/>
    </row>
    <row r="48" spans="1:17" s="511" customFormat="1">
      <c r="A48" s="433">
        <v>398</v>
      </c>
      <c r="B48" s="501">
        <f>+'Sch. F 2018'!G48</f>
        <v>56868</v>
      </c>
      <c r="C48" s="502">
        <v>14437.060000000001</v>
      </c>
      <c r="D48" s="502">
        <v>0</v>
      </c>
      <c r="E48" s="502">
        <v>0</v>
      </c>
      <c r="F48" s="502">
        <v>0</v>
      </c>
      <c r="G48" s="503">
        <f t="shared" si="0"/>
        <v>71305.06</v>
      </c>
      <c r="H48" s="513">
        <f>+'Sch. F 2018'!H48</f>
        <v>398</v>
      </c>
      <c r="I48" s="501">
        <f>'Sch. F 2018'!P48</f>
        <v>44867.34</v>
      </c>
      <c r="J48" s="434">
        <f t="shared" si="2"/>
        <v>0</v>
      </c>
      <c r="K48" s="505">
        <f>'Sch. J'!P47</f>
        <v>5789.92</v>
      </c>
      <c r="L48" s="502">
        <v>0</v>
      </c>
      <c r="M48" s="502">
        <v>0</v>
      </c>
      <c r="N48" s="510"/>
      <c r="O48" s="510"/>
      <c r="P48" s="507">
        <f t="shared" si="3"/>
        <v>50657.259999999995</v>
      </c>
      <c r="Q48" s="508"/>
    </row>
    <row r="49" spans="1:17" s="511" customFormat="1">
      <c r="A49" s="433">
        <v>399</v>
      </c>
      <c r="B49" s="501">
        <f>+'Sch. F 2018'!G49</f>
        <v>10000</v>
      </c>
      <c r="C49" s="502">
        <v>0</v>
      </c>
      <c r="D49" s="502">
        <v>0</v>
      </c>
      <c r="E49" s="502">
        <v>0</v>
      </c>
      <c r="F49" s="502">
        <v>0</v>
      </c>
      <c r="G49" s="503">
        <f t="shared" si="0"/>
        <v>10000</v>
      </c>
      <c r="H49" s="513">
        <f>+'Sch. F 2018'!H49</f>
        <v>399</v>
      </c>
      <c r="I49" s="501">
        <f>'Sch. F 2018'!P49</f>
        <v>10000</v>
      </c>
      <c r="J49" s="434">
        <f t="shared" si="2"/>
        <v>0</v>
      </c>
      <c r="K49" s="505">
        <f>'Sch. J'!P48</f>
        <v>0</v>
      </c>
      <c r="L49" s="502">
        <v>0</v>
      </c>
      <c r="M49" s="502">
        <v>0</v>
      </c>
      <c r="N49" s="510"/>
      <c r="O49" s="510"/>
      <c r="P49" s="507">
        <f t="shared" si="3"/>
        <v>10000</v>
      </c>
      <c r="Q49" s="508"/>
    </row>
    <row r="50" spans="1:17" ht="13.5" thickBot="1">
      <c r="A50" s="446" t="s">
        <v>98</v>
      </c>
      <c r="B50" s="447">
        <f t="shared" ref="B50:G50" si="4">SUM(B9:B49)</f>
        <v>133388823.10000002</v>
      </c>
      <c r="C50" s="447">
        <f t="shared" si="4"/>
        <v>26849567.729999997</v>
      </c>
      <c r="D50" s="447">
        <f t="shared" si="4"/>
        <v>-27160.91</v>
      </c>
      <c r="E50" s="447">
        <f t="shared" si="4"/>
        <v>-1348001.75</v>
      </c>
      <c r="F50" s="447">
        <f t="shared" si="4"/>
        <v>320.90000000005239</v>
      </c>
      <c r="G50" s="514">
        <f t="shared" si="4"/>
        <v>158863549.07000005</v>
      </c>
      <c r="H50" s="448"/>
      <c r="I50" s="447">
        <f t="shared" ref="I50:P50" si="5">SUM(I9:I49)</f>
        <v>65556428.213</v>
      </c>
      <c r="J50" s="447">
        <f t="shared" si="5"/>
        <v>-1348001.75</v>
      </c>
      <c r="K50" s="447">
        <f t="shared" si="5"/>
        <v>5148404.49</v>
      </c>
      <c r="L50" s="447">
        <f t="shared" si="5"/>
        <v>59701.74</v>
      </c>
      <c r="M50" s="447">
        <f t="shared" si="5"/>
        <v>-7601579.9099999992</v>
      </c>
      <c r="N50" s="447">
        <f t="shared" si="5"/>
        <v>-23236.158504999999</v>
      </c>
      <c r="O50" s="447">
        <f t="shared" si="5"/>
        <v>8278034.1600000001</v>
      </c>
      <c r="P50" s="515">
        <f t="shared" si="5"/>
        <v>70069750.784495011</v>
      </c>
      <c r="Q50" s="516"/>
    </row>
    <row r="51" spans="1:17" ht="13.5" thickTop="1">
      <c r="B51" s="412"/>
      <c r="C51" s="518"/>
      <c r="E51" s="518"/>
      <c r="F51" s="453"/>
      <c r="G51" s="454"/>
      <c r="I51" s="412"/>
      <c r="O51" s="453"/>
      <c r="P51" s="454"/>
    </row>
  </sheetData>
  <mergeCells count="5">
    <mergeCell ref="A1:P1"/>
    <mergeCell ref="A2:P2"/>
    <mergeCell ref="A3:P3"/>
    <mergeCell ref="A4:P4"/>
    <mergeCell ref="A6:G6"/>
  </mergeCells>
  <printOptions horizontalCentered="1"/>
  <pageMargins left="0.5" right="0.5" top="0.5" bottom="0.75" header="0.3" footer="0.3"/>
  <pageSetup scale="7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00B050"/>
    <pageSetUpPr fitToPage="1"/>
  </sheetPr>
  <dimension ref="A1:R78"/>
  <sheetViews>
    <sheetView tabSelected="1" workbookViewId="0">
      <selection activeCell="J7" sqref="J7"/>
    </sheetView>
  </sheetViews>
  <sheetFormatPr defaultColWidth="8.7109375" defaultRowHeight="15"/>
  <cols>
    <col min="1" max="1" width="11.28515625" style="476" customWidth="1"/>
    <col min="2" max="2" width="13.7109375" style="476" bestFit="1" customWidth="1"/>
    <col min="3" max="3" width="12.7109375" style="478" bestFit="1" customWidth="1"/>
    <col min="4" max="4" width="12" style="476" customWidth="1"/>
    <col min="5" max="5" width="12.140625" style="480" bestFit="1" customWidth="1"/>
    <col min="6" max="6" width="53.42578125" style="482" customWidth="1"/>
    <col min="7" max="7" width="18.28515625" style="476" bestFit="1" customWidth="1"/>
    <col min="8" max="8" width="11.85546875" style="476" bestFit="1" customWidth="1"/>
    <col min="9" max="9" width="9.7109375" style="476" bestFit="1" customWidth="1"/>
    <col min="10" max="10" width="11.85546875" style="476" bestFit="1" customWidth="1"/>
    <col min="11" max="11" width="10.140625" style="476" bestFit="1" customWidth="1"/>
    <col min="12" max="12" width="9.7109375" style="476" bestFit="1" customWidth="1"/>
    <col min="13" max="14" width="8.7109375" style="476"/>
    <col min="15" max="15" width="9.7109375" style="476" bestFit="1" customWidth="1"/>
    <col min="16" max="16384" width="8.7109375" style="476"/>
  </cols>
  <sheetData>
    <row r="1" spans="1:18" s="457" customFormat="1" ht="18">
      <c r="A1" s="766" t="s">
        <v>105</v>
      </c>
      <c r="B1" s="766"/>
      <c r="C1" s="766"/>
      <c r="D1" s="766"/>
      <c r="E1" s="766"/>
      <c r="F1" s="766"/>
      <c r="G1" s="456"/>
      <c r="H1" s="456"/>
      <c r="I1" s="456"/>
      <c r="J1" s="456"/>
      <c r="K1" s="456"/>
      <c r="L1" s="456"/>
      <c r="M1" s="456"/>
      <c r="N1" s="456"/>
      <c r="O1" s="456"/>
      <c r="P1" s="456"/>
      <c r="Q1" s="456"/>
      <c r="R1" s="456"/>
    </row>
    <row r="2" spans="1:18" s="459" customFormat="1">
      <c r="A2" s="767" t="s">
        <v>271</v>
      </c>
      <c r="B2" s="767"/>
      <c r="C2" s="767"/>
      <c r="D2" s="767"/>
      <c r="E2" s="767"/>
      <c r="F2" s="767"/>
      <c r="G2" s="458"/>
      <c r="H2" s="458"/>
      <c r="I2" s="458"/>
      <c r="J2" s="458"/>
      <c r="K2" s="458"/>
      <c r="L2" s="458"/>
      <c r="M2" s="458"/>
      <c r="N2" s="458"/>
      <c r="O2" s="458"/>
      <c r="P2" s="458"/>
      <c r="Q2" s="458"/>
      <c r="R2" s="458"/>
    </row>
    <row r="3" spans="1:18" s="459" customFormat="1" ht="15.75">
      <c r="A3" s="768" t="s">
        <v>142</v>
      </c>
      <c r="B3" s="768"/>
      <c r="C3" s="768"/>
      <c r="D3" s="768"/>
      <c r="E3" s="768"/>
      <c r="F3" s="768"/>
      <c r="G3" s="460"/>
      <c r="H3" s="460"/>
      <c r="I3" s="460"/>
      <c r="J3" s="460"/>
      <c r="K3" s="460"/>
      <c r="L3" s="460"/>
      <c r="M3" s="460"/>
      <c r="N3" s="460"/>
      <c r="O3" s="460"/>
      <c r="P3" s="460"/>
      <c r="Q3" s="460"/>
      <c r="R3" s="460"/>
    </row>
    <row r="4" spans="1:18" s="464" customFormat="1" ht="13.5" thickBot="1">
      <c r="A4" s="461"/>
      <c r="B4" s="462"/>
      <c r="C4" s="462"/>
      <c r="D4" s="462"/>
      <c r="E4" s="463"/>
      <c r="F4" s="462"/>
      <c r="G4" s="462"/>
      <c r="H4" s="462"/>
      <c r="I4" s="462"/>
      <c r="J4" s="462"/>
      <c r="K4" s="462"/>
      <c r="L4" s="462"/>
      <c r="M4" s="462"/>
      <c r="N4" s="462"/>
      <c r="O4" s="462"/>
      <c r="P4" s="462"/>
      <c r="Q4" s="462"/>
      <c r="R4" s="462"/>
    </row>
    <row r="5" spans="1:18" s="469" customFormat="1" ht="13.5" thickBot="1">
      <c r="A5" s="519" t="s">
        <v>124</v>
      </c>
      <c r="B5" s="520" t="s">
        <v>125</v>
      </c>
      <c r="C5" s="520" t="s">
        <v>126</v>
      </c>
      <c r="D5" s="520" t="s">
        <v>127</v>
      </c>
      <c r="E5" s="521" t="s">
        <v>128</v>
      </c>
      <c r="F5" s="522" t="s">
        <v>129</v>
      </c>
    </row>
    <row r="6" spans="1:18" s="469" customFormat="1" ht="39">
      <c r="A6" s="523" t="s">
        <v>143</v>
      </c>
      <c r="B6" s="524" t="s">
        <v>131</v>
      </c>
      <c r="C6" s="525" t="s">
        <v>116</v>
      </c>
      <c r="D6" s="473">
        <v>3911</v>
      </c>
      <c r="E6" s="526">
        <f>'Sch. F 2019'!C35</f>
        <v>0</v>
      </c>
      <c r="F6" s="475" t="s">
        <v>144</v>
      </c>
    </row>
    <row r="7" spans="1:18" s="469" customFormat="1" ht="26.25">
      <c r="A7" s="523" t="s">
        <v>143</v>
      </c>
      <c r="B7" s="524" t="s">
        <v>131</v>
      </c>
      <c r="C7" s="525" t="s">
        <v>116</v>
      </c>
      <c r="D7" s="527">
        <v>3914</v>
      </c>
      <c r="E7" s="526">
        <f>'Sch. F 2019'!C38</f>
        <v>-6948.1600000000017</v>
      </c>
      <c r="F7" s="475" t="s">
        <v>145</v>
      </c>
    </row>
    <row r="8" spans="1:18" s="469" customFormat="1" ht="26.25">
      <c r="A8" s="523" t="s">
        <v>143</v>
      </c>
      <c r="B8" s="524" t="s">
        <v>131</v>
      </c>
      <c r="C8" s="525" t="s">
        <v>116</v>
      </c>
      <c r="D8" s="473">
        <v>3922</v>
      </c>
      <c r="E8" s="526">
        <f>'Sch. F 2019'!C40</f>
        <v>67807.59</v>
      </c>
      <c r="F8" s="475" t="s">
        <v>146</v>
      </c>
    </row>
    <row r="9" spans="1:18" s="469" customFormat="1" ht="26.25">
      <c r="A9" s="523" t="s">
        <v>143</v>
      </c>
      <c r="B9" s="524" t="s">
        <v>131</v>
      </c>
      <c r="C9" s="525" t="s">
        <v>116</v>
      </c>
      <c r="D9" s="527">
        <v>3923</v>
      </c>
      <c r="E9" s="526">
        <f>'Sch. F 2019'!C41</f>
        <v>199871.47999999998</v>
      </c>
      <c r="F9" s="475" t="s">
        <v>146</v>
      </c>
    </row>
    <row r="10" spans="1:18" s="469" customFormat="1" ht="26.25">
      <c r="A10" s="523" t="s">
        <v>143</v>
      </c>
      <c r="B10" s="524" t="s">
        <v>131</v>
      </c>
      <c r="C10" s="525" t="s">
        <v>116</v>
      </c>
      <c r="D10" s="528">
        <v>3924</v>
      </c>
      <c r="E10" s="526">
        <f>'Sch. F 2019'!C42</f>
        <v>0</v>
      </c>
      <c r="F10" s="475" t="s">
        <v>147</v>
      </c>
    </row>
    <row r="11" spans="1:18" ht="26.25">
      <c r="A11" s="523" t="s">
        <v>143</v>
      </c>
      <c r="B11" s="524" t="s">
        <v>131</v>
      </c>
      <c r="C11" s="525" t="s">
        <v>117</v>
      </c>
      <c r="D11" s="528">
        <v>3922</v>
      </c>
      <c r="E11" s="526">
        <f>+'Sch. F 2019'!D40</f>
        <v>-27160.91</v>
      </c>
      <c r="F11" s="529" t="s">
        <v>148</v>
      </c>
    </row>
    <row r="12" spans="1:18" ht="39">
      <c r="A12" s="470" t="s">
        <v>143</v>
      </c>
      <c r="B12" s="471" t="s">
        <v>131</v>
      </c>
      <c r="C12" s="530" t="s">
        <v>149</v>
      </c>
      <c r="D12" s="473">
        <v>3921</v>
      </c>
      <c r="E12" s="474">
        <f>+'Sch. F 2019'!F39</f>
        <v>-389971.6</v>
      </c>
      <c r="F12" s="475" t="s">
        <v>150</v>
      </c>
      <c r="G12" s="479"/>
    </row>
    <row r="13" spans="1:18" ht="39">
      <c r="A13" s="470" t="s">
        <v>143</v>
      </c>
      <c r="B13" s="471" t="s">
        <v>131</v>
      </c>
      <c r="C13" s="530" t="s">
        <v>149</v>
      </c>
      <c r="D13" s="473">
        <v>3922</v>
      </c>
      <c r="E13" s="474">
        <f>+'Sch. F 2019'!F40</f>
        <v>133280.52000000002</v>
      </c>
      <c r="F13" s="475" t="s">
        <v>151</v>
      </c>
      <c r="G13" s="479"/>
    </row>
    <row r="14" spans="1:18" ht="51.75">
      <c r="A14" s="470" t="s">
        <v>143</v>
      </c>
      <c r="B14" s="471" t="s">
        <v>152</v>
      </c>
      <c r="C14" s="530" t="s">
        <v>153</v>
      </c>
      <c r="D14" s="527">
        <v>3680</v>
      </c>
      <c r="E14" s="531">
        <f>'Sch. F 2019'!J26</f>
        <v>-116688.77</v>
      </c>
      <c r="F14" s="529" t="s">
        <v>154</v>
      </c>
      <c r="G14" s="532"/>
    </row>
    <row r="15" spans="1:18" ht="39">
      <c r="A15" s="470" t="s">
        <v>143</v>
      </c>
      <c r="B15" s="471" t="s">
        <v>152</v>
      </c>
      <c r="C15" s="530" t="s">
        <v>153</v>
      </c>
      <c r="D15" s="527">
        <v>3690</v>
      </c>
      <c r="E15" s="531">
        <f>'Sch. F 2019'!J27</f>
        <v>-472770.1</v>
      </c>
      <c r="F15" s="529" t="s">
        <v>155</v>
      </c>
      <c r="G15" s="532"/>
    </row>
    <row r="16" spans="1:18">
      <c r="A16" s="470" t="s">
        <v>143</v>
      </c>
      <c r="B16" s="471" t="s">
        <v>152</v>
      </c>
      <c r="C16" s="530" t="s">
        <v>121</v>
      </c>
      <c r="D16" s="527">
        <v>365</v>
      </c>
      <c r="E16" s="531">
        <f>'Sch. F 2019'!L23</f>
        <v>26981.119999999999</v>
      </c>
      <c r="F16" s="529" t="s">
        <v>156</v>
      </c>
      <c r="G16" s="532"/>
    </row>
    <row r="17" spans="1:7">
      <c r="A17" s="470" t="s">
        <v>143</v>
      </c>
      <c r="B17" s="471" t="s">
        <v>152</v>
      </c>
      <c r="C17" s="530" t="s">
        <v>121</v>
      </c>
      <c r="D17" s="527">
        <v>368</v>
      </c>
      <c r="E17" s="531">
        <f>'Sch. F 2019'!L26</f>
        <v>32291.94</v>
      </c>
      <c r="F17" s="529" t="s">
        <v>156</v>
      </c>
      <c r="G17" s="532"/>
    </row>
    <row r="18" spans="1:7">
      <c r="A18" s="470" t="s">
        <v>143</v>
      </c>
      <c r="B18" s="471" t="s">
        <v>152</v>
      </c>
      <c r="C18" s="530" t="s">
        <v>121</v>
      </c>
      <c r="D18" s="527">
        <v>369</v>
      </c>
      <c r="E18" s="531">
        <f>'Sch. F 2019'!L27</f>
        <v>247.28</v>
      </c>
      <c r="F18" s="529" t="s">
        <v>156</v>
      </c>
      <c r="G18" s="532"/>
    </row>
    <row r="19" spans="1:7">
      <c r="A19" s="470" t="s">
        <v>143</v>
      </c>
      <c r="B19" s="471" t="s">
        <v>152</v>
      </c>
      <c r="C19" s="530" t="s">
        <v>121</v>
      </c>
      <c r="D19" s="527">
        <v>370</v>
      </c>
      <c r="E19" s="531">
        <f>'Sch. F 2019'!L28</f>
        <v>181.4</v>
      </c>
      <c r="F19" s="529" t="s">
        <v>156</v>
      </c>
      <c r="G19" s="532"/>
    </row>
    <row r="20" spans="1:7" ht="26.25">
      <c r="A20" s="470" t="s">
        <v>143</v>
      </c>
      <c r="B20" s="471" t="s">
        <v>152</v>
      </c>
      <c r="C20" s="530" t="s">
        <v>157</v>
      </c>
      <c r="D20" s="527">
        <v>356</v>
      </c>
      <c r="E20" s="531">
        <f>'Sch. F 2019'!M16</f>
        <v>0</v>
      </c>
      <c r="F20" s="529" t="s">
        <v>158</v>
      </c>
      <c r="G20" s="532"/>
    </row>
    <row r="21" spans="1:7" ht="26.25">
      <c r="A21" s="470" t="s">
        <v>143</v>
      </c>
      <c r="B21" s="471" t="s">
        <v>152</v>
      </c>
      <c r="C21" s="530" t="s">
        <v>157</v>
      </c>
      <c r="D21" s="527">
        <v>364</v>
      </c>
      <c r="E21" s="531">
        <f>'Sch. F 2019'!M22</f>
        <v>-5254164.03</v>
      </c>
      <c r="F21" s="529" t="s">
        <v>159</v>
      </c>
      <c r="G21" s="532"/>
    </row>
    <row r="22" spans="1:7" ht="26.25">
      <c r="A22" s="470" t="s">
        <v>143</v>
      </c>
      <c r="B22" s="471" t="s">
        <v>152</v>
      </c>
      <c r="C22" s="530" t="s">
        <v>157</v>
      </c>
      <c r="D22" s="527">
        <v>365</v>
      </c>
      <c r="E22" s="531">
        <f>'Sch. F 2019'!M23</f>
        <v>-1839521.89</v>
      </c>
      <c r="F22" s="529" t="s">
        <v>160</v>
      </c>
      <c r="G22" s="532"/>
    </row>
    <row r="23" spans="1:7" ht="26.25">
      <c r="A23" s="470" t="s">
        <v>143</v>
      </c>
      <c r="B23" s="471" t="s">
        <v>152</v>
      </c>
      <c r="C23" s="530" t="s">
        <v>157</v>
      </c>
      <c r="D23" s="527">
        <v>367</v>
      </c>
      <c r="E23" s="531">
        <f>'Sch. F 2019'!M25</f>
        <v>-10411.81</v>
      </c>
      <c r="F23" s="529" t="s">
        <v>161</v>
      </c>
      <c r="G23" s="532"/>
    </row>
    <row r="24" spans="1:7" ht="26.25">
      <c r="A24" s="470" t="s">
        <v>143</v>
      </c>
      <c r="B24" s="471" t="s">
        <v>152</v>
      </c>
      <c r="C24" s="530" t="s">
        <v>157</v>
      </c>
      <c r="D24" s="527">
        <v>368</v>
      </c>
      <c r="E24" s="531">
        <f>'Sch. F 2019'!M26</f>
        <v>-30590.789999999997</v>
      </c>
      <c r="F24" s="529" t="s">
        <v>162</v>
      </c>
      <c r="G24" s="532"/>
    </row>
    <row r="25" spans="1:7" ht="26.25">
      <c r="A25" s="470" t="s">
        <v>143</v>
      </c>
      <c r="B25" s="471" t="s">
        <v>152</v>
      </c>
      <c r="C25" s="530" t="s">
        <v>157</v>
      </c>
      <c r="D25" s="527">
        <v>369</v>
      </c>
      <c r="E25" s="531">
        <f>'Sch. F 2019'!M27</f>
        <v>-272733.46000000002</v>
      </c>
      <c r="F25" s="529" t="s">
        <v>163</v>
      </c>
      <c r="G25" s="532"/>
    </row>
    <row r="26" spans="1:7" ht="26.25">
      <c r="A26" s="470" t="s">
        <v>143</v>
      </c>
      <c r="B26" s="471" t="s">
        <v>152</v>
      </c>
      <c r="C26" s="530" t="s">
        <v>157</v>
      </c>
      <c r="D26" s="527">
        <v>370</v>
      </c>
      <c r="E26" s="531">
        <f>'Sch. F 2019'!M28</f>
        <v>-153305.1</v>
      </c>
      <c r="F26" s="529" t="s">
        <v>164</v>
      </c>
      <c r="G26" s="532"/>
    </row>
    <row r="27" spans="1:7" ht="26.25">
      <c r="A27" s="470" t="s">
        <v>143</v>
      </c>
      <c r="B27" s="471" t="s">
        <v>152</v>
      </c>
      <c r="C27" s="530" t="s">
        <v>157</v>
      </c>
      <c r="D27" s="527">
        <v>371</v>
      </c>
      <c r="E27" s="531">
        <f>'Sch. F 2019'!M29</f>
        <v>-23476.66</v>
      </c>
      <c r="F27" s="529" t="s">
        <v>165</v>
      </c>
      <c r="G27" s="532"/>
    </row>
    <row r="28" spans="1:7" ht="26.25">
      <c r="A28" s="470" t="s">
        <v>143</v>
      </c>
      <c r="B28" s="471" t="s">
        <v>152</v>
      </c>
      <c r="C28" s="530" t="s">
        <v>117</v>
      </c>
      <c r="D28" s="527">
        <v>3922</v>
      </c>
      <c r="E28" s="531">
        <f>+'Sch. F 2019'!N40</f>
        <v>-23236.158504999999</v>
      </c>
      <c r="F28" s="529" t="s">
        <v>148</v>
      </c>
      <c r="G28" s="533"/>
    </row>
    <row r="29" spans="1:7" ht="64.5">
      <c r="A29" s="470" t="s">
        <v>143</v>
      </c>
      <c r="B29" s="471" t="s">
        <v>152</v>
      </c>
      <c r="C29" s="530" t="s">
        <v>149</v>
      </c>
      <c r="D29" s="527">
        <v>3921</v>
      </c>
      <c r="E29" s="531">
        <f>+'Sch. F 2019'!O39</f>
        <v>0</v>
      </c>
      <c r="F29" s="534" t="s">
        <v>166</v>
      </c>
      <c r="G29" s="533"/>
    </row>
    <row r="30" spans="1:7" ht="39">
      <c r="A30" s="470" t="s">
        <v>143</v>
      </c>
      <c r="B30" s="471" t="s">
        <v>152</v>
      </c>
      <c r="C30" s="530" t="s">
        <v>149</v>
      </c>
      <c r="D30" s="527">
        <v>3922</v>
      </c>
      <c r="E30" s="531">
        <f>+'Sch. F 2019'!O40</f>
        <v>4624</v>
      </c>
      <c r="F30" s="534" t="s">
        <v>167</v>
      </c>
      <c r="G30" s="533"/>
    </row>
    <row r="31" spans="1:7" ht="39">
      <c r="A31" s="470" t="s">
        <v>143</v>
      </c>
      <c r="B31" s="471" t="s">
        <v>152</v>
      </c>
      <c r="C31" s="530" t="s">
        <v>149</v>
      </c>
      <c r="D31" s="527">
        <v>3923</v>
      </c>
      <c r="E31" s="531">
        <f>+'Sch. F 2019'!O41</f>
        <v>29048.53</v>
      </c>
      <c r="F31" s="534" t="s">
        <v>168</v>
      </c>
      <c r="G31" s="533"/>
    </row>
    <row r="32" spans="1:7">
      <c r="A32" s="479"/>
      <c r="C32" s="479"/>
      <c r="D32" s="533"/>
      <c r="E32" s="494"/>
      <c r="F32" s="535"/>
      <c r="G32" s="533"/>
    </row>
    <row r="33" spans="1:15">
      <c r="A33" s="479"/>
      <c r="D33" s="533"/>
      <c r="E33" s="494"/>
      <c r="F33" s="536"/>
      <c r="G33" s="533"/>
    </row>
    <row r="34" spans="1:15">
      <c r="D34" s="533"/>
      <c r="E34" s="494"/>
      <c r="F34" s="536"/>
      <c r="G34" s="533"/>
    </row>
    <row r="35" spans="1:15">
      <c r="A35" s="537" t="s">
        <v>169</v>
      </c>
    </row>
    <row r="36" spans="1:15" ht="15.75" thickBot="1">
      <c r="A36" s="537"/>
    </row>
    <row r="37" spans="1:15" ht="12.75">
      <c r="A37" s="483" t="s">
        <v>109</v>
      </c>
      <c r="B37" s="484" t="s">
        <v>109</v>
      </c>
      <c r="C37" s="484"/>
      <c r="D37" s="484" t="s">
        <v>170</v>
      </c>
      <c r="E37" s="484"/>
      <c r="F37" s="485"/>
      <c r="G37" s="482"/>
    </row>
    <row r="38" spans="1:15">
      <c r="A38" s="538" t="s">
        <v>114</v>
      </c>
      <c r="B38" s="539" t="s">
        <v>116</v>
      </c>
      <c r="C38" s="539" t="s">
        <v>118</v>
      </c>
      <c r="D38" s="539" t="s">
        <v>121</v>
      </c>
      <c r="E38" s="539" t="s">
        <v>157</v>
      </c>
      <c r="F38" s="540" t="s">
        <v>171</v>
      </c>
      <c r="G38" s="482"/>
      <c r="M38"/>
      <c r="N38"/>
      <c r="O38"/>
    </row>
    <row r="39" spans="1:15">
      <c r="A39" s="489">
        <v>362</v>
      </c>
      <c r="B39" s="541">
        <v>11885</v>
      </c>
      <c r="C39" s="542"/>
      <c r="D39" s="542"/>
      <c r="E39" s="542"/>
      <c r="F39" s="543"/>
      <c r="G39" s="482"/>
      <c r="M39"/>
      <c r="N39"/>
      <c r="O39"/>
    </row>
    <row r="40" spans="1:15">
      <c r="A40" s="489">
        <v>364</v>
      </c>
      <c r="B40" s="490">
        <v>8051371</v>
      </c>
      <c r="C40" s="544">
        <v>-27114.86</v>
      </c>
      <c r="D40" s="544"/>
      <c r="E40" s="545">
        <f>-5202220-83</f>
        <v>-5202303</v>
      </c>
      <c r="F40" s="546">
        <v>-311525</v>
      </c>
      <c r="G40" s="482"/>
      <c r="H40" s="477"/>
      <c r="I40" s="477"/>
      <c r="L40" s="477"/>
      <c r="M40"/>
      <c r="N40"/>
      <c r="O40"/>
    </row>
    <row r="41" spans="1:15">
      <c r="A41" s="489">
        <v>365</v>
      </c>
      <c r="B41" s="490">
        <v>4656583</v>
      </c>
      <c r="C41" s="544">
        <f>-28484.13+21412.64</f>
        <v>-7071.4900000000016</v>
      </c>
      <c r="D41" s="544">
        <v>25992</v>
      </c>
      <c r="E41" s="544">
        <f>-1796949-41273</f>
        <v>-1838222</v>
      </c>
      <c r="F41" s="546">
        <v>-159389</v>
      </c>
      <c r="G41" s="482"/>
      <c r="H41" s="547"/>
      <c r="I41" s="477"/>
      <c r="L41" s="477"/>
      <c r="M41"/>
      <c r="N41"/>
      <c r="O41"/>
    </row>
    <row r="42" spans="1:15">
      <c r="A42" s="489">
        <v>367</v>
      </c>
      <c r="B42" s="490">
        <v>259864</v>
      </c>
      <c r="C42" s="544"/>
      <c r="D42" s="544"/>
      <c r="E42" s="544"/>
      <c r="F42" s="546"/>
      <c r="G42" s="482"/>
      <c r="H42" s="547"/>
      <c r="I42" s="477"/>
      <c r="L42" s="477"/>
      <c r="M42"/>
      <c r="N42"/>
      <c r="O42"/>
    </row>
    <row r="43" spans="1:15">
      <c r="A43" s="489">
        <v>368</v>
      </c>
      <c r="B43" s="490">
        <f>2790363+100115</f>
        <v>2890478</v>
      </c>
      <c r="C43" s="544">
        <v>-4213.72</v>
      </c>
      <c r="D43" s="544">
        <v>29267</v>
      </c>
      <c r="E43" s="544">
        <v>-7028</v>
      </c>
      <c r="F43" s="546">
        <v>-85684</v>
      </c>
      <c r="G43" s="482"/>
      <c r="H43" s="477"/>
      <c r="I43" s="477"/>
      <c r="L43" s="477"/>
      <c r="M43"/>
      <c r="N43"/>
      <c r="O43"/>
    </row>
    <row r="44" spans="1:15">
      <c r="A44" s="489">
        <v>369</v>
      </c>
      <c r="B44" s="490">
        <f>2665177+33481</f>
        <v>2698658</v>
      </c>
      <c r="C44" s="544"/>
      <c r="D44" s="544"/>
      <c r="E44" s="544">
        <v>-247574</v>
      </c>
      <c r="F44" s="546">
        <v>-9082</v>
      </c>
      <c r="G44" s="482"/>
      <c r="I44" s="477"/>
      <c r="L44" s="477"/>
      <c r="M44"/>
      <c r="N44"/>
      <c r="O44"/>
    </row>
    <row r="45" spans="1:15">
      <c r="A45" s="489">
        <v>370</v>
      </c>
      <c r="B45" s="490">
        <v>752207</v>
      </c>
      <c r="C45" s="544">
        <v>-23786.36</v>
      </c>
      <c r="D45" s="544"/>
      <c r="E45" s="544">
        <v>-148142</v>
      </c>
      <c r="F45" s="546">
        <v>-18519</v>
      </c>
      <c r="G45" s="482"/>
      <c r="I45" s="477"/>
      <c r="L45" s="477"/>
      <c r="M45"/>
      <c r="N45"/>
      <c r="O45"/>
    </row>
    <row r="46" spans="1:15">
      <c r="A46" s="489">
        <v>371</v>
      </c>
      <c r="B46" s="490">
        <v>207803</v>
      </c>
      <c r="C46" s="544">
        <v>-470834.18</v>
      </c>
      <c r="D46" s="544"/>
      <c r="E46" s="544">
        <v>-5816</v>
      </c>
      <c r="F46" s="546">
        <v>-265786</v>
      </c>
      <c r="G46" s="482"/>
      <c r="I46" s="477"/>
      <c r="L46" s="477"/>
      <c r="M46"/>
      <c r="N46"/>
      <c r="O46"/>
    </row>
    <row r="47" spans="1:15">
      <c r="A47" s="491">
        <v>373</v>
      </c>
      <c r="B47" s="492">
        <v>474478</v>
      </c>
      <c r="C47" s="548">
        <v>-15291.96</v>
      </c>
      <c r="D47" s="548"/>
      <c r="E47" s="548">
        <v>-1144</v>
      </c>
      <c r="F47" s="549">
        <v>-7377</v>
      </c>
      <c r="G47" s="482"/>
      <c r="I47" s="477"/>
      <c r="L47" s="477"/>
      <c r="M47"/>
      <c r="N47"/>
      <c r="O47"/>
    </row>
    <row r="48" spans="1:15" ht="13.5" thickBot="1">
      <c r="A48" s="550" t="s">
        <v>98</v>
      </c>
      <c r="B48" s="551">
        <f>SUM(B39:B47)</f>
        <v>20003327</v>
      </c>
      <c r="C48" s="552">
        <f>SUM(C39:C47)</f>
        <v>-548312.56999999995</v>
      </c>
      <c r="D48" s="552">
        <f>SUM(D39:D47)</f>
        <v>55259</v>
      </c>
      <c r="E48" s="552">
        <f>SUM(E39:E47)</f>
        <v>-7450229</v>
      </c>
      <c r="F48" s="553">
        <v>-857362</v>
      </c>
      <c r="G48" s="482"/>
      <c r="H48" s="477"/>
      <c r="I48" s="477"/>
      <c r="J48" s="477"/>
    </row>
    <row r="49" spans="1:6" ht="13.5" thickBot="1">
      <c r="C49" s="477"/>
      <c r="D49" s="554"/>
      <c r="E49" s="554"/>
    </row>
    <row r="50" spans="1:6" s="469" customFormat="1" ht="13.5" thickBot="1">
      <c r="A50" s="519" t="s">
        <v>124</v>
      </c>
      <c r="B50" s="520" t="s">
        <v>125</v>
      </c>
      <c r="C50" s="520" t="s">
        <v>126</v>
      </c>
      <c r="D50" s="520" t="s">
        <v>127</v>
      </c>
      <c r="E50" s="521" t="s">
        <v>128</v>
      </c>
      <c r="F50" s="522" t="s">
        <v>129</v>
      </c>
    </row>
    <row r="51" spans="1:6" ht="39.6" customHeight="1">
      <c r="A51" s="555" t="s">
        <v>143</v>
      </c>
      <c r="B51" s="556" t="s">
        <v>152</v>
      </c>
      <c r="C51" s="557" t="s">
        <v>149</v>
      </c>
      <c r="D51" s="558">
        <v>364</v>
      </c>
      <c r="E51" s="559">
        <f>+'Sch. F 2019'!O22</f>
        <v>5513828</v>
      </c>
      <c r="F51" s="774" t="s">
        <v>172</v>
      </c>
    </row>
    <row r="52" spans="1:6">
      <c r="A52" s="560" t="s">
        <v>143</v>
      </c>
      <c r="B52" s="561" t="s">
        <v>152</v>
      </c>
      <c r="C52" s="562" t="s">
        <v>149</v>
      </c>
      <c r="D52" s="527">
        <v>365</v>
      </c>
      <c r="E52" s="563">
        <f>+'Sch. F 2019'!O23</f>
        <v>1971619</v>
      </c>
      <c r="F52" s="775"/>
    </row>
    <row r="53" spans="1:6">
      <c r="A53" s="560" t="s">
        <v>143</v>
      </c>
      <c r="B53" s="561" t="s">
        <v>152</v>
      </c>
      <c r="C53" s="562" t="s">
        <v>149</v>
      </c>
      <c r="D53" s="527">
        <v>368</v>
      </c>
      <c r="E53" s="563">
        <f>+'Sch. F 2019'!O26</f>
        <v>63445</v>
      </c>
      <c r="F53" s="775"/>
    </row>
    <row r="54" spans="1:6">
      <c r="A54" s="560" t="s">
        <v>143</v>
      </c>
      <c r="B54" s="561" t="s">
        <v>152</v>
      </c>
      <c r="C54" s="562" t="s">
        <v>149</v>
      </c>
      <c r="D54" s="527">
        <v>369</v>
      </c>
      <c r="E54" s="563">
        <f>+'Sch. F 2019'!O27</f>
        <v>256656</v>
      </c>
      <c r="F54" s="775"/>
    </row>
    <row r="55" spans="1:6">
      <c r="A55" s="560" t="s">
        <v>143</v>
      </c>
      <c r="B55" s="561" t="s">
        <v>152</v>
      </c>
      <c r="C55" s="562" t="s">
        <v>149</v>
      </c>
      <c r="D55" s="527">
        <v>370</v>
      </c>
      <c r="E55" s="563">
        <f>+'Sch. F 2019'!O28</f>
        <v>166661</v>
      </c>
      <c r="F55" s="775"/>
    </row>
    <row r="56" spans="1:6">
      <c r="A56" s="560" t="s">
        <v>143</v>
      </c>
      <c r="B56" s="561" t="s">
        <v>152</v>
      </c>
      <c r="C56" s="562" t="s">
        <v>149</v>
      </c>
      <c r="D56" s="527">
        <v>371</v>
      </c>
      <c r="E56" s="563">
        <f>+'Sch. F 2019'!O29</f>
        <v>271602</v>
      </c>
      <c r="F56" s="775"/>
    </row>
    <row r="57" spans="1:6">
      <c r="A57" s="560" t="s">
        <v>143</v>
      </c>
      <c r="B57" s="561" t="s">
        <v>152</v>
      </c>
      <c r="C57" s="562" t="s">
        <v>149</v>
      </c>
      <c r="D57" s="527">
        <v>373</v>
      </c>
      <c r="E57" s="563">
        <f>+'Sch. F 2019'!O30</f>
        <v>8521</v>
      </c>
      <c r="F57" s="775"/>
    </row>
    <row r="58" spans="1:6" ht="13.5" thickBot="1">
      <c r="A58" s="564"/>
      <c r="B58" s="565"/>
      <c r="C58" s="566"/>
      <c r="D58" s="567" t="s">
        <v>173</v>
      </c>
      <c r="E58" s="568">
        <f>SUM(E51:E57)</f>
        <v>8252332</v>
      </c>
      <c r="F58" s="776"/>
    </row>
    <row r="59" spans="1:6">
      <c r="C59" s="493"/>
    </row>
    <row r="78" spans="6:6">
      <c r="F78" s="481"/>
    </row>
  </sheetData>
  <mergeCells count="4">
    <mergeCell ref="A1:F1"/>
    <mergeCell ref="A2:F2"/>
    <mergeCell ref="A3:F3"/>
    <mergeCell ref="F51:F58"/>
  </mergeCells>
  <pageMargins left="0.7" right="0.7" top="0.75" bottom="0.75" header="0.3" footer="0.3"/>
  <pageSetup scale="78"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3">
    <tabColor rgb="FF00B050"/>
    <pageSetUpPr fitToPage="1"/>
  </sheetPr>
  <dimension ref="A1:Q52"/>
  <sheetViews>
    <sheetView topLeftCell="E36" workbookViewId="0">
      <selection activeCell="R50" sqref="R50"/>
    </sheetView>
  </sheetViews>
  <sheetFormatPr defaultColWidth="16.42578125" defaultRowHeight="15"/>
  <cols>
    <col min="1" max="1" width="9.42578125" style="589" customWidth="1"/>
    <col min="2" max="2" width="27.7109375" style="589" customWidth="1"/>
    <col min="3" max="3" width="7.42578125" style="623" customWidth="1"/>
    <col min="4" max="16" width="12.7109375" style="589" customWidth="1"/>
    <col min="17" max="17" width="0" style="575" hidden="1" customWidth="1"/>
    <col min="18" max="16384" width="16.42578125" style="589"/>
  </cols>
  <sheetData>
    <row r="1" spans="1:17" s="569" customFormat="1" ht="18">
      <c r="B1" s="570" t="s">
        <v>105</v>
      </c>
      <c r="C1" s="571"/>
      <c r="D1" s="572"/>
      <c r="E1" s="573"/>
      <c r="F1" s="573"/>
      <c r="G1" s="573"/>
      <c r="H1" s="574"/>
      <c r="I1" s="573"/>
      <c r="J1" s="573"/>
      <c r="K1" s="573"/>
      <c r="L1" s="573"/>
      <c r="M1" s="573"/>
      <c r="N1" s="573"/>
      <c r="O1" s="573"/>
      <c r="P1" s="573"/>
    </row>
    <row r="2" spans="1:17" s="575" customFormat="1">
      <c r="B2" s="576" t="s">
        <v>271</v>
      </c>
      <c r="C2" s="577"/>
      <c r="D2" s="578"/>
      <c r="E2" s="579"/>
      <c r="F2" s="579"/>
      <c r="G2" s="579"/>
      <c r="H2" s="579"/>
      <c r="I2" s="579"/>
      <c r="J2" s="579"/>
      <c r="K2" s="579"/>
      <c r="L2" s="579"/>
      <c r="M2" s="579"/>
      <c r="N2" s="580"/>
      <c r="O2" s="579"/>
      <c r="P2" s="579"/>
    </row>
    <row r="3" spans="1:17" s="575" customFormat="1" ht="15.75">
      <c r="B3" s="581" t="s">
        <v>272</v>
      </c>
      <c r="C3" s="582"/>
      <c r="D3" s="579"/>
      <c r="E3" s="579"/>
      <c r="F3" s="579"/>
      <c r="G3" s="579"/>
      <c r="H3" s="579"/>
      <c r="I3" s="579"/>
      <c r="J3" s="579"/>
      <c r="K3" s="579"/>
      <c r="L3" s="579"/>
      <c r="M3" s="579"/>
      <c r="N3" s="583"/>
      <c r="O3" s="579"/>
      <c r="P3" s="579"/>
    </row>
    <row r="4" spans="1:17" s="584" customFormat="1" ht="12.75">
      <c r="B4" s="777"/>
      <c r="C4" s="777"/>
      <c r="D4" s="777"/>
      <c r="E4" s="777"/>
      <c r="F4" s="777"/>
      <c r="G4" s="777"/>
      <c r="H4" s="777"/>
      <c r="I4" s="777"/>
      <c r="J4" s="777"/>
      <c r="K4" s="777"/>
      <c r="L4" s="777"/>
      <c r="M4" s="777"/>
      <c r="N4" s="777"/>
      <c r="O4" s="777"/>
      <c r="P4" s="777"/>
    </row>
    <row r="5" spans="1:17" ht="15.75" thickBot="1">
      <c r="A5" s="585"/>
      <c r="B5" s="586"/>
      <c r="C5" s="587"/>
      <c r="D5" s="588"/>
      <c r="E5" s="588"/>
      <c r="F5" s="588"/>
      <c r="G5" s="588"/>
      <c r="H5" s="588"/>
      <c r="I5" s="588"/>
      <c r="J5" s="588"/>
      <c r="K5" s="588"/>
      <c r="L5" s="588"/>
      <c r="M5" s="588"/>
      <c r="N5" s="588"/>
      <c r="O5" s="588"/>
      <c r="P5" s="588"/>
    </row>
    <row r="6" spans="1:17" s="596" customFormat="1">
      <c r="A6" s="590"/>
      <c r="B6" s="591"/>
      <c r="C6" s="591"/>
      <c r="D6" s="592"/>
      <c r="E6" s="592"/>
      <c r="F6" s="592"/>
      <c r="G6" s="592"/>
      <c r="H6" s="592"/>
      <c r="I6" s="592"/>
      <c r="J6" s="592"/>
      <c r="K6" s="592"/>
      <c r="L6" s="592"/>
      <c r="M6" s="592"/>
      <c r="N6" s="592"/>
      <c r="O6" s="593"/>
      <c r="P6" s="594"/>
      <c r="Q6" s="595"/>
    </row>
    <row r="7" spans="1:17" s="596" customFormat="1">
      <c r="A7" s="597" t="s">
        <v>174</v>
      </c>
      <c r="B7" s="598" t="s">
        <v>175</v>
      </c>
      <c r="C7" s="598" t="s">
        <v>70</v>
      </c>
      <c r="D7" s="599" t="s">
        <v>176</v>
      </c>
      <c r="E7" s="599" t="s">
        <v>177</v>
      </c>
      <c r="F7" s="599" t="s">
        <v>178</v>
      </c>
      <c r="G7" s="599" t="s">
        <v>179</v>
      </c>
      <c r="H7" s="599" t="s">
        <v>180</v>
      </c>
      <c r="I7" s="599" t="s">
        <v>181</v>
      </c>
      <c r="J7" s="599" t="s">
        <v>182</v>
      </c>
      <c r="K7" s="599" t="s">
        <v>183</v>
      </c>
      <c r="L7" s="599" t="s">
        <v>184</v>
      </c>
      <c r="M7" s="599" t="s">
        <v>185</v>
      </c>
      <c r="N7" s="599" t="s">
        <v>186</v>
      </c>
      <c r="O7" s="600" t="s">
        <v>187</v>
      </c>
      <c r="P7" s="601" t="s">
        <v>98</v>
      </c>
      <c r="Q7" s="595"/>
    </row>
    <row r="8" spans="1:17">
      <c r="A8" s="602">
        <v>350</v>
      </c>
      <c r="B8" s="603" t="s">
        <v>273</v>
      </c>
      <c r="C8" s="604" t="s">
        <v>188</v>
      </c>
      <c r="D8" s="605">
        <v>0</v>
      </c>
      <c r="E8" s="605">
        <v>0</v>
      </c>
      <c r="F8" s="605">
        <v>0</v>
      </c>
      <c r="G8" s="605">
        <v>0</v>
      </c>
      <c r="H8" s="605">
        <v>0</v>
      </c>
      <c r="I8" s="605">
        <v>0</v>
      </c>
      <c r="J8" s="605">
        <v>0</v>
      </c>
      <c r="K8" s="605">
        <v>0</v>
      </c>
      <c r="L8" s="605">
        <v>0</v>
      </c>
      <c r="M8" s="605">
        <v>0</v>
      </c>
      <c r="N8" s="605">
        <v>0</v>
      </c>
      <c r="O8" s="605">
        <v>0</v>
      </c>
      <c r="P8" s="606">
        <f>SUM(D8:O8)</f>
        <v>0</v>
      </c>
    </row>
    <row r="9" spans="1:17">
      <c r="A9" s="602">
        <v>3501</v>
      </c>
      <c r="B9" s="603" t="s">
        <v>274</v>
      </c>
      <c r="C9" s="604">
        <v>1.4E-2</v>
      </c>
      <c r="D9" s="605">
        <v>0</v>
      </c>
      <c r="E9" s="605">
        <v>0</v>
      </c>
      <c r="F9" s="605">
        <v>0</v>
      </c>
      <c r="G9" s="605">
        <v>0</v>
      </c>
      <c r="H9" s="605">
        <v>0</v>
      </c>
      <c r="I9" s="605">
        <v>0</v>
      </c>
      <c r="J9" s="605">
        <v>0</v>
      </c>
      <c r="K9" s="605">
        <v>0</v>
      </c>
      <c r="L9" s="605">
        <v>0</v>
      </c>
      <c r="M9" s="605">
        <v>0</v>
      </c>
      <c r="N9" s="605">
        <v>0</v>
      </c>
      <c r="O9" s="605">
        <v>0</v>
      </c>
      <c r="P9" s="606">
        <f>SUM(D9:O9)</f>
        <v>0</v>
      </c>
    </row>
    <row r="10" spans="1:17" s="607" customFormat="1">
      <c r="A10" s="602">
        <v>352</v>
      </c>
      <c r="B10" s="603" t="s">
        <v>275</v>
      </c>
      <c r="C10" s="604">
        <v>1.7999999999999999E-2</v>
      </c>
      <c r="D10" s="605">
        <v>2879.24</v>
      </c>
      <c r="E10" s="605">
        <v>2879.24</v>
      </c>
      <c r="F10" s="605">
        <v>2879.24</v>
      </c>
      <c r="G10" s="605">
        <v>2879.24</v>
      </c>
      <c r="H10" s="605">
        <v>2879.24</v>
      </c>
      <c r="I10" s="605">
        <v>2879.24</v>
      </c>
      <c r="J10" s="605">
        <v>2879.24</v>
      </c>
      <c r="K10" s="605">
        <v>2879.24</v>
      </c>
      <c r="L10" s="605">
        <v>2879.24</v>
      </c>
      <c r="M10" s="605">
        <v>2879.24</v>
      </c>
      <c r="N10" s="605">
        <v>2879.24</v>
      </c>
      <c r="O10" s="605">
        <v>2879.24</v>
      </c>
      <c r="P10" s="606">
        <f t="shared" ref="P10:P48" si="0">SUM(D10:O10)</f>
        <v>34550.87999999999</v>
      </c>
    </row>
    <row r="11" spans="1:17" s="607" customFormat="1">
      <c r="A11" s="602">
        <v>353</v>
      </c>
      <c r="B11" s="603" t="s">
        <v>276</v>
      </c>
      <c r="C11" s="604">
        <v>2.5999999999999999E-2</v>
      </c>
      <c r="D11" s="605">
        <v>15083.67</v>
      </c>
      <c r="E11" s="605">
        <v>15083.67</v>
      </c>
      <c r="F11" s="605">
        <v>15379.47</v>
      </c>
      <c r="G11" s="605">
        <v>15386.65</v>
      </c>
      <c r="H11" s="605">
        <v>15391.35</v>
      </c>
      <c r="I11" s="605">
        <v>15472.62</v>
      </c>
      <c r="J11" s="605">
        <v>15472.62</v>
      </c>
      <c r="K11" s="605">
        <v>15622.39</v>
      </c>
      <c r="L11" s="605">
        <v>15622.39</v>
      </c>
      <c r="M11" s="605">
        <v>15622.39</v>
      </c>
      <c r="N11" s="605">
        <v>15622.39</v>
      </c>
      <c r="O11" s="605">
        <v>15622.39</v>
      </c>
      <c r="P11" s="606">
        <f t="shared" si="0"/>
        <v>185382</v>
      </c>
    </row>
    <row r="12" spans="1:17" s="607" customFormat="1">
      <c r="A12" s="602">
        <v>354</v>
      </c>
      <c r="B12" s="603" t="s">
        <v>277</v>
      </c>
      <c r="C12" s="604">
        <v>2.1000000000000001E-2</v>
      </c>
      <c r="D12" s="605">
        <v>393.4</v>
      </c>
      <c r="E12" s="605">
        <v>393.4</v>
      </c>
      <c r="F12" s="605">
        <v>393.4</v>
      </c>
      <c r="G12" s="605">
        <v>393.4</v>
      </c>
      <c r="H12" s="605">
        <v>393.4</v>
      </c>
      <c r="I12" s="605">
        <v>393.4</v>
      </c>
      <c r="J12" s="605">
        <v>393.4</v>
      </c>
      <c r="K12" s="605">
        <v>393.4</v>
      </c>
      <c r="L12" s="605">
        <v>393.4</v>
      </c>
      <c r="M12" s="605">
        <v>393.4</v>
      </c>
      <c r="N12" s="605">
        <v>393.4</v>
      </c>
      <c r="O12" s="605">
        <v>393.4</v>
      </c>
      <c r="P12" s="606">
        <f t="shared" si="0"/>
        <v>4720.8</v>
      </c>
    </row>
    <row r="13" spans="1:17" s="607" customFormat="1">
      <c r="A13" s="602">
        <v>355</v>
      </c>
      <c r="B13" s="603" t="s">
        <v>278</v>
      </c>
      <c r="C13" s="604">
        <v>4.1000000000000002E-2</v>
      </c>
      <c r="D13" s="605">
        <v>5322.3</v>
      </c>
      <c r="E13" s="605">
        <v>5322.3</v>
      </c>
      <c r="F13" s="605">
        <v>5322.3</v>
      </c>
      <c r="G13" s="605">
        <v>5322.3</v>
      </c>
      <c r="H13" s="605">
        <v>5322.3</v>
      </c>
      <c r="I13" s="605">
        <v>5322.3</v>
      </c>
      <c r="J13" s="605">
        <v>5322.2999999999993</v>
      </c>
      <c r="K13" s="605">
        <v>5322.2999999999993</v>
      </c>
      <c r="L13" s="605">
        <v>5322.2999999999993</v>
      </c>
      <c r="M13" s="605">
        <v>5322.2999999999993</v>
      </c>
      <c r="N13" s="605">
        <v>5322.2999999999993</v>
      </c>
      <c r="O13" s="605">
        <v>5322.2999999999993</v>
      </c>
      <c r="P13" s="606">
        <f t="shared" si="0"/>
        <v>63867.600000000006</v>
      </c>
    </row>
    <row r="14" spans="1:17" s="607" customFormat="1">
      <c r="A14" s="602">
        <v>3551</v>
      </c>
      <c r="B14" s="603" t="s">
        <v>279</v>
      </c>
      <c r="C14" s="604">
        <v>2.9000000000000001E-2</v>
      </c>
      <c r="D14" s="605">
        <v>9436.43</v>
      </c>
      <c r="E14" s="605">
        <v>9436.43</v>
      </c>
      <c r="F14" s="605">
        <v>9436.43</v>
      </c>
      <c r="G14" s="605">
        <v>9436.43</v>
      </c>
      <c r="H14" s="605">
        <v>9436.43</v>
      </c>
      <c r="I14" s="605">
        <v>9436.43</v>
      </c>
      <c r="J14" s="605">
        <v>9436.43</v>
      </c>
      <c r="K14" s="605">
        <v>9436.43</v>
      </c>
      <c r="L14" s="605">
        <v>9436.43</v>
      </c>
      <c r="M14" s="605">
        <v>9436.43</v>
      </c>
      <c r="N14" s="605">
        <v>9436.43</v>
      </c>
      <c r="O14" s="605">
        <v>9436.43</v>
      </c>
      <c r="P14" s="606">
        <f t="shared" si="0"/>
        <v>113237.15999999997</v>
      </c>
    </row>
    <row r="15" spans="1:17" s="607" customFormat="1" ht="25.5">
      <c r="A15" s="602">
        <v>356</v>
      </c>
      <c r="B15" s="603" t="s">
        <v>280</v>
      </c>
      <c r="C15" s="604">
        <v>2.5000000000000001E-2</v>
      </c>
      <c r="D15" s="605">
        <v>6445.71</v>
      </c>
      <c r="E15" s="605">
        <v>6445.71</v>
      </c>
      <c r="F15" s="605">
        <v>6445.71</v>
      </c>
      <c r="G15" s="605">
        <v>6445.71</v>
      </c>
      <c r="H15" s="605">
        <v>6445.71</v>
      </c>
      <c r="I15" s="605">
        <v>6445.71</v>
      </c>
      <c r="J15" s="605">
        <v>6445.71</v>
      </c>
      <c r="K15" s="605">
        <v>6445.7100000000009</v>
      </c>
      <c r="L15" s="605">
        <v>6445.7100000000009</v>
      </c>
      <c r="M15" s="605">
        <v>6445.7100000000009</v>
      </c>
      <c r="N15" s="605">
        <v>6445.71</v>
      </c>
      <c r="O15" s="605">
        <v>6445.7100000000009</v>
      </c>
      <c r="P15" s="606">
        <f t="shared" si="0"/>
        <v>77348.52</v>
      </c>
    </row>
    <row r="16" spans="1:17" s="607" customFormat="1">
      <c r="A16" s="602">
        <v>359</v>
      </c>
      <c r="B16" s="603" t="s">
        <v>281</v>
      </c>
      <c r="C16" s="604">
        <v>1.4999999999999999E-2</v>
      </c>
      <c r="D16" s="605">
        <v>8.48</v>
      </c>
      <c r="E16" s="605">
        <v>8.48</v>
      </c>
      <c r="F16" s="605">
        <v>8.48</v>
      </c>
      <c r="G16" s="605">
        <v>8.48</v>
      </c>
      <c r="H16" s="605">
        <v>8.48</v>
      </c>
      <c r="I16" s="605">
        <v>8.48</v>
      </c>
      <c r="J16" s="605">
        <v>8.48</v>
      </c>
      <c r="K16" s="605">
        <v>8.48</v>
      </c>
      <c r="L16" s="605">
        <v>8.48</v>
      </c>
      <c r="M16" s="605">
        <v>8.48</v>
      </c>
      <c r="N16" s="605">
        <v>8.48</v>
      </c>
      <c r="O16" s="605">
        <v>8.48</v>
      </c>
      <c r="P16" s="606">
        <f t="shared" si="0"/>
        <v>101.76000000000003</v>
      </c>
    </row>
    <row r="17" spans="1:16" s="607" customFormat="1">
      <c r="A17" s="602">
        <v>360</v>
      </c>
      <c r="B17" s="603" t="s">
        <v>273</v>
      </c>
      <c r="C17" s="604" t="s">
        <v>188</v>
      </c>
      <c r="D17" s="605">
        <v>0</v>
      </c>
      <c r="E17" s="605">
        <v>0</v>
      </c>
      <c r="F17" s="605">
        <v>0</v>
      </c>
      <c r="G17" s="605">
        <v>0</v>
      </c>
      <c r="H17" s="605">
        <v>0</v>
      </c>
      <c r="I17" s="605">
        <v>0</v>
      </c>
      <c r="J17" s="605">
        <v>0</v>
      </c>
      <c r="K17" s="605">
        <v>0</v>
      </c>
      <c r="L17" s="605">
        <v>0</v>
      </c>
      <c r="M17" s="605">
        <v>0</v>
      </c>
      <c r="N17" s="605">
        <v>0</v>
      </c>
      <c r="O17" s="605">
        <v>0</v>
      </c>
      <c r="P17" s="606">
        <f t="shared" si="0"/>
        <v>0</v>
      </c>
    </row>
    <row r="18" spans="1:16" s="607" customFormat="1">
      <c r="A18" s="602">
        <v>3601</v>
      </c>
      <c r="B18" s="603" t="s">
        <v>274</v>
      </c>
      <c r="C18" s="604">
        <v>1.6E-2</v>
      </c>
      <c r="D18" s="605">
        <v>76</v>
      </c>
      <c r="E18" s="605">
        <v>76</v>
      </c>
      <c r="F18" s="605">
        <v>76</v>
      </c>
      <c r="G18" s="605">
        <v>76</v>
      </c>
      <c r="H18" s="605">
        <v>76</v>
      </c>
      <c r="I18" s="605">
        <v>76</v>
      </c>
      <c r="J18" s="605">
        <v>76</v>
      </c>
      <c r="K18" s="605">
        <v>76</v>
      </c>
      <c r="L18" s="605">
        <v>76</v>
      </c>
      <c r="M18" s="605">
        <v>76</v>
      </c>
      <c r="N18" s="605">
        <v>76</v>
      </c>
      <c r="O18" s="605">
        <v>76</v>
      </c>
      <c r="P18" s="606">
        <f t="shared" si="0"/>
        <v>912</v>
      </c>
    </row>
    <row r="19" spans="1:16" s="607" customFormat="1">
      <c r="A19" s="602">
        <v>361</v>
      </c>
      <c r="B19" s="603" t="s">
        <v>275</v>
      </c>
      <c r="C19" s="604">
        <v>1.7000000000000001E-2</v>
      </c>
      <c r="D19" s="605">
        <v>1698.56</v>
      </c>
      <c r="E19" s="605">
        <v>1698.56</v>
      </c>
      <c r="F19" s="605">
        <v>1698.56</v>
      </c>
      <c r="G19" s="605">
        <v>1698.56</v>
      </c>
      <c r="H19" s="605">
        <v>1698.56</v>
      </c>
      <c r="I19" s="605">
        <v>1698.56</v>
      </c>
      <c r="J19" s="605">
        <v>1698.56</v>
      </c>
      <c r="K19" s="605">
        <v>1698.56</v>
      </c>
      <c r="L19" s="605">
        <v>1698.56</v>
      </c>
      <c r="M19" s="605">
        <v>1698.56</v>
      </c>
      <c r="N19" s="605">
        <v>1698.56</v>
      </c>
      <c r="O19" s="605">
        <v>1698.56</v>
      </c>
      <c r="P19" s="606">
        <f t="shared" si="0"/>
        <v>20382.72</v>
      </c>
    </row>
    <row r="20" spans="1:16" s="607" customFormat="1">
      <c r="A20" s="602">
        <v>362</v>
      </c>
      <c r="B20" s="603" t="s">
        <v>276</v>
      </c>
      <c r="C20" s="604">
        <v>2.4E-2</v>
      </c>
      <c r="D20" s="605">
        <v>25858</v>
      </c>
      <c r="E20" s="605">
        <v>25858</v>
      </c>
      <c r="F20" s="605">
        <v>25897.22</v>
      </c>
      <c r="G20" s="605">
        <v>25955.94</v>
      </c>
      <c r="H20" s="605">
        <v>25989.01</v>
      </c>
      <c r="I20" s="605">
        <v>25999.89</v>
      </c>
      <c r="J20" s="605">
        <v>26084.15</v>
      </c>
      <c r="K20" s="605">
        <v>26099.72</v>
      </c>
      <c r="L20" s="605">
        <v>26152.85</v>
      </c>
      <c r="M20" s="605">
        <v>26247.430000000004</v>
      </c>
      <c r="N20" s="605">
        <v>26359.85</v>
      </c>
      <c r="O20" s="605">
        <v>26407.45</v>
      </c>
      <c r="P20" s="606">
        <f t="shared" si="0"/>
        <v>312909.51</v>
      </c>
    </row>
    <row r="21" spans="1:16" s="607" customFormat="1">
      <c r="A21" s="602">
        <v>364</v>
      </c>
      <c r="B21" s="603" t="s">
        <v>282</v>
      </c>
      <c r="C21" s="604">
        <v>3.9E-2</v>
      </c>
      <c r="D21" s="605">
        <v>53077.11</v>
      </c>
      <c r="E21" s="605">
        <v>53077.11</v>
      </c>
      <c r="F21" s="605">
        <v>53121.64</v>
      </c>
      <c r="G21" s="605">
        <v>74968.210000000006</v>
      </c>
      <c r="H21" s="605">
        <v>78016.03</v>
      </c>
      <c r="I21" s="605">
        <v>78076.42</v>
      </c>
      <c r="J21" s="605">
        <v>77871.909999999989</v>
      </c>
      <c r="K21" s="605">
        <v>77938.12</v>
      </c>
      <c r="L21" s="605">
        <v>79375.069999999992</v>
      </c>
      <c r="M21" s="605">
        <v>79683.14</v>
      </c>
      <c r="N21" s="605">
        <v>79769.009999999995</v>
      </c>
      <c r="O21" s="605">
        <v>80445.100000000006</v>
      </c>
      <c r="P21" s="606">
        <f t="shared" si="0"/>
        <v>865418.86999999988</v>
      </c>
    </row>
    <row r="22" spans="1:16" s="607" customFormat="1" ht="25.5">
      <c r="A22" s="602">
        <v>365</v>
      </c>
      <c r="B22" s="603" t="s">
        <v>280</v>
      </c>
      <c r="C22" s="604">
        <v>3.4000000000000002E-2</v>
      </c>
      <c r="D22" s="605">
        <v>41695.82</v>
      </c>
      <c r="E22" s="605">
        <v>41695.82</v>
      </c>
      <c r="F22" s="605">
        <v>41789.68</v>
      </c>
      <c r="G22" s="605">
        <v>53906.13</v>
      </c>
      <c r="H22" s="605">
        <v>54030.69</v>
      </c>
      <c r="I22" s="605">
        <v>54058.76</v>
      </c>
      <c r="J22" s="605">
        <v>54041.899999999994</v>
      </c>
      <c r="K22" s="605">
        <v>54376.710000000006</v>
      </c>
      <c r="L22" s="605">
        <v>55543.179999999993</v>
      </c>
      <c r="M22" s="605">
        <v>55811.369999999995</v>
      </c>
      <c r="N22" s="605">
        <v>55994.929999999993</v>
      </c>
      <c r="O22" s="605">
        <v>56878.729999999996</v>
      </c>
      <c r="P22" s="606">
        <f t="shared" si="0"/>
        <v>619823.72</v>
      </c>
    </row>
    <row r="23" spans="1:16" s="607" customFormat="1">
      <c r="A23" s="602">
        <v>366</v>
      </c>
      <c r="B23" s="603" t="s">
        <v>283</v>
      </c>
      <c r="C23" s="604">
        <v>1.7999999999999999E-2</v>
      </c>
      <c r="D23" s="605">
        <v>9905.2199999999993</v>
      </c>
      <c r="E23" s="605">
        <v>9905.2199999999993</v>
      </c>
      <c r="F23" s="605">
        <v>9915.84</v>
      </c>
      <c r="G23" s="605">
        <v>9928.56</v>
      </c>
      <c r="H23" s="605">
        <v>9943.66</v>
      </c>
      <c r="I23" s="605">
        <v>9950.41</v>
      </c>
      <c r="J23" s="605">
        <v>9973.93</v>
      </c>
      <c r="K23" s="605">
        <v>9991.4</v>
      </c>
      <c r="L23" s="605">
        <v>10001.189999999999</v>
      </c>
      <c r="M23" s="605">
        <v>10021.19</v>
      </c>
      <c r="N23" s="605">
        <v>10042.900000000001</v>
      </c>
      <c r="O23" s="605">
        <v>10089.51</v>
      </c>
      <c r="P23" s="606">
        <f t="shared" si="0"/>
        <v>119669.02999999998</v>
      </c>
    </row>
    <row r="24" spans="1:16" s="607" customFormat="1" ht="25.5">
      <c r="A24" s="602">
        <v>367</v>
      </c>
      <c r="B24" s="603" t="s">
        <v>284</v>
      </c>
      <c r="C24" s="604">
        <v>3.2000000000000001E-2</v>
      </c>
      <c r="D24" s="605">
        <v>24925.83</v>
      </c>
      <c r="E24" s="605">
        <v>24925.83</v>
      </c>
      <c r="F24" s="605">
        <v>24957</v>
      </c>
      <c r="G24" s="605">
        <v>25505.91</v>
      </c>
      <c r="H24" s="605">
        <v>25326.29</v>
      </c>
      <c r="I24" s="605">
        <v>25343.11</v>
      </c>
      <c r="J24" s="605">
        <v>25363.440000000002</v>
      </c>
      <c r="K24" s="605">
        <v>25382.5</v>
      </c>
      <c r="L24" s="605">
        <v>25421.87</v>
      </c>
      <c r="M24" s="605">
        <v>25232.859999999997</v>
      </c>
      <c r="N24" s="605">
        <v>25128.21</v>
      </c>
      <c r="O24" s="605">
        <v>25177.910000000003</v>
      </c>
      <c r="P24" s="606">
        <f t="shared" si="0"/>
        <v>302690.76</v>
      </c>
    </row>
    <row r="25" spans="1:16" s="607" customFormat="1">
      <c r="A25" s="602">
        <v>368</v>
      </c>
      <c r="B25" s="603" t="s">
        <v>285</v>
      </c>
      <c r="C25" s="604">
        <v>0.04</v>
      </c>
      <c r="D25" s="605">
        <v>61644.13</v>
      </c>
      <c r="E25" s="605">
        <v>61644.13</v>
      </c>
      <c r="F25" s="605">
        <v>62098.19</v>
      </c>
      <c r="G25" s="605">
        <v>69212.95</v>
      </c>
      <c r="H25" s="605">
        <v>72167.509999999995</v>
      </c>
      <c r="I25" s="605">
        <v>72198.73</v>
      </c>
      <c r="J25" s="605">
        <v>72423.509999999995</v>
      </c>
      <c r="K25" s="605">
        <v>73053.549999999988</v>
      </c>
      <c r="L25" s="605">
        <v>74977.75</v>
      </c>
      <c r="M25" s="605">
        <v>75259.889999999985</v>
      </c>
      <c r="N25" s="605">
        <v>75832.05</v>
      </c>
      <c r="O25" s="605">
        <v>76262.720000000001</v>
      </c>
      <c r="P25" s="606">
        <f t="shared" si="0"/>
        <v>846775.11</v>
      </c>
    </row>
    <row r="26" spans="1:16" s="607" customFormat="1">
      <c r="A26" s="602">
        <v>369</v>
      </c>
      <c r="B26" s="603" t="s">
        <v>286</v>
      </c>
      <c r="C26" s="604">
        <v>3.5999999999999997E-2</v>
      </c>
      <c r="D26" s="605">
        <v>33780.69</v>
      </c>
      <c r="E26" s="605">
        <v>33780.69</v>
      </c>
      <c r="F26" s="605">
        <v>33822.69</v>
      </c>
      <c r="G26" s="605">
        <v>41357.75</v>
      </c>
      <c r="H26" s="605">
        <v>41844.42</v>
      </c>
      <c r="I26" s="605">
        <v>41915.11</v>
      </c>
      <c r="J26" s="605">
        <v>41944.469999999994</v>
      </c>
      <c r="K26" s="605">
        <v>42045.44999999999</v>
      </c>
      <c r="L26" s="605">
        <v>42425.48</v>
      </c>
      <c r="M26" s="605">
        <v>41640.47</v>
      </c>
      <c r="N26" s="605">
        <v>41775.539999999994</v>
      </c>
      <c r="O26" s="605">
        <v>41629.490000000005</v>
      </c>
      <c r="P26" s="606">
        <f t="shared" si="0"/>
        <v>477962.24999999994</v>
      </c>
    </row>
    <row r="27" spans="1:16" s="607" customFormat="1">
      <c r="A27" s="602">
        <v>370</v>
      </c>
      <c r="B27" s="603" t="s">
        <v>287</v>
      </c>
      <c r="C27" s="604">
        <v>3.6999999999999998E-2</v>
      </c>
      <c r="D27" s="605">
        <v>13411.29</v>
      </c>
      <c r="E27" s="605">
        <v>13411.29</v>
      </c>
      <c r="F27" s="605">
        <v>13450.03</v>
      </c>
      <c r="G27" s="605">
        <v>16187.05</v>
      </c>
      <c r="H27" s="605">
        <v>15553.53</v>
      </c>
      <c r="I27" s="605">
        <v>15556.16</v>
      </c>
      <c r="J27" s="605">
        <v>15566.36</v>
      </c>
      <c r="K27" s="605">
        <v>15694.92</v>
      </c>
      <c r="L27" s="605">
        <v>15718.33</v>
      </c>
      <c r="M27" s="605">
        <v>15769.060000000001</v>
      </c>
      <c r="N27" s="605">
        <v>15788.350000000002</v>
      </c>
      <c r="O27" s="605">
        <v>15826.349999999999</v>
      </c>
      <c r="P27" s="606">
        <f t="shared" si="0"/>
        <v>181932.72</v>
      </c>
    </row>
    <row r="28" spans="1:16" s="607" customFormat="1" ht="25.5">
      <c r="A28" s="602">
        <v>371</v>
      </c>
      <c r="B28" s="603" t="s">
        <v>288</v>
      </c>
      <c r="C28" s="604">
        <v>4.4999999999999998E-2</v>
      </c>
      <c r="D28" s="605">
        <v>13012.32</v>
      </c>
      <c r="E28" s="605">
        <v>13012.32</v>
      </c>
      <c r="F28" s="605">
        <v>13038.37</v>
      </c>
      <c r="G28" s="605">
        <v>13194.66</v>
      </c>
      <c r="H28" s="605">
        <v>11897.4</v>
      </c>
      <c r="I28" s="605">
        <v>11998.91</v>
      </c>
      <c r="J28" s="605">
        <v>12095.080000000002</v>
      </c>
      <c r="K28" s="605">
        <v>12236.6</v>
      </c>
      <c r="L28" s="605">
        <v>12364.160000000002</v>
      </c>
      <c r="M28" s="605">
        <v>12592.25</v>
      </c>
      <c r="N28" s="605">
        <v>12649.66</v>
      </c>
      <c r="O28" s="605">
        <v>12891.029999999999</v>
      </c>
      <c r="P28" s="606">
        <f t="shared" si="0"/>
        <v>150982.76</v>
      </c>
    </row>
    <row r="29" spans="1:16" s="607" customFormat="1" ht="25.5">
      <c r="A29" s="602">
        <v>373</v>
      </c>
      <c r="B29" s="603" t="s">
        <v>289</v>
      </c>
      <c r="C29" s="604">
        <v>4.9000000000000002E-2</v>
      </c>
      <c r="D29" s="605">
        <v>9627.5499999999993</v>
      </c>
      <c r="E29" s="605">
        <v>9627.5499999999993</v>
      </c>
      <c r="F29" s="605">
        <v>9636.4599999999991</v>
      </c>
      <c r="G29" s="605">
        <v>9363.5300000000007</v>
      </c>
      <c r="H29" s="605">
        <v>9849.98</v>
      </c>
      <c r="I29" s="605">
        <v>9887.9699999999993</v>
      </c>
      <c r="J29" s="605">
        <v>9877.23</v>
      </c>
      <c r="K29" s="605">
        <v>9906.7100000000009</v>
      </c>
      <c r="L29" s="605">
        <v>10735.77</v>
      </c>
      <c r="M29" s="605">
        <v>10782.21</v>
      </c>
      <c r="N29" s="605">
        <v>10812.399999999998</v>
      </c>
      <c r="O29" s="605">
        <v>10824.65</v>
      </c>
      <c r="P29" s="606">
        <f t="shared" si="0"/>
        <v>120932.00999999998</v>
      </c>
    </row>
    <row r="30" spans="1:16" s="607" customFormat="1">
      <c r="A30" s="602">
        <v>380</v>
      </c>
      <c r="B30" s="603" t="s">
        <v>290</v>
      </c>
      <c r="C30" s="604" t="s">
        <v>188</v>
      </c>
      <c r="D30" s="605">
        <v>0</v>
      </c>
      <c r="E30" s="605">
        <v>0</v>
      </c>
      <c r="F30" s="605">
        <v>0</v>
      </c>
      <c r="G30" s="605">
        <v>0</v>
      </c>
      <c r="H30" s="605">
        <v>0</v>
      </c>
      <c r="I30" s="605">
        <v>0</v>
      </c>
      <c r="J30" s="605">
        <v>0</v>
      </c>
      <c r="K30" s="605">
        <v>0</v>
      </c>
      <c r="L30" s="605">
        <v>0</v>
      </c>
      <c r="M30" s="605">
        <v>0</v>
      </c>
      <c r="N30" s="605">
        <v>0</v>
      </c>
      <c r="O30" s="605">
        <v>0</v>
      </c>
      <c r="P30" s="606">
        <f t="shared" si="0"/>
        <v>0</v>
      </c>
    </row>
    <row r="31" spans="1:16" s="607" customFormat="1">
      <c r="A31" s="602">
        <v>389</v>
      </c>
      <c r="B31" s="603" t="s">
        <v>273</v>
      </c>
      <c r="C31" s="604" t="s">
        <v>188</v>
      </c>
      <c r="D31" s="605">
        <v>0</v>
      </c>
      <c r="E31" s="605">
        <v>0</v>
      </c>
      <c r="F31" s="605">
        <v>0</v>
      </c>
      <c r="G31" s="605">
        <v>0</v>
      </c>
      <c r="H31" s="605">
        <v>0</v>
      </c>
      <c r="I31" s="605">
        <v>0</v>
      </c>
      <c r="J31" s="605">
        <v>0</v>
      </c>
      <c r="K31" s="605">
        <v>0</v>
      </c>
      <c r="L31" s="605">
        <v>0</v>
      </c>
      <c r="M31" s="605">
        <v>0</v>
      </c>
      <c r="N31" s="605">
        <v>0</v>
      </c>
      <c r="O31" s="605">
        <v>0</v>
      </c>
      <c r="P31" s="606">
        <f t="shared" si="0"/>
        <v>0</v>
      </c>
    </row>
    <row r="32" spans="1:16" s="607" customFormat="1">
      <c r="A32" s="602">
        <v>390</v>
      </c>
      <c r="B32" s="603" t="s">
        <v>275</v>
      </c>
      <c r="C32" s="604">
        <v>0.02</v>
      </c>
      <c r="D32" s="605">
        <v>6683.81</v>
      </c>
      <c r="E32" s="605">
        <v>6683.81</v>
      </c>
      <c r="F32" s="605">
        <v>6683.81</v>
      </c>
      <c r="G32" s="605">
        <v>6683.81</v>
      </c>
      <c r="H32" s="605">
        <v>6683.81</v>
      </c>
      <c r="I32" s="605">
        <v>6683.81</v>
      </c>
      <c r="J32" s="605">
        <v>6683.81</v>
      </c>
      <c r="K32" s="605">
        <v>6683.81</v>
      </c>
      <c r="L32" s="605">
        <v>6683.81</v>
      </c>
      <c r="M32" s="605">
        <v>6683.81</v>
      </c>
      <c r="N32" s="605">
        <v>6683.81</v>
      </c>
      <c r="O32" s="605">
        <v>6683.81</v>
      </c>
      <c r="P32" s="606">
        <f t="shared" si="0"/>
        <v>80205.719999999987</v>
      </c>
    </row>
    <row r="33" spans="1:17" s="633" customFormat="1" ht="25.5">
      <c r="A33" s="602">
        <v>3910</v>
      </c>
      <c r="B33" s="603" t="s">
        <v>291</v>
      </c>
      <c r="C33" s="604" t="s">
        <v>189</v>
      </c>
      <c r="D33" s="605">
        <f>2678.95+2898.98</f>
        <v>5577.93</v>
      </c>
      <c r="E33" s="605">
        <f>2509.7+2899.03</f>
        <v>5408.73</v>
      </c>
      <c r="F33" s="605">
        <f t="shared" ref="F33:O33" si="1">2678.97+2899.03</f>
        <v>5578</v>
      </c>
      <c r="G33" s="605">
        <f t="shared" si="1"/>
        <v>5578</v>
      </c>
      <c r="H33" s="605">
        <f t="shared" si="1"/>
        <v>5578</v>
      </c>
      <c r="I33" s="605">
        <f t="shared" si="1"/>
        <v>5578</v>
      </c>
      <c r="J33" s="605">
        <f t="shared" si="1"/>
        <v>5578</v>
      </c>
      <c r="K33" s="605">
        <f t="shared" si="1"/>
        <v>5578</v>
      </c>
      <c r="L33" s="605">
        <f t="shared" si="1"/>
        <v>5578</v>
      </c>
      <c r="M33" s="605">
        <f t="shared" si="1"/>
        <v>5578</v>
      </c>
      <c r="N33" s="605">
        <f t="shared" si="1"/>
        <v>5578</v>
      </c>
      <c r="O33" s="605">
        <f t="shared" si="1"/>
        <v>5578</v>
      </c>
      <c r="P33" s="632">
        <f t="shared" si="0"/>
        <v>66766.66</v>
      </c>
      <c r="Q33" s="633">
        <v>7</v>
      </c>
    </row>
    <row r="34" spans="1:17" s="607" customFormat="1" ht="25.5">
      <c r="A34" s="602">
        <v>3911</v>
      </c>
      <c r="B34" s="603" t="s">
        <v>292</v>
      </c>
      <c r="C34" s="604" t="s">
        <v>190</v>
      </c>
      <c r="D34" s="605">
        <v>129.72999999999999</v>
      </c>
      <c r="E34" s="605">
        <v>129.77000000000001</v>
      </c>
      <c r="F34" s="605">
        <v>129.77000000000001</v>
      </c>
      <c r="G34" s="605">
        <v>129.77000000000001</v>
      </c>
      <c r="H34" s="605">
        <v>129.77000000000001</v>
      </c>
      <c r="I34" s="605">
        <v>129.77000000000001</v>
      </c>
      <c r="J34" s="605">
        <v>129.77000000000001</v>
      </c>
      <c r="K34" s="605">
        <v>129.77000000000001</v>
      </c>
      <c r="L34" s="605">
        <v>129.77000000000001</v>
      </c>
      <c r="M34" s="605">
        <v>129.77000000000001</v>
      </c>
      <c r="N34" s="605">
        <v>129.77000000000001</v>
      </c>
      <c r="O34" s="605">
        <v>129.77000000000001</v>
      </c>
      <c r="P34" s="606">
        <f t="shared" si="0"/>
        <v>1557.1999999999998</v>
      </c>
      <c r="Q34" s="607">
        <v>7</v>
      </c>
    </row>
    <row r="35" spans="1:17" s="633" customFormat="1" ht="25.5">
      <c r="A35" s="602">
        <v>3912</v>
      </c>
      <c r="B35" s="603" t="s">
        <v>293</v>
      </c>
      <c r="C35" s="604" t="s">
        <v>190</v>
      </c>
      <c r="D35" s="605">
        <v>295.86</v>
      </c>
      <c r="E35" s="605">
        <v>150.82</v>
      </c>
      <c r="F35" s="605">
        <v>150.82</v>
      </c>
      <c r="G35" s="605">
        <v>150.82</v>
      </c>
      <c r="H35" s="605">
        <v>150.82</v>
      </c>
      <c r="I35" s="605">
        <v>150.82</v>
      </c>
      <c r="J35" s="605">
        <v>150.82</v>
      </c>
      <c r="K35" s="605">
        <v>150.82</v>
      </c>
      <c r="L35" s="605">
        <v>150.82</v>
      </c>
      <c r="M35" s="605">
        <v>150.82</v>
      </c>
      <c r="N35" s="605">
        <v>150.82</v>
      </c>
      <c r="O35" s="605">
        <v>150.82</v>
      </c>
      <c r="P35" s="632">
        <f t="shared" si="0"/>
        <v>1954.8799999999994</v>
      </c>
      <c r="Q35" s="633">
        <v>5</v>
      </c>
    </row>
    <row r="36" spans="1:17" s="607" customFormat="1" ht="25.5">
      <c r="A36" s="602">
        <v>3913</v>
      </c>
      <c r="B36" s="603" t="s">
        <v>294</v>
      </c>
      <c r="C36" s="604" t="s">
        <v>189</v>
      </c>
      <c r="D36" s="605">
        <v>19.079999999999998</v>
      </c>
      <c r="E36" s="605">
        <v>19.05</v>
      </c>
      <c r="F36" s="605">
        <v>19.05</v>
      </c>
      <c r="G36" s="605">
        <v>19.05</v>
      </c>
      <c r="H36" s="605">
        <v>19.05</v>
      </c>
      <c r="I36" s="605">
        <v>19.05</v>
      </c>
      <c r="J36" s="605">
        <v>19.05</v>
      </c>
      <c r="K36" s="605">
        <v>19.05</v>
      </c>
      <c r="L36" s="605">
        <v>19.05</v>
      </c>
      <c r="M36" s="605">
        <v>19.05</v>
      </c>
      <c r="N36" s="605">
        <v>19.05</v>
      </c>
      <c r="O36" s="605">
        <v>19.05</v>
      </c>
      <c r="P36" s="606">
        <f t="shared" si="0"/>
        <v>228.63000000000005</v>
      </c>
      <c r="Q36" s="607">
        <v>5</v>
      </c>
    </row>
    <row r="37" spans="1:17" s="607" customFormat="1" ht="25.5">
      <c r="A37" s="602">
        <v>3914</v>
      </c>
      <c r="B37" s="603" t="s">
        <v>295</v>
      </c>
      <c r="C37" s="604" t="s">
        <v>190</v>
      </c>
      <c r="D37" s="605">
        <v>3135.62</v>
      </c>
      <c r="E37" s="605">
        <v>2901.81</v>
      </c>
      <c r="F37" s="605">
        <v>2901.81</v>
      </c>
      <c r="G37" s="605">
        <v>2901.81</v>
      </c>
      <c r="H37" s="605">
        <v>2901.81</v>
      </c>
      <c r="I37" s="605">
        <v>2901.81</v>
      </c>
      <c r="J37" s="605">
        <v>2901.8100000000004</v>
      </c>
      <c r="K37" s="605">
        <v>2901.8100000000004</v>
      </c>
      <c r="L37" s="605">
        <v>2901.8100000000004</v>
      </c>
      <c r="M37" s="605">
        <v>2901.8100000000004</v>
      </c>
      <c r="N37" s="605">
        <v>2901.8100000000004</v>
      </c>
      <c r="O37" s="605">
        <v>2901.8100000000004</v>
      </c>
      <c r="P37" s="606">
        <f t="shared" si="0"/>
        <v>35055.530000000006</v>
      </c>
      <c r="Q37" s="607">
        <v>5</v>
      </c>
    </row>
    <row r="38" spans="1:17" s="607" customFormat="1">
      <c r="A38" s="602">
        <v>3921</v>
      </c>
      <c r="B38" s="603" t="s">
        <v>296</v>
      </c>
      <c r="C38" s="604">
        <v>0.11899999999999999</v>
      </c>
      <c r="D38" s="605">
        <v>506.87</v>
      </c>
      <c r="E38" s="605">
        <v>506.87</v>
      </c>
      <c r="F38" s="605">
        <v>506.87</v>
      </c>
      <c r="G38" s="605">
        <v>506.87</v>
      </c>
      <c r="H38" s="605">
        <v>506.87</v>
      </c>
      <c r="I38" s="605">
        <v>506.87</v>
      </c>
      <c r="J38" s="605">
        <v>506.87</v>
      </c>
      <c r="K38" s="605">
        <v>506.87</v>
      </c>
      <c r="L38" s="605">
        <v>506.87</v>
      </c>
      <c r="M38" s="605">
        <v>506.87</v>
      </c>
      <c r="N38" s="605">
        <v>506.87</v>
      </c>
      <c r="O38" s="605">
        <v>506.87</v>
      </c>
      <c r="P38" s="606">
        <f t="shared" si="0"/>
        <v>6082.44</v>
      </c>
    </row>
    <row r="39" spans="1:17" s="607" customFormat="1" ht="25.5">
      <c r="A39" s="602">
        <v>3922</v>
      </c>
      <c r="B39" s="603" t="s">
        <v>297</v>
      </c>
      <c r="C39" s="604">
        <v>7.8E-2</v>
      </c>
      <c r="D39" s="605">
        <v>6460.99</v>
      </c>
      <c r="E39" s="605">
        <v>6460.99</v>
      </c>
      <c r="F39" s="605">
        <v>6987.97</v>
      </c>
      <c r="G39" s="605">
        <v>6987.97</v>
      </c>
      <c r="H39" s="605">
        <v>6987.97</v>
      </c>
      <c r="I39" s="605">
        <v>6987.97</v>
      </c>
      <c r="J39" s="605">
        <v>6987.97</v>
      </c>
      <c r="K39" s="605">
        <v>6987.97</v>
      </c>
      <c r="L39" s="605">
        <v>9609.43</v>
      </c>
      <c r="M39" s="605">
        <v>9609.43</v>
      </c>
      <c r="N39" s="605">
        <v>9609.43</v>
      </c>
      <c r="O39" s="605">
        <v>6987.97</v>
      </c>
      <c r="P39" s="606">
        <f t="shared" si="0"/>
        <v>90666.06</v>
      </c>
    </row>
    <row r="40" spans="1:17" s="607" customFormat="1">
      <c r="A40" s="602">
        <v>3923</v>
      </c>
      <c r="B40" s="603" t="s">
        <v>298</v>
      </c>
      <c r="C40" s="604">
        <v>7.0000000000000007E-2</v>
      </c>
      <c r="D40" s="605">
        <v>19931.11</v>
      </c>
      <c r="E40" s="605">
        <v>19931.11</v>
      </c>
      <c r="F40" s="605">
        <v>22260.239999999998</v>
      </c>
      <c r="G40" s="605">
        <v>22260.240000000002</v>
      </c>
      <c r="H40" s="605">
        <v>22260.240000000002</v>
      </c>
      <c r="I40" s="605">
        <v>22260.240000000002</v>
      </c>
      <c r="J40" s="605">
        <v>22260.239999999998</v>
      </c>
      <c r="K40" s="605">
        <v>22260.239999999998</v>
      </c>
      <c r="L40" s="605">
        <v>17001.919999999998</v>
      </c>
      <c r="M40" s="605">
        <v>17001.919999999998</v>
      </c>
      <c r="N40" s="605">
        <v>17001.919999999998</v>
      </c>
      <c r="O40" s="605">
        <v>22260.239999999998</v>
      </c>
      <c r="P40" s="606">
        <f t="shared" si="0"/>
        <v>246689.65999999997</v>
      </c>
    </row>
    <row r="41" spans="1:17" s="607" customFormat="1">
      <c r="A41" s="602">
        <v>3924</v>
      </c>
      <c r="B41" s="603" t="s">
        <v>299</v>
      </c>
      <c r="C41" s="604">
        <v>3.6999999999999998E-2</v>
      </c>
      <c r="D41" s="605">
        <v>3353.56</v>
      </c>
      <c r="E41" s="605">
        <v>3353.56</v>
      </c>
      <c r="F41" s="605">
        <v>497.44999999999982</v>
      </c>
      <c r="G41" s="605">
        <v>497.45</v>
      </c>
      <c r="H41" s="605">
        <v>497.45</v>
      </c>
      <c r="I41" s="605">
        <v>497.45</v>
      </c>
      <c r="J41" s="605">
        <v>497.45</v>
      </c>
      <c r="K41" s="605">
        <v>497.45</v>
      </c>
      <c r="L41" s="605">
        <v>3134.31</v>
      </c>
      <c r="M41" s="605">
        <v>3134.31</v>
      </c>
      <c r="N41" s="605">
        <v>3134.31</v>
      </c>
      <c r="O41" s="605">
        <v>497.45</v>
      </c>
      <c r="P41" s="606">
        <f t="shared" si="0"/>
        <v>19592.2</v>
      </c>
    </row>
    <row r="42" spans="1:17" s="607" customFormat="1" ht="25.5">
      <c r="A42" s="602">
        <v>393</v>
      </c>
      <c r="B42" s="603" t="s">
        <v>300</v>
      </c>
      <c r="C42" s="604" t="s">
        <v>189</v>
      </c>
      <c r="D42" s="605">
        <v>395.85</v>
      </c>
      <c r="E42" s="605">
        <v>0</v>
      </c>
      <c r="F42" s="605">
        <v>0</v>
      </c>
      <c r="G42" s="605">
        <v>0</v>
      </c>
      <c r="H42" s="605">
        <v>0</v>
      </c>
      <c r="I42" s="605">
        <v>0</v>
      </c>
      <c r="J42" s="605">
        <v>0</v>
      </c>
      <c r="K42" s="605">
        <v>0</v>
      </c>
      <c r="L42" s="605">
        <v>0</v>
      </c>
      <c r="M42" s="605">
        <v>0</v>
      </c>
      <c r="N42" s="605">
        <v>0</v>
      </c>
      <c r="O42" s="605">
        <v>0</v>
      </c>
      <c r="P42" s="606">
        <f t="shared" si="0"/>
        <v>395.85</v>
      </c>
      <c r="Q42" s="607">
        <v>7</v>
      </c>
    </row>
    <row r="43" spans="1:17" s="607" customFormat="1" ht="25.5">
      <c r="A43" s="602">
        <v>394</v>
      </c>
      <c r="B43" s="603" t="s">
        <v>301</v>
      </c>
      <c r="C43" s="604" t="s">
        <v>189</v>
      </c>
      <c r="D43" s="605">
        <v>3143.75</v>
      </c>
      <c r="E43" s="605">
        <v>3165.25</v>
      </c>
      <c r="F43" s="605">
        <v>3165.25</v>
      </c>
      <c r="G43" s="605">
        <v>3165.25</v>
      </c>
      <c r="H43" s="605">
        <v>3165.25</v>
      </c>
      <c r="I43" s="605">
        <v>3165.25</v>
      </c>
      <c r="J43" s="605">
        <v>3165.25</v>
      </c>
      <c r="K43" s="605">
        <v>3165.25</v>
      </c>
      <c r="L43" s="605">
        <v>3165.25</v>
      </c>
      <c r="M43" s="605">
        <v>3165.25</v>
      </c>
      <c r="N43" s="605">
        <v>3165.25</v>
      </c>
      <c r="O43" s="605">
        <v>3165.25</v>
      </c>
      <c r="P43" s="606">
        <f t="shared" si="0"/>
        <v>37961.5</v>
      </c>
      <c r="Q43" s="607">
        <v>7</v>
      </c>
    </row>
    <row r="44" spans="1:17" s="607" customFormat="1" ht="25.5">
      <c r="A44" s="602">
        <v>395</v>
      </c>
      <c r="B44" s="603" t="s">
        <v>302</v>
      </c>
      <c r="C44" s="604" t="s">
        <v>189</v>
      </c>
      <c r="D44" s="605">
        <v>553.80999999999995</v>
      </c>
      <c r="E44" s="605">
        <v>542.72</v>
      </c>
      <c r="F44" s="605">
        <v>0</v>
      </c>
      <c r="G44" s="605">
        <v>0</v>
      </c>
      <c r="H44" s="605">
        <v>0</v>
      </c>
      <c r="I44" s="605">
        <v>0</v>
      </c>
      <c r="J44" s="605">
        <v>0</v>
      </c>
      <c r="K44" s="605">
        <v>0</v>
      </c>
      <c r="L44" s="605">
        <v>0</v>
      </c>
      <c r="M44" s="605">
        <v>0</v>
      </c>
      <c r="N44" s="605">
        <v>0</v>
      </c>
      <c r="O44" s="605">
        <v>0</v>
      </c>
      <c r="P44" s="606">
        <f t="shared" si="0"/>
        <v>1096.53</v>
      </c>
      <c r="Q44" s="607">
        <v>7</v>
      </c>
    </row>
    <row r="45" spans="1:17" s="607" customFormat="1">
      <c r="A45" s="602">
        <v>396</v>
      </c>
      <c r="B45" s="603" t="s">
        <v>303</v>
      </c>
      <c r="C45" s="604">
        <v>4.3999999999999997E-2</v>
      </c>
      <c r="D45" s="605">
        <v>3243.92</v>
      </c>
      <c r="E45" s="605">
        <v>3243.92</v>
      </c>
      <c r="F45" s="605">
        <v>3243.92</v>
      </c>
      <c r="G45" s="605">
        <v>3243.92</v>
      </c>
      <c r="H45" s="605">
        <v>3243.92</v>
      </c>
      <c r="I45" s="605">
        <v>3243.92</v>
      </c>
      <c r="J45" s="605">
        <v>3243.92</v>
      </c>
      <c r="K45" s="605">
        <v>3243.92</v>
      </c>
      <c r="L45" s="605">
        <v>3243.92</v>
      </c>
      <c r="M45" s="605">
        <v>3243.92</v>
      </c>
      <c r="N45" s="605">
        <v>3243.92</v>
      </c>
      <c r="O45" s="605">
        <v>3243.92</v>
      </c>
      <c r="P45" s="606">
        <f t="shared" si="0"/>
        <v>38927.039999999994</v>
      </c>
    </row>
    <row r="46" spans="1:17" s="607" customFormat="1" ht="25.5">
      <c r="A46" s="602">
        <v>397</v>
      </c>
      <c r="B46" s="603" t="s">
        <v>304</v>
      </c>
      <c r="C46" s="604" t="s">
        <v>190</v>
      </c>
      <c r="D46" s="605">
        <v>2520.9699999999998</v>
      </c>
      <c r="E46" s="605">
        <v>1210.32</v>
      </c>
      <c r="F46" s="605">
        <v>1210.32</v>
      </c>
      <c r="G46" s="605">
        <v>1210.32</v>
      </c>
      <c r="H46" s="605">
        <v>1210.32</v>
      </c>
      <c r="I46" s="605">
        <v>1210.32</v>
      </c>
      <c r="J46" s="605">
        <v>1210.3200000000002</v>
      </c>
      <c r="K46" s="605">
        <v>1210.3200000000002</v>
      </c>
      <c r="L46" s="605">
        <v>1210.3200000000002</v>
      </c>
      <c r="M46" s="605">
        <v>1210.3200000000002</v>
      </c>
      <c r="N46" s="605">
        <v>1210.3200000000002</v>
      </c>
      <c r="O46" s="605">
        <v>1210.3200000000002</v>
      </c>
      <c r="P46" s="606">
        <f t="shared" si="0"/>
        <v>15834.489999999998</v>
      </c>
      <c r="Q46" s="607">
        <v>5</v>
      </c>
    </row>
    <row r="47" spans="1:17" s="607" customFormat="1" ht="25.5">
      <c r="A47" s="602">
        <v>398</v>
      </c>
      <c r="B47" s="603" t="s">
        <v>305</v>
      </c>
      <c r="C47" s="604" t="s">
        <v>189</v>
      </c>
      <c r="D47" s="605">
        <v>482.42</v>
      </c>
      <c r="E47" s="605">
        <v>482.5</v>
      </c>
      <c r="F47" s="605">
        <v>482.5</v>
      </c>
      <c r="G47" s="605">
        <v>482.5</v>
      </c>
      <c r="H47" s="605">
        <v>482.5</v>
      </c>
      <c r="I47" s="605">
        <v>482.5</v>
      </c>
      <c r="J47" s="605">
        <v>482.5</v>
      </c>
      <c r="K47" s="605">
        <v>482.5</v>
      </c>
      <c r="L47" s="605">
        <v>482.5</v>
      </c>
      <c r="M47" s="605">
        <v>482.5</v>
      </c>
      <c r="N47" s="605">
        <v>482.5</v>
      </c>
      <c r="O47" s="605">
        <v>482.5</v>
      </c>
      <c r="P47" s="606">
        <f t="shared" si="0"/>
        <v>5789.92</v>
      </c>
      <c r="Q47" s="607">
        <v>5</v>
      </c>
    </row>
    <row r="48" spans="1:17" s="607" customFormat="1">
      <c r="A48" s="602">
        <v>399</v>
      </c>
      <c r="B48" s="603" t="s">
        <v>306</v>
      </c>
      <c r="C48" s="604" t="s">
        <v>188</v>
      </c>
      <c r="D48" s="605">
        <v>0</v>
      </c>
      <c r="E48" s="605">
        <v>0</v>
      </c>
      <c r="F48" s="605">
        <v>0</v>
      </c>
      <c r="G48" s="605">
        <v>0</v>
      </c>
      <c r="H48" s="605">
        <v>0</v>
      </c>
      <c r="I48" s="605">
        <v>0</v>
      </c>
      <c r="J48" s="605">
        <v>0</v>
      </c>
      <c r="K48" s="605">
        <v>0</v>
      </c>
      <c r="L48" s="605">
        <v>0</v>
      </c>
      <c r="M48" s="605">
        <v>0</v>
      </c>
      <c r="N48" s="605">
        <v>0</v>
      </c>
      <c r="O48" s="605">
        <v>0</v>
      </c>
      <c r="P48" s="606">
        <f t="shared" si="0"/>
        <v>0</v>
      </c>
      <c r="Q48" s="607">
        <v>7</v>
      </c>
    </row>
    <row r="49" spans="1:17" ht="15.75" thickBot="1">
      <c r="A49" s="608"/>
      <c r="B49" s="609" t="s">
        <v>191</v>
      </c>
      <c r="C49" s="610"/>
      <c r="D49" s="611">
        <f t="shared" ref="D49:O49" si="2">SUM(D10:D48)</f>
        <v>384717.02999999985</v>
      </c>
      <c r="E49" s="612">
        <f>SUM(E8:E48)</f>
        <v>382472.97999999992</v>
      </c>
      <c r="F49" s="612">
        <f>SUM(F8:F48)</f>
        <v>383184.49</v>
      </c>
      <c r="G49" s="612">
        <f t="shared" si="2"/>
        <v>435045.24</v>
      </c>
      <c r="H49" s="612">
        <f t="shared" si="2"/>
        <v>440087.77</v>
      </c>
      <c r="I49" s="612">
        <f t="shared" si="2"/>
        <v>440535.98999999987</v>
      </c>
      <c r="J49" s="612">
        <f t="shared" si="2"/>
        <v>440792.49999999988</v>
      </c>
      <c r="K49" s="612">
        <f t="shared" si="2"/>
        <v>442425.97</v>
      </c>
      <c r="L49" s="612">
        <f t="shared" si="2"/>
        <v>448415.93999999994</v>
      </c>
      <c r="M49" s="612">
        <f t="shared" si="2"/>
        <v>448740.16</v>
      </c>
      <c r="N49" s="612">
        <f t="shared" si="2"/>
        <v>449853.18999999989</v>
      </c>
      <c r="O49" s="613">
        <f t="shared" si="2"/>
        <v>452133.22999999992</v>
      </c>
      <c r="P49" s="614">
        <f>SUM(P8:P48)</f>
        <v>5148404.49</v>
      </c>
    </row>
    <row r="50" spans="1:17" ht="16.5" thickTop="1" thickBot="1">
      <c r="A50" s="615"/>
      <c r="B50" s="616"/>
      <c r="C50" s="587"/>
      <c r="D50" s="617" t="s">
        <v>15</v>
      </c>
      <c r="E50" s="617"/>
      <c r="F50" s="617"/>
      <c r="G50" s="617"/>
      <c r="H50" s="617"/>
      <c r="I50" s="617"/>
      <c r="J50" s="617"/>
      <c r="K50" s="617"/>
      <c r="L50" s="617"/>
      <c r="M50" s="617"/>
      <c r="N50" s="617"/>
      <c r="O50" s="617"/>
      <c r="P50" s="618">
        <f>SUM(D49:O49)</f>
        <v>5148404.4899999984</v>
      </c>
    </row>
    <row r="51" spans="1:17" ht="15.75" thickTop="1">
      <c r="C51" s="589"/>
    </row>
    <row r="52" spans="1:17" s="619" customFormat="1" ht="15.75">
      <c r="C52" s="620"/>
      <c r="D52" s="621"/>
      <c r="E52" s="621"/>
      <c r="F52" s="621"/>
      <c r="G52" s="621"/>
      <c r="H52" s="621"/>
      <c r="I52" s="621"/>
      <c r="Q52" s="622"/>
    </row>
  </sheetData>
  <mergeCells count="1">
    <mergeCell ref="B4:P4"/>
  </mergeCells>
  <printOptions horizontalCentered="1"/>
  <pageMargins left="0.75" right="0.5" top="0.75" bottom="0.5" header="0.2" footer="0.2"/>
  <pageSetup scale="5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L46"/>
  <sheetViews>
    <sheetView workbookViewId="0">
      <selection sqref="A1:XFD3"/>
    </sheetView>
  </sheetViews>
  <sheetFormatPr defaultColWidth="12.42578125" defaultRowHeight="12.75"/>
  <cols>
    <col min="1" max="1" width="4" style="212" customWidth="1"/>
    <col min="2" max="2" width="40.7109375" style="212" customWidth="1"/>
    <col min="3" max="5" width="14.42578125" style="2" customWidth="1"/>
    <col min="6" max="6" width="4.7109375" style="2" customWidth="1"/>
    <col min="7" max="9" width="12" style="2" customWidth="1"/>
    <col min="10" max="10" width="2.28515625" style="2" customWidth="1"/>
    <col min="11" max="11" width="12" style="2" customWidth="1"/>
    <col min="12" max="12" width="3.42578125" style="2" hidden="1" customWidth="1"/>
    <col min="13" max="16384" width="12.42578125" style="9"/>
  </cols>
  <sheetData>
    <row r="1" spans="1:12" s="1" customFormat="1" ht="18">
      <c r="A1" s="749" t="s">
        <v>65</v>
      </c>
      <c r="B1" s="749"/>
      <c r="C1" s="749"/>
      <c r="D1" s="749"/>
      <c r="E1" s="749"/>
      <c r="F1" s="749"/>
      <c r="G1" s="749"/>
      <c r="H1" s="749"/>
      <c r="I1" s="749"/>
      <c r="J1" s="749"/>
      <c r="K1" s="749"/>
      <c r="L1" s="134"/>
    </row>
    <row r="2" spans="1:12" ht="15">
      <c r="A2" s="750" t="s">
        <v>271</v>
      </c>
      <c r="B2" s="750"/>
      <c r="C2" s="750"/>
      <c r="D2" s="750"/>
      <c r="E2" s="750"/>
      <c r="F2" s="750"/>
      <c r="G2" s="750"/>
      <c r="H2" s="750"/>
      <c r="I2" s="750"/>
      <c r="J2" s="750"/>
      <c r="K2" s="750"/>
      <c r="L2" s="6"/>
    </row>
    <row r="3" spans="1:12" s="3" customFormat="1" ht="15.75">
      <c r="A3" s="745" t="s">
        <v>66</v>
      </c>
      <c r="B3" s="745"/>
      <c r="C3" s="745"/>
      <c r="D3" s="745"/>
      <c r="E3" s="745"/>
      <c r="F3" s="745"/>
      <c r="G3" s="745"/>
      <c r="H3" s="745"/>
      <c r="I3" s="745"/>
      <c r="J3" s="745"/>
      <c r="K3" s="745"/>
      <c r="L3" s="135"/>
    </row>
    <row r="4" spans="1:12" ht="11.25">
      <c r="A4" s="136"/>
      <c r="B4" s="136"/>
      <c r="C4" s="137"/>
      <c r="D4" s="137"/>
      <c r="E4" s="137"/>
      <c r="F4" s="138"/>
      <c r="G4" s="137"/>
      <c r="H4" s="137"/>
      <c r="I4" s="137"/>
      <c r="J4" s="137"/>
      <c r="K4" s="137"/>
      <c r="L4" s="137"/>
    </row>
    <row r="5" spans="1:12" ht="11.25">
      <c r="A5" s="10"/>
      <c r="B5" s="139"/>
      <c r="C5" s="746" t="s">
        <v>67</v>
      </c>
      <c r="D5" s="747"/>
      <c r="E5" s="751"/>
      <c r="F5" s="140"/>
      <c r="G5" s="752" t="s">
        <v>68</v>
      </c>
      <c r="H5" s="747"/>
      <c r="I5" s="747"/>
      <c r="J5" s="747"/>
      <c r="K5" s="748"/>
      <c r="L5" s="141"/>
    </row>
    <row r="6" spans="1:12" ht="11.25">
      <c r="A6" s="142"/>
      <c r="B6" s="143"/>
      <c r="C6" s="144" t="s">
        <v>4</v>
      </c>
      <c r="D6" s="145"/>
      <c r="E6" s="144" t="s">
        <v>69</v>
      </c>
      <c r="F6" s="146"/>
      <c r="G6" s="147" t="s">
        <v>4</v>
      </c>
      <c r="H6" s="145"/>
      <c r="I6" s="144"/>
      <c r="J6" s="144"/>
      <c r="K6" s="148" t="s">
        <v>69</v>
      </c>
      <c r="L6" s="141"/>
    </row>
    <row r="7" spans="1:12" ht="11.25">
      <c r="A7" s="142"/>
      <c r="B7" s="143"/>
      <c r="C7" s="149" t="s">
        <v>69</v>
      </c>
      <c r="D7" s="149" t="s">
        <v>7</v>
      </c>
      <c r="E7" s="149" t="s">
        <v>11</v>
      </c>
      <c r="F7" s="146"/>
      <c r="G7" s="150" t="s">
        <v>69</v>
      </c>
      <c r="H7" s="149" t="s">
        <v>7</v>
      </c>
      <c r="I7" s="151">
        <f>+'Sch. 1'!C8</f>
        <v>43831</v>
      </c>
      <c r="J7" s="151"/>
      <c r="K7" s="152" t="s">
        <v>11</v>
      </c>
      <c r="L7" s="141"/>
    </row>
    <row r="8" spans="1:12" ht="11.25">
      <c r="A8" s="142" t="s">
        <v>15</v>
      </c>
      <c r="B8" s="143"/>
      <c r="C8" s="149" t="s">
        <v>11</v>
      </c>
      <c r="D8" s="149" t="s">
        <v>12</v>
      </c>
      <c r="E8" s="149" t="s">
        <v>70</v>
      </c>
      <c r="F8" s="146"/>
      <c r="G8" s="150" t="s">
        <v>11</v>
      </c>
      <c r="H8" s="149" t="s">
        <v>12</v>
      </c>
      <c r="I8" s="149" t="s">
        <v>10</v>
      </c>
      <c r="J8" s="149"/>
      <c r="K8" s="152" t="s">
        <v>70</v>
      </c>
      <c r="L8" s="141"/>
    </row>
    <row r="9" spans="1:12" ht="11.25">
      <c r="A9" s="153" t="s">
        <v>16</v>
      </c>
      <c r="B9" s="154"/>
      <c r="C9" s="155" t="s">
        <v>17</v>
      </c>
      <c r="D9" s="155" t="s">
        <v>18</v>
      </c>
      <c r="E9" s="155" t="s">
        <v>18</v>
      </c>
      <c r="F9" s="146"/>
      <c r="G9" s="156" t="s">
        <v>17</v>
      </c>
      <c r="H9" s="155" t="s">
        <v>18</v>
      </c>
      <c r="I9" s="155" t="s">
        <v>18</v>
      </c>
      <c r="J9" s="155"/>
      <c r="K9" s="157" t="s">
        <v>18</v>
      </c>
      <c r="L9" s="141"/>
    </row>
    <row r="10" spans="1:12" ht="11.25">
      <c r="A10" s="158"/>
      <c r="B10" s="159"/>
      <c r="C10" s="160"/>
      <c r="D10" s="161"/>
      <c r="E10" s="161"/>
      <c r="F10" s="162"/>
      <c r="G10" s="163"/>
      <c r="H10" s="164"/>
      <c r="I10" s="164"/>
      <c r="J10" s="164"/>
      <c r="K10" s="165"/>
      <c r="L10" s="166"/>
    </row>
    <row r="11" spans="1:12" ht="15">
      <c r="A11" s="167" t="s">
        <v>19</v>
      </c>
      <c r="B11" s="168"/>
      <c r="C11" s="169"/>
      <c r="D11" s="170"/>
      <c r="E11" s="170"/>
      <c r="F11" s="171"/>
      <c r="G11" s="172"/>
      <c r="H11" s="173"/>
      <c r="I11" s="173"/>
      <c r="J11" s="173"/>
      <c r="K11" s="174"/>
      <c r="L11" s="175"/>
    </row>
    <row r="12" spans="1:12" ht="15">
      <c r="A12" s="176"/>
      <c r="B12" s="177" t="s">
        <v>20</v>
      </c>
      <c r="C12" s="178">
        <f>'Sch. 1'!G13</f>
        <v>26</v>
      </c>
      <c r="D12" s="179">
        <f>'Sch. 1'!H13</f>
        <v>0</v>
      </c>
      <c r="E12" s="179">
        <v>1.4</v>
      </c>
      <c r="F12" s="180" t="s">
        <v>15</v>
      </c>
      <c r="G12" s="181">
        <f>'Sch. 1'!M13</f>
        <v>75</v>
      </c>
      <c r="H12" s="182">
        <f>'Sch. 1'!N13</f>
        <v>0</v>
      </c>
      <c r="I12" s="183">
        <f>IFERROR(ROUND('Sch. 1'!D13/'Sch. 1'!C13*100,2),0)</f>
        <v>0</v>
      </c>
      <c r="J12" s="183"/>
      <c r="K12" s="184">
        <f>ROUND((100-H12-I12)/G12,1)</f>
        <v>1.3</v>
      </c>
      <c r="L12" s="175"/>
    </row>
    <row r="13" spans="1:12" ht="18">
      <c r="A13" s="176"/>
      <c r="B13" s="177" t="s">
        <v>22</v>
      </c>
      <c r="C13" s="178">
        <f>'Sch. 1'!G14</f>
        <v>50</v>
      </c>
      <c r="D13" s="179">
        <f>'Sch. 1'!H14</f>
        <v>0</v>
      </c>
      <c r="E13" s="179">
        <v>1.8</v>
      </c>
      <c r="F13" s="180"/>
      <c r="G13" s="181">
        <f>'Sch. 1'!M14</f>
        <v>57</v>
      </c>
      <c r="H13" s="182">
        <f>'Sch. 1'!N14</f>
        <v>0</v>
      </c>
      <c r="I13" s="183">
        <f>ROUND('Sch. 1'!D14/'Sch. 1'!C14*100,2)</f>
        <v>3.1</v>
      </c>
      <c r="J13" s="183" t="s">
        <v>23</v>
      </c>
      <c r="K13" s="184">
        <f t="shared" ref="K13:K19" si="0">ROUND((100-H13-I13)/G13,1)</f>
        <v>1.7</v>
      </c>
      <c r="L13" s="185"/>
    </row>
    <row r="14" spans="1:12" ht="15">
      <c r="A14" s="176"/>
      <c r="B14" s="177" t="s">
        <v>25</v>
      </c>
      <c r="C14" s="178">
        <f>'Sch. 1'!G15</f>
        <v>27</v>
      </c>
      <c r="D14" s="179">
        <f>'Sch. 1'!H15</f>
        <v>5</v>
      </c>
      <c r="E14" s="179">
        <v>2.6</v>
      </c>
      <c r="F14" s="180"/>
      <c r="G14" s="181">
        <f>'Sch. 1'!M15</f>
        <v>35</v>
      </c>
      <c r="H14" s="182">
        <f>'Sch. 1'!N15</f>
        <v>0</v>
      </c>
      <c r="I14" s="183">
        <f>ROUND('Sch. 1'!D15/'Sch. 1'!C15*100,2)</f>
        <v>20.79</v>
      </c>
      <c r="J14" s="183"/>
      <c r="K14" s="184">
        <f t="shared" si="0"/>
        <v>2.2999999999999998</v>
      </c>
      <c r="L14" s="175"/>
    </row>
    <row r="15" spans="1:12" ht="15">
      <c r="A15" s="176"/>
      <c r="B15" s="177" t="s">
        <v>28</v>
      </c>
      <c r="C15" s="178">
        <f>'Sch. 1'!G16</f>
        <v>14.5</v>
      </c>
      <c r="D15" s="179">
        <f>'Sch. 1'!H16</f>
        <v>-15</v>
      </c>
      <c r="E15" s="179">
        <v>2.1</v>
      </c>
      <c r="F15" s="180"/>
      <c r="G15" s="181">
        <f>'Sch. 1'!M16</f>
        <v>14.5</v>
      </c>
      <c r="H15" s="182">
        <f>'Sch. 1'!N16</f>
        <v>-15</v>
      </c>
      <c r="I15" s="183">
        <f>ROUND('Sch. 1'!D16/'Sch. 1'!C16*100,2)</f>
        <v>87.45</v>
      </c>
      <c r="J15" s="183" t="s">
        <v>23</v>
      </c>
      <c r="K15" s="184">
        <f t="shared" si="0"/>
        <v>1.9</v>
      </c>
      <c r="L15" s="175"/>
    </row>
    <row r="16" spans="1:12" ht="15">
      <c r="A16" s="176"/>
      <c r="B16" s="177" t="s">
        <v>30</v>
      </c>
      <c r="C16" s="178">
        <f>'Sch. 1'!G17</f>
        <v>16.899999999999999</v>
      </c>
      <c r="D16" s="179">
        <f>'Sch. 1'!H17</f>
        <v>-40</v>
      </c>
      <c r="E16" s="179">
        <v>4.0999999999999996</v>
      </c>
      <c r="F16" s="180"/>
      <c r="G16" s="181">
        <f>'Sch. 1'!M17</f>
        <v>17.8</v>
      </c>
      <c r="H16" s="182">
        <f>'Sch. 1'!N17</f>
        <v>-50</v>
      </c>
      <c r="I16" s="183">
        <f>ROUND('Sch. 1'!D17/'Sch. 1'!C17*100,2)</f>
        <v>45.67</v>
      </c>
      <c r="J16" s="183" t="s">
        <v>23</v>
      </c>
      <c r="K16" s="184">
        <f t="shared" si="0"/>
        <v>5.9</v>
      </c>
      <c r="L16" s="175"/>
    </row>
    <row r="17" spans="1:12" ht="15">
      <c r="A17" s="176"/>
      <c r="B17" s="186" t="s">
        <v>33</v>
      </c>
      <c r="C17" s="187">
        <f>'Sch. 1'!G18</f>
        <v>41</v>
      </c>
      <c r="D17" s="182">
        <f>'Sch. 1'!H18</f>
        <v>-30</v>
      </c>
      <c r="E17" s="179">
        <v>2.9</v>
      </c>
      <c r="F17" s="188"/>
      <c r="G17" s="181">
        <f>'Sch. 1'!M18</f>
        <v>39</v>
      </c>
      <c r="H17" s="182">
        <f>'Sch. 1'!N18</f>
        <v>-30</v>
      </c>
      <c r="I17" s="183">
        <f>ROUND('Sch. 1'!D18/'Sch. 1'!C18*100,2)</f>
        <v>16.899999999999999</v>
      </c>
      <c r="J17" s="183" t="s">
        <v>23</v>
      </c>
      <c r="K17" s="184">
        <f t="shared" si="0"/>
        <v>2.9</v>
      </c>
      <c r="L17" s="175"/>
    </row>
    <row r="18" spans="1:12" ht="15">
      <c r="A18" s="176"/>
      <c r="B18" s="177" t="s">
        <v>34</v>
      </c>
      <c r="C18" s="178">
        <f>'Sch. 1'!G19</f>
        <v>36</v>
      </c>
      <c r="D18" s="179">
        <f>'Sch. 1'!H19</f>
        <v>-20</v>
      </c>
      <c r="E18" s="179">
        <v>2.5</v>
      </c>
      <c r="F18" s="180"/>
      <c r="G18" s="181">
        <f>'Sch. 1'!M19</f>
        <v>46</v>
      </c>
      <c r="H18" s="182">
        <f>'Sch. 1'!N19</f>
        <v>-20</v>
      </c>
      <c r="I18" s="183">
        <f>ROUND('Sch. 1'!D19/'Sch. 1'!C19*100,2)</f>
        <v>18.61</v>
      </c>
      <c r="J18" s="183"/>
      <c r="K18" s="184">
        <f t="shared" si="0"/>
        <v>2.2000000000000002</v>
      </c>
      <c r="L18" s="175"/>
    </row>
    <row r="19" spans="1:12" ht="15">
      <c r="A19" s="176"/>
      <c r="B19" s="177" t="s">
        <v>35</v>
      </c>
      <c r="C19" s="178">
        <f>'Sch. 1'!G20</f>
        <v>12.5</v>
      </c>
      <c r="D19" s="179">
        <f>'Sch. 1'!H20</f>
        <v>0</v>
      </c>
      <c r="E19" s="179">
        <v>1.5</v>
      </c>
      <c r="F19" s="180"/>
      <c r="G19" s="181">
        <f>'Sch. 1'!M20</f>
        <v>12.5</v>
      </c>
      <c r="H19" s="182">
        <f>'Sch. 1'!N20</f>
        <v>0</v>
      </c>
      <c r="I19" s="183">
        <f>ROUND('Sch. 1'!D20/'Sch. 1'!C20*100,2)</f>
        <v>88.52</v>
      </c>
      <c r="J19" s="183"/>
      <c r="K19" s="184">
        <f t="shared" si="0"/>
        <v>0.9</v>
      </c>
      <c r="L19" s="175"/>
    </row>
    <row r="20" spans="1:12">
      <c r="A20" s="176"/>
      <c r="B20" s="177"/>
      <c r="C20" s="189"/>
      <c r="D20" s="190"/>
      <c r="E20" s="190"/>
      <c r="F20" s="191"/>
      <c r="G20" s="181"/>
      <c r="H20" s="182"/>
      <c r="I20" s="183"/>
      <c r="J20" s="183"/>
      <c r="K20" s="192"/>
      <c r="L20" s="193"/>
    </row>
    <row r="21" spans="1:12" ht="11.25">
      <c r="A21" s="176"/>
      <c r="B21" s="194"/>
      <c r="C21" s="191"/>
      <c r="D21" s="195"/>
      <c r="E21" s="195"/>
      <c r="F21" s="191"/>
      <c r="G21" s="196"/>
      <c r="H21" s="197"/>
      <c r="I21" s="198"/>
      <c r="J21" s="198"/>
      <c r="K21" s="192"/>
      <c r="L21" s="193"/>
    </row>
    <row r="22" spans="1:12" ht="15">
      <c r="A22" s="167" t="s">
        <v>37</v>
      </c>
      <c r="B22" s="168"/>
      <c r="C22" s="180"/>
      <c r="D22" s="199"/>
      <c r="E22" s="200"/>
      <c r="F22" s="180"/>
      <c r="G22" s="181"/>
      <c r="H22" s="182"/>
      <c r="I22" s="183"/>
      <c r="J22" s="183"/>
      <c r="K22" s="184"/>
      <c r="L22" s="175"/>
    </row>
    <row r="23" spans="1:12" ht="15">
      <c r="A23" s="176"/>
      <c r="B23" s="177" t="s">
        <v>38</v>
      </c>
      <c r="C23" s="178">
        <f>'Sch. 1'!G24</f>
        <v>31</v>
      </c>
      <c r="D23" s="179">
        <f>'Sch. 1'!H24</f>
        <v>0</v>
      </c>
      <c r="E23" s="179">
        <v>1.6</v>
      </c>
      <c r="F23" s="180"/>
      <c r="G23" s="181">
        <f>'Sch. 1'!M24</f>
        <v>26</v>
      </c>
      <c r="H23" s="182">
        <f>'Sch. 1'!N24</f>
        <v>0</v>
      </c>
      <c r="I23" s="183">
        <f>ROUND('Sch. 1'!D24/'Sch. 1'!C24*100,2)</f>
        <v>59.83</v>
      </c>
      <c r="J23" s="183"/>
      <c r="K23" s="184">
        <f>ROUND((100-H23-I23)/G23,1)</f>
        <v>1.5</v>
      </c>
      <c r="L23" s="175"/>
    </row>
    <row r="24" spans="1:12" ht="15">
      <c r="A24" s="176"/>
      <c r="B24" s="177" t="s">
        <v>39</v>
      </c>
      <c r="C24" s="178">
        <f>'Sch. 1'!G25</f>
        <v>47</v>
      </c>
      <c r="D24" s="179">
        <f>'Sch. 1'!H25</f>
        <v>-5</v>
      </c>
      <c r="E24" s="179">
        <v>1.7</v>
      </c>
      <c r="F24" s="180"/>
      <c r="G24" s="181">
        <f>'Sch. 1'!M25</f>
        <v>54</v>
      </c>
      <c r="H24" s="182">
        <f>'Sch. 1'!N25</f>
        <v>-5</v>
      </c>
      <c r="I24" s="183">
        <f>ROUND('Sch. 1'!D25/'Sch. 1'!C25*100,2)</f>
        <v>9.0299999999999994</v>
      </c>
      <c r="J24" s="183"/>
      <c r="K24" s="184">
        <f t="shared" ref="K24:K29" si="1">ROUND((100-H24-I24)/G24,1)</f>
        <v>1.8</v>
      </c>
      <c r="L24" s="175"/>
    </row>
    <row r="25" spans="1:12" ht="15">
      <c r="A25" s="176"/>
      <c r="B25" s="177" t="s">
        <v>40</v>
      </c>
      <c r="C25" s="178">
        <f>'Sch. 1'!G26</f>
        <v>34</v>
      </c>
      <c r="D25" s="179">
        <f>'Sch. 1'!H26</f>
        <v>-10</v>
      </c>
      <c r="E25" s="179">
        <v>2.4</v>
      </c>
      <c r="F25" s="180"/>
      <c r="G25" s="181">
        <f>'Sch. 1'!M26</f>
        <v>38</v>
      </c>
      <c r="H25" s="182">
        <f>'Sch. 1'!N26</f>
        <v>-10</v>
      </c>
      <c r="I25" s="183">
        <f>ROUND('Sch. 1'!D26/'Sch. 1'!C26*100,2)</f>
        <v>29.17</v>
      </c>
      <c r="J25" s="183"/>
      <c r="K25" s="184">
        <f>ROUND((100-H25-I25)/G25,1)</f>
        <v>2.1</v>
      </c>
      <c r="L25" s="175"/>
    </row>
    <row r="26" spans="1:12" ht="15">
      <c r="A26" s="176"/>
      <c r="B26" s="177" t="s">
        <v>41</v>
      </c>
      <c r="C26" s="178">
        <f>'Sch. 1'!G27</f>
        <v>24</v>
      </c>
      <c r="D26" s="179">
        <f>'Sch. 1'!H27</f>
        <v>-45</v>
      </c>
      <c r="E26" s="179">
        <v>3.9</v>
      </c>
      <c r="F26" s="180"/>
      <c r="G26" s="181">
        <f>'Sch. 1'!M27</f>
        <v>28</v>
      </c>
      <c r="H26" s="182">
        <f>'Sch. 1'!N27</f>
        <v>-50</v>
      </c>
      <c r="I26" s="183">
        <f>ROUND('Sch. 1'!D27/'Sch. 1'!C27*100,2)</f>
        <v>37.53</v>
      </c>
      <c r="J26" s="183" t="s">
        <v>42</v>
      </c>
      <c r="K26" s="184">
        <f>ROUND((100-H26-I26)/G26,1)</f>
        <v>4</v>
      </c>
      <c r="L26" s="175"/>
    </row>
    <row r="27" spans="1:12" ht="15">
      <c r="A27" s="176"/>
      <c r="B27" s="177" t="s">
        <v>43</v>
      </c>
      <c r="C27" s="178">
        <f>'Sch. 1'!G28</f>
        <v>21</v>
      </c>
      <c r="D27" s="179">
        <f>'Sch. 1'!H28</f>
        <v>-35</v>
      </c>
      <c r="E27" s="179">
        <v>3.4</v>
      </c>
      <c r="F27" s="180"/>
      <c r="G27" s="181">
        <f>'Sch. 1'!M28</f>
        <v>30</v>
      </c>
      <c r="H27" s="182">
        <f>'Sch. 1'!N28</f>
        <v>-35</v>
      </c>
      <c r="I27" s="183">
        <f>ROUND('Sch. 1'!D28/'Sch. 1'!C28*100,2)</f>
        <v>51.36</v>
      </c>
      <c r="J27" s="183" t="s">
        <v>42</v>
      </c>
      <c r="K27" s="184">
        <f t="shared" si="1"/>
        <v>2.8</v>
      </c>
      <c r="L27" s="175"/>
    </row>
    <row r="28" spans="1:12" ht="15">
      <c r="A28" s="176"/>
      <c r="B28" s="177" t="s">
        <v>44</v>
      </c>
      <c r="C28" s="178">
        <f>'Sch. 1'!G29</f>
        <v>50</v>
      </c>
      <c r="D28" s="179">
        <f>'Sch. 1'!H29</f>
        <v>-5</v>
      </c>
      <c r="E28" s="179">
        <v>1.8</v>
      </c>
      <c r="F28" s="180"/>
      <c r="G28" s="181">
        <f>'Sch. 1'!M29</f>
        <v>47</v>
      </c>
      <c r="H28" s="182">
        <f>'Sch. 1'!N29</f>
        <v>-5</v>
      </c>
      <c r="I28" s="183">
        <f>ROUND('Sch. 1'!D29/'Sch. 1'!C29*100,2)</f>
        <v>19.670000000000002</v>
      </c>
      <c r="J28" s="183"/>
      <c r="K28" s="184">
        <f t="shared" si="1"/>
        <v>1.8</v>
      </c>
      <c r="L28" s="175"/>
    </row>
    <row r="29" spans="1:12" ht="15">
      <c r="A29" s="176"/>
      <c r="B29" s="177" t="s">
        <v>45</v>
      </c>
      <c r="C29" s="178">
        <f>'Sch. 1'!G30</f>
        <v>23</v>
      </c>
      <c r="D29" s="179">
        <f>'Sch. 1'!H30</f>
        <v>-5</v>
      </c>
      <c r="E29" s="179">
        <v>3.2</v>
      </c>
      <c r="F29" s="180"/>
      <c r="G29" s="181">
        <f>'Sch. 1'!M30</f>
        <v>21</v>
      </c>
      <c r="H29" s="182">
        <f>'Sch. 1'!N30</f>
        <v>-5</v>
      </c>
      <c r="I29" s="183">
        <f>ROUND('Sch. 1'!D30/'Sch. 1'!C30*100,2)</f>
        <v>39.92</v>
      </c>
      <c r="J29" s="183"/>
      <c r="K29" s="184">
        <f t="shared" si="1"/>
        <v>3.1</v>
      </c>
      <c r="L29" s="175"/>
    </row>
    <row r="30" spans="1:12" ht="15">
      <c r="A30" s="176"/>
      <c r="B30" s="177" t="s">
        <v>46</v>
      </c>
      <c r="C30" s="178">
        <f>'Sch. 1'!G31</f>
        <v>12.4</v>
      </c>
      <c r="D30" s="179">
        <f>'Sch. 1'!H31</f>
        <v>-20</v>
      </c>
      <c r="E30" s="179">
        <v>4</v>
      </c>
      <c r="F30" s="180"/>
      <c r="G30" s="181">
        <f>'Sch. 1'!M31</f>
        <v>13.6</v>
      </c>
      <c r="H30" s="182">
        <f>'Sch. 1'!N31</f>
        <v>-20</v>
      </c>
      <c r="I30" s="183">
        <f>ROUND('Sch. 1'!D31/'Sch. 1'!C31*100,2)</f>
        <v>64.349999999999994</v>
      </c>
      <c r="J30" s="183" t="s">
        <v>42</v>
      </c>
      <c r="K30" s="184">
        <f>ROUND((100-H30-I30)/G30,1)</f>
        <v>4.0999999999999996</v>
      </c>
      <c r="L30" s="175"/>
    </row>
    <row r="31" spans="1:12" ht="15">
      <c r="A31" s="176" t="s">
        <v>15</v>
      </c>
      <c r="B31" s="177" t="s">
        <v>48</v>
      </c>
      <c r="C31" s="178">
        <f>'Sch. 1'!G32</f>
        <v>19.899999999999999</v>
      </c>
      <c r="D31" s="179">
        <f>'Sch. 1'!H32</f>
        <v>-35</v>
      </c>
      <c r="E31" s="179">
        <v>3.6</v>
      </c>
      <c r="F31" s="180" t="s">
        <v>15</v>
      </c>
      <c r="G31" s="181">
        <f>'Sch. 1'!M32</f>
        <v>25</v>
      </c>
      <c r="H31" s="182">
        <f>'Sch. 1'!N32</f>
        <v>-40</v>
      </c>
      <c r="I31" s="183">
        <f>ROUND('Sch. 1'!D32/'Sch. 1'!C32*100,2)</f>
        <v>55.68</v>
      </c>
      <c r="J31" s="183" t="s">
        <v>42</v>
      </c>
      <c r="K31" s="184">
        <f>ROUND((100-H31-I31)/G31,1)</f>
        <v>3.4</v>
      </c>
      <c r="L31" s="175"/>
    </row>
    <row r="32" spans="1:12" ht="15.75">
      <c r="A32" s="176"/>
      <c r="B32" s="177" t="s">
        <v>49</v>
      </c>
      <c r="C32" s="178">
        <f>'Sch. 1'!G33</f>
        <v>11.9</v>
      </c>
      <c r="D32" s="179">
        <f>'Sch. 1'!H33</f>
        <v>-10</v>
      </c>
      <c r="E32" s="179">
        <v>3.7</v>
      </c>
      <c r="F32" s="180"/>
      <c r="G32" s="181">
        <f>'Sch. 1'!M33</f>
        <v>13</v>
      </c>
      <c r="H32" s="182">
        <f>'Sch. 1'!N33</f>
        <v>-10</v>
      </c>
      <c r="I32" s="183">
        <f>ROUND('Sch. 1'!D33/'Sch. 1'!C33*100,2)</f>
        <v>60.38</v>
      </c>
      <c r="J32" s="183" t="s">
        <v>42</v>
      </c>
      <c r="K32" s="184">
        <f>ROUND((100-H32-I32)/G32,1)</f>
        <v>3.8</v>
      </c>
      <c r="L32" s="201"/>
    </row>
    <row r="33" spans="1:12" ht="15.75">
      <c r="A33" s="176"/>
      <c r="B33" s="177" t="s">
        <v>50</v>
      </c>
      <c r="C33" s="178">
        <f>'Sch. 1'!G34</f>
        <v>9.6</v>
      </c>
      <c r="D33" s="179">
        <f>'Sch. 1'!H34</f>
        <v>10</v>
      </c>
      <c r="E33" s="179">
        <v>4.5</v>
      </c>
      <c r="F33" s="180"/>
      <c r="G33" s="181">
        <f>'Sch. 1'!M34</f>
        <v>13.6</v>
      </c>
      <c r="H33" s="182">
        <f>'Sch. 1'!N34</f>
        <v>5</v>
      </c>
      <c r="I33" s="183">
        <f>ROUND('Sch. 1'!D34/'Sch. 1'!C34*100,2)</f>
        <v>51.32</v>
      </c>
      <c r="J33" s="183" t="s">
        <v>42</v>
      </c>
      <c r="K33" s="184">
        <f>ROUND((100-H33-I33)/G33,1)</f>
        <v>3.2</v>
      </c>
      <c r="L33" s="201"/>
    </row>
    <row r="34" spans="1:12" ht="15.75">
      <c r="A34" s="176" t="s">
        <v>15</v>
      </c>
      <c r="B34" s="177" t="s">
        <v>51</v>
      </c>
      <c r="C34" s="178">
        <f>'Sch. 1'!G35</f>
        <v>7.6</v>
      </c>
      <c r="D34" s="179">
        <f>'Sch. 1'!H35</f>
        <v>-10</v>
      </c>
      <c r="E34" s="179">
        <v>4.9000000000000004</v>
      </c>
      <c r="F34" s="180"/>
      <c r="G34" s="181">
        <f>'Sch. 1'!M35</f>
        <v>11.4</v>
      </c>
      <c r="H34" s="182">
        <f>'Sch. 1'!N35</f>
        <v>-10</v>
      </c>
      <c r="I34" s="183">
        <f>ROUND('Sch. 1'!D35/'Sch. 1'!C35*100,2)</f>
        <v>52.08</v>
      </c>
      <c r="J34" s="183" t="s">
        <v>42</v>
      </c>
      <c r="K34" s="184">
        <f>ROUND((100-H34-I34)/G34,1)</f>
        <v>5.0999999999999996</v>
      </c>
      <c r="L34" s="201"/>
    </row>
    <row r="35" spans="1:12" ht="11.25">
      <c r="A35" s="176"/>
      <c r="B35" s="177"/>
      <c r="C35" s="189"/>
      <c r="D35" s="190"/>
      <c r="E35" s="190"/>
      <c r="F35" s="191"/>
      <c r="G35" s="196"/>
      <c r="H35" s="197"/>
      <c r="I35" s="198"/>
      <c r="J35" s="198"/>
      <c r="K35" s="202"/>
      <c r="L35" s="203"/>
    </row>
    <row r="36" spans="1:12" ht="11.25">
      <c r="A36" s="176"/>
      <c r="B36" s="177"/>
      <c r="C36" s="189"/>
      <c r="D36" s="190"/>
      <c r="E36" s="190"/>
      <c r="F36" s="191"/>
      <c r="G36" s="196"/>
      <c r="H36" s="197"/>
      <c r="I36" s="198"/>
      <c r="J36" s="198"/>
      <c r="K36" s="202"/>
      <c r="L36" s="203"/>
    </row>
    <row r="37" spans="1:12" ht="15.75">
      <c r="A37" s="167" t="s">
        <v>54</v>
      </c>
      <c r="B37" s="168"/>
      <c r="C37" s="178"/>
      <c r="D37" s="199"/>
      <c r="E37" s="204"/>
      <c r="F37" s="180" t="s">
        <v>15</v>
      </c>
      <c r="G37" s="181"/>
      <c r="H37" s="182"/>
      <c r="I37" s="183"/>
      <c r="J37" s="183"/>
      <c r="K37" s="108"/>
      <c r="L37" s="201"/>
    </row>
    <row r="38" spans="1:12" ht="15.75">
      <c r="A38" s="176"/>
      <c r="B38" s="177" t="s">
        <v>55</v>
      </c>
      <c r="C38" s="178">
        <f>'Sch. 1'!G39</f>
        <v>41</v>
      </c>
      <c r="D38" s="179">
        <f>'Sch. 1'!H39</f>
        <v>0</v>
      </c>
      <c r="E38" s="179">
        <v>2</v>
      </c>
      <c r="F38" s="180" t="s">
        <v>15</v>
      </c>
      <c r="G38" s="181">
        <f>'Sch. 1'!M39</f>
        <v>38</v>
      </c>
      <c r="H38" s="182">
        <f>'Sch. 1'!N39</f>
        <v>0</v>
      </c>
      <c r="I38" s="183">
        <f>ROUND('Sch. 1'!D39/'Sch. 1'!C39*100,2)</f>
        <v>25.18</v>
      </c>
      <c r="J38" s="183"/>
      <c r="K38" s="184">
        <f t="shared" ref="K38:K43" si="2">ROUND((100-H38-I38)/G38,1)</f>
        <v>2</v>
      </c>
      <c r="L38" s="201" t="s">
        <v>15</v>
      </c>
    </row>
    <row r="39" spans="1:12" ht="15.75">
      <c r="A39" s="176"/>
      <c r="B39" s="177" t="s">
        <v>56</v>
      </c>
      <c r="C39" s="178">
        <f>'Sch. 1'!G40</f>
        <v>6</v>
      </c>
      <c r="D39" s="179">
        <f>'Sch. 1'!H40</f>
        <v>15</v>
      </c>
      <c r="E39" s="179">
        <v>11.899999999999999</v>
      </c>
      <c r="F39" s="180"/>
      <c r="G39" s="181">
        <f>'Sch. 1'!M40</f>
        <v>5.2</v>
      </c>
      <c r="H39" s="182">
        <f>'Sch. 1'!N40</f>
        <v>15</v>
      </c>
      <c r="I39" s="183">
        <f>ROUND('Sch. 1'!D40/'Sch. 1'!C40*100,2)</f>
        <v>44.96</v>
      </c>
      <c r="J39" s="183" t="s">
        <v>23</v>
      </c>
      <c r="K39" s="184">
        <f t="shared" si="2"/>
        <v>7.7</v>
      </c>
      <c r="L39" s="201"/>
    </row>
    <row r="40" spans="1:12" ht="15.75">
      <c r="A40" s="176"/>
      <c r="B40" s="177" t="s">
        <v>57</v>
      </c>
      <c r="C40" s="187">
        <f>'Sch. 1'!G41</f>
        <v>4.9000000000000004</v>
      </c>
      <c r="D40" s="179">
        <f>'Sch. 1'!H41</f>
        <v>12</v>
      </c>
      <c r="E40" s="182">
        <v>7.8</v>
      </c>
      <c r="F40" s="180"/>
      <c r="G40" s="181">
        <f>'Sch. 1'!M41</f>
        <v>4.0999999999999996</v>
      </c>
      <c r="H40" s="182">
        <f>'Sch. 1'!N41</f>
        <v>12</v>
      </c>
      <c r="I40" s="183">
        <f>ROUND('Sch. 1'!D41/'Sch. 1'!C41*100,2)</f>
        <v>55.2</v>
      </c>
      <c r="J40" s="183" t="s">
        <v>23</v>
      </c>
      <c r="K40" s="184">
        <f t="shared" si="2"/>
        <v>8</v>
      </c>
      <c r="L40" s="201"/>
    </row>
    <row r="41" spans="1:12" ht="15.75">
      <c r="A41" s="176"/>
      <c r="B41" s="177" t="s">
        <v>58</v>
      </c>
      <c r="C41" s="187">
        <f>'Sch. 1'!G42</f>
        <v>6.4</v>
      </c>
      <c r="D41" s="179">
        <f>'Sch. 1'!H42</f>
        <v>10</v>
      </c>
      <c r="E41" s="182">
        <v>7</v>
      </c>
      <c r="F41" s="180"/>
      <c r="G41" s="181">
        <f>'Sch. 1'!M42</f>
        <v>6.1</v>
      </c>
      <c r="H41" s="182">
        <f>'Sch. 1'!N42</f>
        <v>10</v>
      </c>
      <c r="I41" s="183">
        <f>ROUND('Sch. 1'!D42/'Sch. 1'!C42*100,2)</f>
        <v>53.4</v>
      </c>
      <c r="J41" s="183" t="s">
        <v>23</v>
      </c>
      <c r="K41" s="184">
        <f t="shared" si="2"/>
        <v>6</v>
      </c>
      <c r="L41" s="201"/>
    </row>
    <row r="42" spans="1:12" ht="15.75">
      <c r="A42" s="176"/>
      <c r="B42" s="177" t="s">
        <v>59</v>
      </c>
      <c r="C42" s="187">
        <f>'Sch. 1'!G43</f>
        <v>13.8</v>
      </c>
      <c r="D42" s="179">
        <f>'Sch. 1'!H43</f>
        <v>5</v>
      </c>
      <c r="E42" s="179">
        <v>3.7</v>
      </c>
      <c r="F42" s="180" t="s">
        <v>15</v>
      </c>
      <c r="G42" s="181">
        <f>'Sch. 1'!M43</f>
        <v>9.4</v>
      </c>
      <c r="H42" s="182">
        <f>'Sch. 1'!N43</f>
        <v>5</v>
      </c>
      <c r="I42" s="183">
        <f>ROUND('Sch. 1'!D43/'Sch. 1'!C43*100,2)</f>
        <v>67.02</v>
      </c>
      <c r="J42" s="183"/>
      <c r="K42" s="184">
        <f t="shared" si="2"/>
        <v>3</v>
      </c>
      <c r="L42" s="201" t="s">
        <v>15</v>
      </c>
    </row>
    <row r="43" spans="1:12" ht="15.75">
      <c r="A43" s="176"/>
      <c r="B43" s="177" t="s">
        <v>60</v>
      </c>
      <c r="C43" s="178">
        <f>'Sch. 1'!G44</f>
        <v>8.4</v>
      </c>
      <c r="D43" s="179">
        <f>'Sch. 1'!H44</f>
        <v>0</v>
      </c>
      <c r="E43" s="179">
        <v>4.4000000000000004</v>
      </c>
      <c r="F43" s="180"/>
      <c r="G43" s="181">
        <f>'Sch. 1'!M44</f>
        <v>15.4</v>
      </c>
      <c r="H43" s="182">
        <f>'Sch. 1'!N44</f>
        <v>0</v>
      </c>
      <c r="I43" s="183">
        <f>ROUND('Sch. 1'!D44/'Sch. 1'!C44*100,2)</f>
        <v>37.369999999999997</v>
      </c>
      <c r="J43" s="183"/>
      <c r="K43" s="184">
        <f t="shared" si="2"/>
        <v>4.0999999999999996</v>
      </c>
      <c r="L43" s="201"/>
    </row>
    <row r="44" spans="1:12" ht="11.25">
      <c r="A44" s="205"/>
      <c r="B44" s="206"/>
      <c r="C44" s="207"/>
      <c r="D44" s="208"/>
      <c r="E44" s="208"/>
      <c r="F44" s="209"/>
      <c r="G44" s="207"/>
      <c r="H44" s="208"/>
      <c r="I44" s="208"/>
      <c r="J44" s="208"/>
      <c r="K44" s="210"/>
      <c r="L44" s="193"/>
    </row>
    <row r="45" spans="1:12" s="2" customFormat="1" ht="15">
      <c r="A45" s="130" t="s">
        <v>23</v>
      </c>
      <c r="B45" s="131" t="s">
        <v>63</v>
      </c>
    </row>
    <row r="46" spans="1:12" s="2" customFormat="1">
      <c r="A46" s="211" t="s">
        <v>42</v>
      </c>
      <c r="B46" s="2" t="s">
        <v>64</v>
      </c>
    </row>
  </sheetData>
  <mergeCells count="5">
    <mergeCell ref="A1:K1"/>
    <mergeCell ref="A2:K2"/>
    <mergeCell ref="A3:K3"/>
    <mergeCell ref="C5:E5"/>
    <mergeCell ref="G5:K5"/>
  </mergeCells>
  <printOptions horizontalCentered="1"/>
  <pageMargins left="0.75" right="0.75" top="0.75" bottom="0.75" header="0.2" footer="0.2"/>
  <pageSetup scale="2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L48"/>
  <sheetViews>
    <sheetView workbookViewId="0">
      <selection sqref="A1:XFD3"/>
    </sheetView>
  </sheetViews>
  <sheetFormatPr defaultColWidth="12.42578125" defaultRowHeight="15"/>
  <cols>
    <col min="1" max="1" width="3" style="288" customWidth="1"/>
    <col min="2" max="2" width="38.7109375" style="288" customWidth="1"/>
    <col min="3" max="4" width="19" style="289" customWidth="1"/>
    <col min="5" max="5" width="2" style="289" customWidth="1"/>
    <col min="6" max="6" width="5.7109375" style="289" customWidth="1"/>
    <col min="7" max="7" width="19" style="289" customWidth="1"/>
    <col min="8" max="8" width="1.7109375" style="289" customWidth="1"/>
    <col min="9" max="9" width="6" style="289" customWidth="1"/>
    <col min="10" max="10" width="2.42578125" style="289" customWidth="1"/>
    <col min="11" max="12" width="19" style="289" customWidth="1"/>
    <col min="13" max="16384" width="12.42578125" style="9"/>
  </cols>
  <sheetData>
    <row r="1" spans="1:12" s="1" customFormat="1" ht="18">
      <c r="A1" s="742" t="s">
        <v>65</v>
      </c>
      <c r="B1" s="742"/>
      <c r="C1" s="742"/>
      <c r="D1" s="742"/>
      <c r="E1" s="742"/>
      <c r="F1" s="742"/>
      <c r="G1" s="742"/>
      <c r="H1" s="742"/>
      <c r="I1" s="742"/>
      <c r="J1" s="742"/>
      <c r="K1" s="742"/>
      <c r="L1" s="742"/>
    </row>
    <row r="2" spans="1:12" s="3" customFormat="1">
      <c r="A2" s="750" t="s">
        <v>271</v>
      </c>
      <c r="B2" s="750"/>
      <c r="C2" s="750"/>
      <c r="D2" s="750"/>
      <c r="E2" s="750"/>
      <c r="F2" s="750"/>
      <c r="G2" s="750"/>
      <c r="H2" s="750"/>
      <c r="I2" s="750"/>
      <c r="J2" s="750"/>
      <c r="K2" s="750"/>
      <c r="L2" s="750"/>
    </row>
    <row r="3" spans="1:12" s="3" customFormat="1" ht="15.75">
      <c r="A3" s="745" t="s">
        <v>71</v>
      </c>
      <c r="B3" s="745"/>
      <c r="C3" s="745"/>
      <c r="D3" s="745"/>
      <c r="E3" s="745"/>
      <c r="F3" s="745"/>
      <c r="G3" s="745"/>
      <c r="H3" s="745"/>
      <c r="I3" s="745"/>
      <c r="J3" s="745"/>
      <c r="K3" s="745"/>
      <c r="L3" s="745"/>
    </row>
    <row r="4" spans="1:12" ht="12.75">
      <c r="A4" s="213"/>
      <c r="B4" s="213"/>
      <c r="C4" s="214"/>
      <c r="D4" s="214"/>
      <c r="E4" s="214"/>
      <c r="F4" s="214"/>
      <c r="G4" s="214"/>
      <c r="H4" s="215"/>
      <c r="I4" s="214"/>
      <c r="J4" s="214"/>
      <c r="K4" s="216"/>
      <c r="L4" s="214" t="s">
        <v>15</v>
      </c>
    </row>
    <row r="5" spans="1:12" ht="11.25">
      <c r="A5" s="136"/>
      <c r="B5" s="136"/>
      <c r="C5" s="217"/>
      <c r="D5" s="217"/>
      <c r="E5" s="217"/>
      <c r="F5" s="217"/>
      <c r="G5" s="217"/>
      <c r="H5" s="218"/>
      <c r="I5" s="217"/>
      <c r="J5" s="217"/>
      <c r="K5" s="217"/>
      <c r="L5" s="217"/>
    </row>
    <row r="6" spans="1:12" ht="11.25">
      <c r="A6" s="10"/>
      <c r="B6" s="11"/>
      <c r="C6" s="219"/>
      <c r="D6" s="220"/>
      <c r="E6" s="221"/>
      <c r="F6" s="753" t="s">
        <v>2</v>
      </c>
      <c r="G6" s="754"/>
      <c r="H6" s="222" t="s">
        <v>15</v>
      </c>
      <c r="I6" s="755" t="s">
        <v>3</v>
      </c>
      <c r="J6" s="756"/>
      <c r="K6" s="756"/>
      <c r="L6" s="754"/>
    </row>
    <row r="7" spans="1:12" ht="11.25">
      <c r="A7" s="142"/>
      <c r="B7" s="223"/>
      <c r="C7" s="224">
        <f>'Sch. 1'!C8</f>
        <v>43831</v>
      </c>
      <c r="D7" s="225">
        <f>'Sch. 1'!D8</f>
        <v>43831</v>
      </c>
      <c r="E7" s="151"/>
      <c r="F7" s="219"/>
      <c r="G7" s="221"/>
      <c r="H7" s="226" t="s">
        <v>15</v>
      </c>
      <c r="I7" s="227"/>
      <c r="J7" s="228"/>
      <c r="K7" s="228"/>
      <c r="L7" s="229" t="s">
        <v>72</v>
      </c>
    </row>
    <row r="8" spans="1:12" ht="11.25">
      <c r="A8" s="153" t="s">
        <v>16</v>
      </c>
      <c r="B8" s="230"/>
      <c r="C8" s="231" t="s">
        <v>9</v>
      </c>
      <c r="D8" s="232" t="s">
        <v>10</v>
      </c>
      <c r="E8" s="233"/>
      <c r="F8" s="231" t="s">
        <v>70</v>
      </c>
      <c r="G8" s="233" t="s">
        <v>73</v>
      </c>
      <c r="H8" s="234" t="s">
        <v>15</v>
      </c>
      <c r="I8" s="235" t="s">
        <v>70</v>
      </c>
      <c r="J8" s="233"/>
      <c r="K8" s="233" t="s">
        <v>74</v>
      </c>
      <c r="L8" s="236" t="s">
        <v>73</v>
      </c>
    </row>
    <row r="9" spans="1:12" ht="11.25">
      <c r="A9" s="237"/>
      <c r="B9" s="238"/>
      <c r="C9" s="239"/>
      <c r="D9" s="240"/>
      <c r="E9" s="241"/>
      <c r="F9" s="241"/>
      <c r="G9" s="241"/>
      <c r="H9" s="234" t="s">
        <v>15</v>
      </c>
      <c r="I9" s="242"/>
      <c r="J9" s="241"/>
      <c r="K9" s="241"/>
      <c r="L9" s="243"/>
    </row>
    <row r="10" spans="1:12" ht="12.75">
      <c r="A10" s="244" t="s">
        <v>19</v>
      </c>
      <c r="B10" s="168"/>
      <c r="C10" s="245"/>
      <c r="D10" s="246"/>
      <c r="E10" s="247"/>
      <c r="F10" s="247"/>
      <c r="G10" s="247"/>
      <c r="H10" s="248"/>
      <c r="I10" s="249"/>
      <c r="J10" s="247"/>
      <c r="K10" s="247"/>
      <c r="L10" s="245"/>
    </row>
    <row r="11" spans="1:12" ht="12.75">
      <c r="A11" s="250"/>
      <c r="B11" s="177" t="s">
        <v>20</v>
      </c>
      <c r="C11" s="251">
        <f>'Sch. 1'!C13</f>
        <v>0</v>
      </c>
      <c r="D11" s="252">
        <f>'Sch. 1'!D13</f>
        <v>0.14000000000032742</v>
      </c>
      <c r="E11" s="253"/>
      <c r="F11" s="247">
        <f>'Sch. 2'!E12</f>
        <v>1.4</v>
      </c>
      <c r="G11" s="253">
        <f>ROUND(F11/100*$C11,0)</f>
        <v>0</v>
      </c>
      <c r="H11" s="254"/>
      <c r="I11" s="249">
        <f>'Sch. 2'!K12</f>
        <v>1.3</v>
      </c>
      <c r="J11" s="247"/>
      <c r="K11" s="253">
        <f>ROUND(I11/100*$C11,0)</f>
        <v>0</v>
      </c>
      <c r="L11" s="251">
        <f>+K11-G11</f>
        <v>0</v>
      </c>
    </row>
    <row r="12" spans="1:12" ht="12.75">
      <c r="A12" s="250"/>
      <c r="B12" s="177" t="s">
        <v>22</v>
      </c>
      <c r="C12" s="251">
        <f>'Sch. 1'!C14</f>
        <v>1919496.1700000006</v>
      </c>
      <c r="D12" s="252">
        <f>'Sch. 1'!D14</f>
        <v>59504</v>
      </c>
      <c r="E12" s="253" t="s">
        <v>23</v>
      </c>
      <c r="F12" s="247">
        <f>'Sch. 2'!E13</f>
        <v>1.8</v>
      </c>
      <c r="G12" s="253">
        <f t="shared" ref="G12:G18" si="0">ROUND(F12/100*$C12,0)</f>
        <v>34551</v>
      </c>
      <c r="H12" s="254"/>
      <c r="I12" s="249">
        <f>'Sch. 2'!K13</f>
        <v>1.7</v>
      </c>
      <c r="J12" s="247" t="s">
        <v>23</v>
      </c>
      <c r="K12" s="253">
        <f t="shared" ref="K12:K18" si="1">ROUND(I12/100*$C12,0)</f>
        <v>32631</v>
      </c>
      <c r="L12" s="251">
        <f t="shared" ref="L12:L18" si="2">+K12-G12</f>
        <v>-1920</v>
      </c>
    </row>
    <row r="13" spans="1:12" ht="12.75">
      <c r="A13" s="250"/>
      <c r="B13" s="177" t="s">
        <v>25</v>
      </c>
      <c r="C13" s="251">
        <f>'Sch. 1'!C15</f>
        <v>7801457.4299999997</v>
      </c>
      <c r="D13" s="252">
        <f>'Sch. 1'!D15</f>
        <v>1621933.31</v>
      </c>
      <c r="E13" s="253"/>
      <c r="F13" s="247">
        <f>'Sch. 2'!E14</f>
        <v>2.6</v>
      </c>
      <c r="G13" s="253">
        <f t="shared" si="0"/>
        <v>202838</v>
      </c>
      <c r="H13" s="254"/>
      <c r="I13" s="249">
        <f>'Sch. 2'!K14</f>
        <v>2.2999999999999998</v>
      </c>
      <c r="J13" s="247"/>
      <c r="K13" s="253">
        <f t="shared" si="1"/>
        <v>179434</v>
      </c>
      <c r="L13" s="251">
        <f t="shared" si="2"/>
        <v>-23404</v>
      </c>
    </row>
    <row r="14" spans="1:12" ht="12.75">
      <c r="A14" s="250"/>
      <c r="B14" s="177" t="s">
        <v>28</v>
      </c>
      <c r="C14" s="251">
        <f>'Sch. 1'!C16</f>
        <v>224802</v>
      </c>
      <c r="D14" s="252">
        <f>'Sch. 1'!D16</f>
        <v>196589</v>
      </c>
      <c r="E14" s="253" t="s">
        <v>23</v>
      </c>
      <c r="F14" s="247">
        <f>'Sch. 2'!E15</f>
        <v>2.1</v>
      </c>
      <c r="G14" s="253">
        <f t="shared" si="0"/>
        <v>4721</v>
      </c>
      <c r="H14" s="254"/>
      <c r="I14" s="249">
        <f>'Sch. 2'!K15</f>
        <v>1.9</v>
      </c>
      <c r="J14" s="247" t="s">
        <v>23</v>
      </c>
      <c r="K14" s="253">
        <f t="shared" si="1"/>
        <v>4271</v>
      </c>
      <c r="L14" s="251">
        <f t="shared" si="2"/>
        <v>-450</v>
      </c>
    </row>
    <row r="15" spans="1:12" ht="12.75">
      <c r="A15" s="250"/>
      <c r="B15" s="177" t="s">
        <v>30</v>
      </c>
      <c r="C15" s="251">
        <f>'Sch. 1'!C17</f>
        <v>1447747</v>
      </c>
      <c r="D15" s="252">
        <f>'Sch. 1'!D17</f>
        <v>661209.22999999986</v>
      </c>
      <c r="E15" s="253" t="s">
        <v>23</v>
      </c>
      <c r="F15" s="247">
        <f>'Sch. 2'!E16</f>
        <v>4.0999999999999996</v>
      </c>
      <c r="G15" s="253">
        <f t="shared" si="0"/>
        <v>59358</v>
      </c>
      <c r="H15" s="254"/>
      <c r="I15" s="249">
        <f>'Sch. 2'!K16</f>
        <v>5.9</v>
      </c>
      <c r="J15" s="247" t="s">
        <v>23</v>
      </c>
      <c r="K15" s="253">
        <f>ROUND(I15/100*$C15,0)</f>
        <v>85417</v>
      </c>
      <c r="L15" s="251">
        <f t="shared" si="2"/>
        <v>26059</v>
      </c>
    </row>
    <row r="16" spans="1:12" ht="12.75">
      <c r="A16" s="250"/>
      <c r="B16" s="177" t="s">
        <v>33</v>
      </c>
      <c r="C16" s="251">
        <f>'Sch. 1'!C18</f>
        <v>4014730.41</v>
      </c>
      <c r="D16" s="252">
        <f>'Sch. 1'!D18</f>
        <v>678489</v>
      </c>
      <c r="E16" s="253" t="s">
        <v>23</v>
      </c>
      <c r="F16" s="247">
        <f>'Sch. 2'!E17</f>
        <v>2.9</v>
      </c>
      <c r="G16" s="253">
        <f>ROUND(F16/100*$C16,0)</f>
        <v>116427</v>
      </c>
      <c r="H16" s="254"/>
      <c r="I16" s="249">
        <f>'Sch. 2'!K17</f>
        <v>2.9</v>
      </c>
      <c r="J16" s="247" t="s">
        <v>23</v>
      </c>
      <c r="K16" s="253">
        <f>ROUND(I16/100*$C16,0)</f>
        <v>116427</v>
      </c>
      <c r="L16" s="251">
        <f>+K16-G16</f>
        <v>0</v>
      </c>
    </row>
    <row r="17" spans="1:12" ht="12.75">
      <c r="A17" s="250"/>
      <c r="B17" s="177" t="s">
        <v>34</v>
      </c>
      <c r="C17" s="251">
        <f>'Sch. 1'!C19</f>
        <v>3136905.45</v>
      </c>
      <c r="D17" s="252">
        <f>'Sch. 1'!D19</f>
        <v>583845.12299999991</v>
      </c>
      <c r="E17" s="253"/>
      <c r="F17" s="247">
        <f>'Sch. 2'!E18</f>
        <v>2.5</v>
      </c>
      <c r="G17" s="253">
        <f t="shared" si="0"/>
        <v>78423</v>
      </c>
      <c r="H17" s="254"/>
      <c r="I17" s="249">
        <f>'Sch. 2'!K18</f>
        <v>2.2000000000000002</v>
      </c>
      <c r="J17" s="247"/>
      <c r="K17" s="253">
        <f t="shared" si="1"/>
        <v>69012</v>
      </c>
      <c r="L17" s="251">
        <f t="shared" si="2"/>
        <v>-9411</v>
      </c>
    </row>
    <row r="18" spans="1:12" ht="12.75">
      <c r="A18" s="250"/>
      <c r="B18" s="255" t="s">
        <v>35</v>
      </c>
      <c r="C18" s="251">
        <f>'Sch. 1'!C20</f>
        <v>6788</v>
      </c>
      <c r="D18" s="252">
        <f>'Sch. 1'!D20</f>
        <v>6009.0400000000009</v>
      </c>
      <c r="E18" s="253"/>
      <c r="F18" s="247">
        <f>'Sch. 2'!E19</f>
        <v>1.5</v>
      </c>
      <c r="G18" s="253">
        <f t="shared" si="0"/>
        <v>102</v>
      </c>
      <c r="H18" s="254"/>
      <c r="I18" s="249">
        <f>'Sch. 2'!K19</f>
        <v>0.9</v>
      </c>
      <c r="J18" s="247"/>
      <c r="K18" s="253">
        <f t="shared" si="1"/>
        <v>61</v>
      </c>
      <c r="L18" s="251">
        <f t="shared" si="2"/>
        <v>-41</v>
      </c>
    </row>
    <row r="19" spans="1:12" ht="12.75">
      <c r="A19" s="250"/>
      <c r="B19" s="256" t="s">
        <v>75</v>
      </c>
      <c r="C19" s="257">
        <f>SUM(C11:C18)</f>
        <v>18551926.460000001</v>
      </c>
      <c r="D19" s="258">
        <f>SUM(D11:D18)</f>
        <v>3807578.8429999994</v>
      </c>
      <c r="E19" s="259"/>
      <c r="F19" s="260"/>
      <c r="G19" s="259">
        <f>SUM(G11:G18)</f>
        <v>496420</v>
      </c>
      <c r="H19" s="254"/>
      <c r="I19" s="261"/>
      <c r="J19" s="260"/>
      <c r="K19" s="259">
        <f>SUM(K11:K18)</f>
        <v>487253</v>
      </c>
      <c r="L19" s="257">
        <f>SUM(L11:L18)</f>
        <v>-9167</v>
      </c>
    </row>
    <row r="20" spans="1:12" ht="11.25">
      <c r="A20" s="262"/>
      <c r="B20" s="263"/>
      <c r="C20" s="264"/>
      <c r="D20" s="265"/>
      <c r="E20" s="266"/>
      <c r="F20" s="267"/>
      <c r="G20" s="266"/>
      <c r="H20" s="268"/>
      <c r="I20" s="269"/>
      <c r="J20" s="267"/>
      <c r="K20" s="266"/>
      <c r="L20" s="264"/>
    </row>
    <row r="21" spans="1:12" ht="12.75">
      <c r="A21" s="244" t="s">
        <v>37</v>
      </c>
      <c r="B21" s="168"/>
      <c r="C21" s="251"/>
      <c r="D21" s="252"/>
      <c r="E21" s="253"/>
      <c r="F21" s="247"/>
      <c r="G21" s="253"/>
      <c r="H21" s="254"/>
      <c r="I21" s="249"/>
      <c r="J21" s="247"/>
      <c r="K21" s="253"/>
      <c r="L21" s="251"/>
    </row>
    <row r="22" spans="1:12" ht="12.75">
      <c r="A22" s="176"/>
      <c r="B22" s="177" t="s">
        <v>38</v>
      </c>
      <c r="C22" s="251">
        <f>'Sch. 1'!C24</f>
        <v>56995</v>
      </c>
      <c r="D22" s="252">
        <f>'Sch. 1'!D24</f>
        <v>34100</v>
      </c>
      <c r="E22" s="253"/>
      <c r="F22" s="247">
        <f>'Sch. 2'!E23</f>
        <v>1.6</v>
      </c>
      <c r="G22" s="253">
        <f>ROUND(F22/100*$C22,0)</f>
        <v>912</v>
      </c>
      <c r="H22" s="254"/>
      <c r="I22" s="249">
        <f>'Sch. 2'!K23</f>
        <v>1.5</v>
      </c>
      <c r="J22" s="247"/>
      <c r="K22" s="253">
        <f>ROUND(I22/100*$C22,0)</f>
        <v>855</v>
      </c>
      <c r="L22" s="251">
        <f>+K22-G22</f>
        <v>-57</v>
      </c>
    </row>
    <row r="23" spans="1:12" ht="12.75">
      <c r="A23" s="176"/>
      <c r="B23" s="177" t="s">
        <v>39</v>
      </c>
      <c r="C23" s="251">
        <f>'Sch. 1'!C25</f>
        <v>1198983.1200000001</v>
      </c>
      <c r="D23" s="252">
        <f>'Sch. 1'!D25</f>
        <v>108222.76</v>
      </c>
      <c r="E23" s="253"/>
      <c r="F23" s="247">
        <f>'Sch. 2'!E24</f>
        <v>1.7</v>
      </c>
      <c r="G23" s="253">
        <f t="shared" ref="G23:G33" si="3">ROUND(F23/100*$C23,0)</f>
        <v>20383</v>
      </c>
      <c r="H23" s="254"/>
      <c r="I23" s="249">
        <f>'Sch. 2'!K24</f>
        <v>1.8</v>
      </c>
      <c r="J23" s="247"/>
      <c r="K23" s="253">
        <f t="shared" ref="K23:K33" si="4">ROUND(I23/100*$C23,0)</f>
        <v>21582</v>
      </c>
      <c r="L23" s="251">
        <f t="shared" ref="L23:L33" si="5">+K23-G23</f>
        <v>1199</v>
      </c>
    </row>
    <row r="24" spans="1:12" ht="12.75">
      <c r="A24" s="176"/>
      <c r="B24" s="177" t="s">
        <v>40</v>
      </c>
      <c r="C24" s="251">
        <f>'Sch. 1'!C26</f>
        <v>13265693.23</v>
      </c>
      <c r="D24" s="252">
        <f>'Sch. 1'!D26</f>
        <v>3869802.5</v>
      </c>
      <c r="E24" s="253"/>
      <c r="F24" s="247">
        <f>'Sch. 2'!E25</f>
        <v>2.4</v>
      </c>
      <c r="G24" s="253">
        <f t="shared" si="3"/>
        <v>318377</v>
      </c>
      <c r="H24" s="254"/>
      <c r="I24" s="249">
        <f>'Sch. 2'!K25</f>
        <v>2.1</v>
      </c>
      <c r="J24" s="247"/>
      <c r="K24" s="253">
        <f t="shared" si="4"/>
        <v>278580</v>
      </c>
      <c r="L24" s="251">
        <f t="shared" si="5"/>
        <v>-39797</v>
      </c>
    </row>
    <row r="25" spans="1:12" ht="12.75">
      <c r="A25" s="176"/>
      <c r="B25" s="177" t="s">
        <v>41</v>
      </c>
      <c r="C25" s="251">
        <f>'Sch. 1'!C27</f>
        <v>24993810.550000001</v>
      </c>
      <c r="D25" s="252">
        <f>'Sch. 1'!D27</f>
        <v>9380938.879999999</v>
      </c>
      <c r="E25" s="253" t="s">
        <v>42</v>
      </c>
      <c r="F25" s="247">
        <f>'Sch. 2'!E26</f>
        <v>3.9</v>
      </c>
      <c r="G25" s="253">
        <f t="shared" si="3"/>
        <v>974759</v>
      </c>
      <c r="H25" s="254"/>
      <c r="I25" s="249">
        <f>'Sch. 2'!K26</f>
        <v>4</v>
      </c>
      <c r="J25" s="247" t="s">
        <v>42</v>
      </c>
      <c r="K25" s="253">
        <f t="shared" si="4"/>
        <v>999752</v>
      </c>
      <c r="L25" s="251">
        <f t="shared" si="5"/>
        <v>24993</v>
      </c>
    </row>
    <row r="26" spans="1:12" ht="12.75">
      <c r="A26" s="176"/>
      <c r="B26" s="177" t="s">
        <v>43</v>
      </c>
      <c r="C26" s="251">
        <f>'Sch. 1'!C28</f>
        <v>20379925.090000004</v>
      </c>
      <c r="D26" s="252">
        <f>'Sch. 1'!D28</f>
        <v>10467834.869999999</v>
      </c>
      <c r="E26" s="253" t="s">
        <v>42</v>
      </c>
      <c r="F26" s="247">
        <f>'Sch. 2'!E27</f>
        <v>3.4</v>
      </c>
      <c r="G26" s="253">
        <f t="shared" si="3"/>
        <v>692917</v>
      </c>
      <c r="H26" s="254"/>
      <c r="I26" s="249">
        <f>'Sch. 2'!K27</f>
        <v>2.8</v>
      </c>
      <c r="J26" s="247" t="s">
        <v>42</v>
      </c>
      <c r="K26" s="253">
        <f t="shared" si="4"/>
        <v>570638</v>
      </c>
      <c r="L26" s="251">
        <f t="shared" si="5"/>
        <v>-122279</v>
      </c>
    </row>
    <row r="27" spans="1:12" ht="12.75">
      <c r="A27" s="176"/>
      <c r="B27" s="177" t="s">
        <v>44</v>
      </c>
      <c r="C27" s="251">
        <f>'Sch. 1'!C29</f>
        <v>6913569.9000000004</v>
      </c>
      <c r="D27" s="252">
        <f>'Sch. 1'!D29</f>
        <v>1360240.2299999997</v>
      </c>
      <c r="E27" s="253"/>
      <c r="F27" s="247">
        <f>'Sch. 2'!E28</f>
        <v>1.8</v>
      </c>
      <c r="G27" s="253">
        <f t="shared" si="3"/>
        <v>124444</v>
      </c>
      <c r="H27" s="254"/>
      <c r="I27" s="249">
        <f>'Sch. 2'!K28</f>
        <v>1.8</v>
      </c>
      <c r="J27" s="247"/>
      <c r="K27" s="253">
        <f t="shared" si="4"/>
        <v>124444</v>
      </c>
      <c r="L27" s="251">
        <f t="shared" si="5"/>
        <v>0</v>
      </c>
    </row>
    <row r="28" spans="1:12" ht="12.75">
      <c r="A28" s="176"/>
      <c r="B28" s="177" t="s">
        <v>45</v>
      </c>
      <c r="C28" s="251">
        <f>'Sch. 1'!C30</f>
        <v>9896678.0099999998</v>
      </c>
      <c r="D28" s="252">
        <f>'Sch. 1'!D30</f>
        <v>3950498.0799999996</v>
      </c>
      <c r="E28" s="253"/>
      <c r="F28" s="247">
        <f>'Sch. 2'!E29</f>
        <v>3.2</v>
      </c>
      <c r="G28" s="253">
        <f t="shared" si="3"/>
        <v>316694</v>
      </c>
      <c r="H28" s="254"/>
      <c r="I28" s="249">
        <f>'Sch. 2'!K29</f>
        <v>3.1</v>
      </c>
      <c r="J28" s="247"/>
      <c r="K28" s="253">
        <f t="shared" si="4"/>
        <v>306797</v>
      </c>
      <c r="L28" s="251">
        <f t="shared" si="5"/>
        <v>-9897</v>
      </c>
    </row>
    <row r="29" spans="1:12" ht="12.75">
      <c r="A29" s="176"/>
      <c r="B29" s="177" t="s">
        <v>46</v>
      </c>
      <c r="C29" s="251">
        <f>'Sch. 1'!C31</f>
        <v>23478129.000000004</v>
      </c>
      <c r="D29" s="252">
        <f>'Sch. 1'!D31</f>
        <v>15107483.840000002</v>
      </c>
      <c r="E29" s="253" t="s">
        <v>42</v>
      </c>
      <c r="F29" s="247">
        <f>'Sch. 2'!E30</f>
        <v>4</v>
      </c>
      <c r="G29" s="253">
        <f>ROUND(F29/100*$C29,0)</f>
        <v>939125</v>
      </c>
      <c r="H29" s="254"/>
      <c r="I29" s="249">
        <f>'Sch. 2'!K30</f>
        <v>4.0999999999999996</v>
      </c>
      <c r="J29" s="247" t="s">
        <v>42</v>
      </c>
      <c r="K29" s="253">
        <f>ROUND(I29/100*$C29,0)</f>
        <v>962603</v>
      </c>
      <c r="L29" s="251">
        <f>+K29-G29</f>
        <v>23478</v>
      </c>
    </row>
    <row r="30" spans="1:12" ht="12.75">
      <c r="A30" s="176"/>
      <c r="B30" s="177" t="s">
        <v>48</v>
      </c>
      <c r="C30" s="251">
        <f>'Sch. 1'!C32</f>
        <v>13948676.699999997</v>
      </c>
      <c r="D30" s="252">
        <f>'Sch. 1'!D32</f>
        <v>7766952.3499999996</v>
      </c>
      <c r="E30" s="253" t="s">
        <v>42</v>
      </c>
      <c r="F30" s="247">
        <f>'Sch. 2'!E31</f>
        <v>3.6</v>
      </c>
      <c r="G30" s="253">
        <f t="shared" si="3"/>
        <v>502152</v>
      </c>
      <c r="H30" s="254"/>
      <c r="I30" s="249">
        <f>'Sch. 2'!K31</f>
        <v>3.4</v>
      </c>
      <c r="J30" s="247" t="s">
        <v>42</v>
      </c>
      <c r="K30" s="253">
        <f t="shared" si="4"/>
        <v>474255</v>
      </c>
      <c r="L30" s="251">
        <f t="shared" si="5"/>
        <v>-27897</v>
      </c>
    </row>
    <row r="31" spans="1:12" ht="12.75">
      <c r="A31" s="176"/>
      <c r="B31" s="177" t="s">
        <v>49</v>
      </c>
      <c r="C31" s="251">
        <f>'Sch. 1'!C33</f>
        <v>5114875.04</v>
      </c>
      <c r="D31" s="252">
        <f>'Sch. 1'!D33</f>
        <v>3088311.5500000003</v>
      </c>
      <c r="E31" s="253" t="s">
        <v>42</v>
      </c>
      <c r="F31" s="247">
        <f>'Sch. 2'!E32</f>
        <v>3.7</v>
      </c>
      <c r="G31" s="253">
        <f t="shared" si="3"/>
        <v>189250</v>
      </c>
      <c r="H31" s="254"/>
      <c r="I31" s="249">
        <f>'Sch. 2'!K32</f>
        <v>3.8</v>
      </c>
      <c r="J31" s="247" t="s">
        <v>42</v>
      </c>
      <c r="K31" s="253">
        <f t="shared" si="4"/>
        <v>194365</v>
      </c>
      <c r="L31" s="251">
        <f t="shared" si="5"/>
        <v>5115</v>
      </c>
    </row>
    <row r="32" spans="1:12" ht="12.75">
      <c r="A32" s="176"/>
      <c r="B32" s="177" t="s">
        <v>50</v>
      </c>
      <c r="C32" s="251">
        <f>'Sch. 1'!C34</f>
        <v>3495099.46</v>
      </c>
      <c r="D32" s="252">
        <f>'Sch. 1'!D34</f>
        <v>1793661.4600000002</v>
      </c>
      <c r="E32" s="253" t="s">
        <v>42</v>
      </c>
      <c r="F32" s="247">
        <f>'Sch. 2'!E33</f>
        <v>4.5</v>
      </c>
      <c r="G32" s="253">
        <f t="shared" si="3"/>
        <v>157279</v>
      </c>
      <c r="H32" s="254"/>
      <c r="I32" s="249">
        <f>'Sch. 2'!K33</f>
        <v>3.2</v>
      </c>
      <c r="J32" s="247" t="s">
        <v>42</v>
      </c>
      <c r="K32" s="253">
        <f t="shared" si="4"/>
        <v>111843</v>
      </c>
      <c r="L32" s="251">
        <f t="shared" si="5"/>
        <v>-45436</v>
      </c>
    </row>
    <row r="33" spans="1:12" ht="12.75">
      <c r="A33" s="176"/>
      <c r="B33" s="255" t="s">
        <v>51</v>
      </c>
      <c r="C33" s="251">
        <f>'Sch. 1'!C35</f>
        <v>2644976.21</v>
      </c>
      <c r="D33" s="252">
        <f>'Sch. 1'!D35</f>
        <v>1377575.8499999999</v>
      </c>
      <c r="E33" s="253" t="s">
        <v>42</v>
      </c>
      <c r="F33" s="247">
        <f>'Sch. 2'!E34</f>
        <v>4.9000000000000004</v>
      </c>
      <c r="G33" s="253">
        <f t="shared" si="3"/>
        <v>129604</v>
      </c>
      <c r="H33" s="254"/>
      <c r="I33" s="249">
        <f>'Sch. 2'!K34</f>
        <v>5.0999999999999996</v>
      </c>
      <c r="J33" s="247" t="s">
        <v>42</v>
      </c>
      <c r="K33" s="253">
        <f t="shared" si="4"/>
        <v>134894</v>
      </c>
      <c r="L33" s="251">
        <f t="shared" si="5"/>
        <v>5290</v>
      </c>
    </row>
    <row r="34" spans="1:12" ht="12.75">
      <c r="A34" s="176"/>
      <c r="B34" s="256" t="s">
        <v>76</v>
      </c>
      <c r="C34" s="257">
        <f>SUM(C22:C33)</f>
        <v>125387411.31</v>
      </c>
      <c r="D34" s="258">
        <f>SUM(D22:D33)</f>
        <v>58305622.369999997</v>
      </c>
      <c r="E34" s="259"/>
      <c r="F34" s="260"/>
      <c r="G34" s="259">
        <f>SUM(G22:G33)</f>
        <v>4365896</v>
      </c>
      <c r="H34" s="254"/>
      <c r="I34" s="261"/>
      <c r="J34" s="260"/>
      <c r="K34" s="259">
        <f>SUM(K22:K33)</f>
        <v>4180608</v>
      </c>
      <c r="L34" s="257">
        <f>SUM(L22:L33)</f>
        <v>-185288</v>
      </c>
    </row>
    <row r="35" spans="1:12" ht="11.25">
      <c r="A35" s="270"/>
      <c r="B35" s="263"/>
      <c r="C35" s="264"/>
      <c r="D35" s="265"/>
      <c r="E35" s="266"/>
      <c r="F35" s="267"/>
      <c r="G35" s="266"/>
      <c r="H35" s="268"/>
      <c r="I35" s="269"/>
      <c r="J35" s="267"/>
      <c r="K35" s="266"/>
      <c r="L35" s="264"/>
    </row>
    <row r="36" spans="1:12" ht="12.75">
      <c r="A36" s="244" t="s">
        <v>54</v>
      </c>
      <c r="B36" s="168"/>
      <c r="C36" s="251"/>
      <c r="D36" s="252"/>
      <c r="E36" s="253"/>
      <c r="F36" s="247"/>
      <c r="G36" s="253"/>
      <c r="H36" s="254"/>
      <c r="I36" s="249"/>
      <c r="J36" s="247"/>
      <c r="K36" s="253"/>
      <c r="L36" s="251"/>
    </row>
    <row r="37" spans="1:12" ht="12.75">
      <c r="A37" s="176"/>
      <c r="B37" s="177" t="s">
        <v>55</v>
      </c>
      <c r="C37" s="251">
        <f>'Sch. 1'!C39</f>
        <v>4010284</v>
      </c>
      <c r="D37" s="252">
        <f>'Sch. 1'!D39</f>
        <v>1009883.8799999999</v>
      </c>
      <c r="E37" s="253"/>
      <c r="F37" s="247">
        <f>'Sch. 2'!E38</f>
        <v>2</v>
      </c>
      <c r="G37" s="253">
        <f t="shared" ref="G37:G42" si="6">ROUND(F37/100*$C37,0)</f>
        <v>80206</v>
      </c>
      <c r="H37" s="254"/>
      <c r="I37" s="249">
        <f>'Sch. 2'!K38</f>
        <v>2</v>
      </c>
      <c r="J37" s="247"/>
      <c r="K37" s="253">
        <f t="shared" ref="K37:K42" si="7">ROUND(I37/100*$C37,0)</f>
        <v>80206</v>
      </c>
      <c r="L37" s="251">
        <f t="shared" ref="L37:L42" si="8">+K37-G37</f>
        <v>0</v>
      </c>
    </row>
    <row r="38" spans="1:12" ht="12.75">
      <c r="A38" s="176"/>
      <c r="B38" s="177" t="s">
        <v>56</v>
      </c>
      <c r="C38" s="251">
        <f>'Sch. 1'!C40</f>
        <v>23952</v>
      </c>
      <c r="D38" s="252">
        <f>'Sch. 1'!D40</f>
        <v>10769</v>
      </c>
      <c r="E38" s="253" t="s">
        <v>23</v>
      </c>
      <c r="F38" s="247">
        <f>'Sch. 2'!E39</f>
        <v>11.899999999999999</v>
      </c>
      <c r="G38" s="253">
        <f t="shared" si="6"/>
        <v>2850</v>
      </c>
      <c r="H38" s="254"/>
      <c r="I38" s="249">
        <f>'Sch. 2'!K39</f>
        <v>7.7</v>
      </c>
      <c r="J38" s="247" t="s">
        <v>23</v>
      </c>
      <c r="K38" s="253">
        <f t="shared" si="7"/>
        <v>1844</v>
      </c>
      <c r="L38" s="251">
        <f t="shared" si="8"/>
        <v>-1006</v>
      </c>
    </row>
    <row r="39" spans="1:12" ht="12.75">
      <c r="A39" s="176"/>
      <c r="B39" s="177" t="s">
        <v>57</v>
      </c>
      <c r="C39" s="251">
        <f>'Sch. 1'!C41</f>
        <v>1178417.1300000004</v>
      </c>
      <c r="D39" s="252">
        <f>'Sch. 1'!D41</f>
        <v>650486</v>
      </c>
      <c r="E39" s="253" t="s">
        <v>23</v>
      </c>
      <c r="F39" s="247">
        <f>'Sch. 2'!E40</f>
        <v>7.8</v>
      </c>
      <c r="G39" s="253">
        <f t="shared" si="6"/>
        <v>91917</v>
      </c>
      <c r="H39" s="254"/>
      <c r="I39" s="249">
        <f>'Sch. 2'!K40</f>
        <v>8</v>
      </c>
      <c r="J39" s="247" t="s">
        <v>23</v>
      </c>
      <c r="K39" s="253">
        <f t="shared" si="7"/>
        <v>94273</v>
      </c>
      <c r="L39" s="251">
        <f t="shared" si="8"/>
        <v>2356</v>
      </c>
    </row>
    <row r="40" spans="1:12" ht="12.75">
      <c r="A40" s="176"/>
      <c r="B40" s="177" t="s">
        <v>58</v>
      </c>
      <c r="C40" s="251">
        <f>'Sch. 1'!C42</f>
        <v>4086800</v>
      </c>
      <c r="D40" s="252">
        <f>'Sch. 1'!D42</f>
        <v>2182351</v>
      </c>
      <c r="E40" s="253" t="s">
        <v>23</v>
      </c>
      <c r="F40" s="247">
        <f>'Sch. 2'!E41</f>
        <v>7</v>
      </c>
      <c r="G40" s="253">
        <f t="shared" si="6"/>
        <v>286076</v>
      </c>
      <c r="H40" s="254"/>
      <c r="I40" s="249">
        <f>'Sch. 2'!K41</f>
        <v>6</v>
      </c>
      <c r="J40" s="247" t="s">
        <v>23</v>
      </c>
      <c r="K40" s="253">
        <f t="shared" si="7"/>
        <v>245208</v>
      </c>
      <c r="L40" s="251">
        <f t="shared" si="8"/>
        <v>-40868</v>
      </c>
    </row>
    <row r="41" spans="1:12" ht="12.75">
      <c r="A41" s="176"/>
      <c r="B41" s="177" t="s">
        <v>59</v>
      </c>
      <c r="C41" s="251">
        <f>'Sch. 1'!C43</f>
        <v>144084</v>
      </c>
      <c r="D41" s="252">
        <f>'Sch. 1'!D43</f>
        <v>96570.280000000013</v>
      </c>
      <c r="E41" s="253"/>
      <c r="F41" s="247">
        <f>'Sch. 2'!E42</f>
        <v>3.7</v>
      </c>
      <c r="G41" s="253">
        <f t="shared" si="6"/>
        <v>5331</v>
      </c>
      <c r="H41" s="254"/>
      <c r="I41" s="249">
        <f>'Sch. 2'!K42</f>
        <v>3</v>
      </c>
      <c r="J41" s="247"/>
      <c r="K41" s="253">
        <f t="shared" si="7"/>
        <v>4323</v>
      </c>
      <c r="L41" s="251">
        <f t="shared" si="8"/>
        <v>-1008</v>
      </c>
    </row>
    <row r="42" spans="1:12" ht="12.75">
      <c r="A42" s="176"/>
      <c r="B42" s="255" t="s">
        <v>60</v>
      </c>
      <c r="C42" s="251">
        <f>'Sch. 1'!C44</f>
        <v>898523.00000000012</v>
      </c>
      <c r="D42" s="252">
        <f>'Sch. 1'!D44</f>
        <v>335751.85</v>
      </c>
      <c r="E42" s="253"/>
      <c r="F42" s="247">
        <f>'Sch. 2'!E43</f>
        <v>4.4000000000000004</v>
      </c>
      <c r="G42" s="253">
        <f t="shared" si="6"/>
        <v>39535</v>
      </c>
      <c r="H42" s="254"/>
      <c r="I42" s="249">
        <f>'Sch. 2'!K43</f>
        <v>4.0999999999999996</v>
      </c>
      <c r="J42" s="247"/>
      <c r="K42" s="253">
        <f t="shared" si="7"/>
        <v>36839</v>
      </c>
      <c r="L42" s="251">
        <f t="shared" si="8"/>
        <v>-2696</v>
      </c>
    </row>
    <row r="43" spans="1:12" ht="12.75">
      <c r="A43" s="176"/>
      <c r="B43" s="256" t="s">
        <v>77</v>
      </c>
      <c r="C43" s="257">
        <f>SUM(C37:C42)</f>
        <v>10342060.130000001</v>
      </c>
      <c r="D43" s="258">
        <f>SUM(D37:D42)</f>
        <v>4285812.01</v>
      </c>
      <c r="E43" s="259"/>
      <c r="F43" s="260" t="s">
        <v>15</v>
      </c>
      <c r="G43" s="259">
        <f>SUM(G37:G42)</f>
        <v>505915</v>
      </c>
      <c r="H43" s="254"/>
      <c r="I43" s="261" t="s">
        <v>15</v>
      </c>
      <c r="J43" s="260"/>
      <c r="K43" s="259">
        <f>SUM(K37:K42)</f>
        <v>462693</v>
      </c>
      <c r="L43" s="257">
        <f>SUM(L37:L42)</f>
        <v>-43222</v>
      </c>
    </row>
    <row r="44" spans="1:12" ht="11.25">
      <c r="A44" s="270"/>
      <c r="B44" s="271"/>
      <c r="C44" s="272"/>
      <c r="D44" s="273"/>
      <c r="E44" s="274"/>
      <c r="F44" s="275"/>
      <c r="G44" s="274"/>
      <c r="H44" s="268"/>
      <c r="I44" s="276" t="s">
        <v>78</v>
      </c>
      <c r="J44" s="275"/>
      <c r="K44" s="274">
        <f>+'Sch. 5'!F23</f>
        <v>-189594</v>
      </c>
      <c r="L44" s="272">
        <f>+K44</f>
        <v>-189594</v>
      </c>
    </row>
    <row r="45" spans="1:12" ht="13.5" thickBot="1">
      <c r="A45" s="176" t="s">
        <v>15</v>
      </c>
      <c r="B45" s="277" t="s">
        <v>79</v>
      </c>
      <c r="C45" s="278">
        <f>+C43+C34+C19</f>
        <v>154281397.90000001</v>
      </c>
      <c r="D45" s="279">
        <f>+D43+D34+D19</f>
        <v>66399013.222999997</v>
      </c>
      <c r="E45" s="280"/>
      <c r="F45" s="281"/>
      <c r="G45" s="280">
        <f>+G43+G34+G19</f>
        <v>5368231</v>
      </c>
      <c r="H45" s="254"/>
      <c r="I45" s="282"/>
      <c r="J45" s="281"/>
      <c r="K45" s="280">
        <f>+K43+K34+K19+K44</f>
        <v>4940960</v>
      </c>
      <c r="L45" s="278">
        <f>+L43+L34+L19+L44</f>
        <v>-427271</v>
      </c>
    </row>
    <row r="46" spans="1:12" ht="12" thickTop="1">
      <c r="A46" s="283"/>
      <c r="B46" s="284"/>
      <c r="C46" s="285"/>
      <c r="D46" s="286"/>
      <c r="E46" s="287"/>
      <c r="F46" s="287"/>
      <c r="G46" s="287"/>
      <c r="H46" s="287"/>
      <c r="I46" s="287"/>
      <c r="J46" s="287"/>
      <c r="K46" s="287"/>
      <c r="L46" s="286"/>
    </row>
    <row r="47" spans="1:12" s="2" customFormat="1">
      <c r="A47" s="130" t="s">
        <v>23</v>
      </c>
      <c r="B47" s="131" t="s">
        <v>63</v>
      </c>
    </row>
    <row r="48" spans="1:12" s="2" customFormat="1" ht="12.75">
      <c r="A48" s="211" t="s">
        <v>42</v>
      </c>
      <c r="B48" s="2" t="s">
        <v>64</v>
      </c>
    </row>
  </sheetData>
  <mergeCells count="5">
    <mergeCell ref="A1:L1"/>
    <mergeCell ref="A2:L2"/>
    <mergeCell ref="A3:L3"/>
    <mergeCell ref="F6:G6"/>
    <mergeCell ref="I6:L6"/>
  </mergeCells>
  <printOptions horizontalCentered="1"/>
  <pageMargins left="0.75" right="0.75" top="0.75" bottom="0.75" header="0.2" footer="0.2"/>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M49"/>
  <sheetViews>
    <sheetView workbookViewId="0">
      <selection sqref="A1:XFD3"/>
    </sheetView>
  </sheetViews>
  <sheetFormatPr defaultColWidth="12.42578125" defaultRowHeight="12.75"/>
  <cols>
    <col min="1" max="1" width="3.7109375" style="212" customWidth="1"/>
    <col min="2" max="2" width="19" style="212" customWidth="1"/>
    <col min="3" max="3" width="21.42578125" style="212" customWidth="1"/>
    <col min="4" max="5" width="14.140625" style="2" customWidth="1"/>
    <col min="6" max="6" width="2.42578125" style="2" customWidth="1"/>
    <col min="7" max="7" width="13.42578125" style="2" customWidth="1"/>
    <col min="8" max="8" width="14.140625" style="2" bestFit="1" customWidth="1"/>
    <col min="9" max="9" width="13.7109375" style="2" bestFit="1" customWidth="1"/>
    <col min="10" max="12" width="11.28515625" style="2" customWidth="1"/>
    <col min="13" max="16384" width="12.42578125" style="2"/>
  </cols>
  <sheetData>
    <row r="1" spans="1:13" s="290" customFormat="1" ht="18">
      <c r="A1" s="757" t="s">
        <v>0</v>
      </c>
      <c r="B1" s="757"/>
      <c r="C1" s="757"/>
      <c r="D1" s="757"/>
      <c r="E1" s="757"/>
      <c r="F1" s="757"/>
      <c r="G1" s="757"/>
      <c r="H1" s="757"/>
      <c r="I1" s="757"/>
      <c r="J1" s="757"/>
      <c r="K1" s="757"/>
      <c r="L1" s="757"/>
    </row>
    <row r="2" spans="1:13" s="290" customFormat="1" ht="15">
      <c r="A2" s="758" t="s">
        <v>271</v>
      </c>
      <c r="B2" s="758"/>
      <c r="C2" s="758"/>
      <c r="D2" s="758"/>
      <c r="E2" s="758"/>
      <c r="F2" s="758"/>
      <c r="G2" s="758"/>
      <c r="H2" s="758"/>
      <c r="I2" s="758"/>
      <c r="J2" s="758"/>
      <c r="K2" s="758"/>
      <c r="L2" s="758"/>
    </row>
    <row r="3" spans="1:13" s="291" customFormat="1" ht="15.75">
      <c r="A3" s="759" t="s">
        <v>80</v>
      </c>
      <c r="B3" s="759"/>
      <c r="C3" s="759"/>
      <c r="D3" s="759"/>
      <c r="E3" s="759"/>
      <c r="F3" s="759"/>
      <c r="G3" s="759"/>
      <c r="H3" s="759"/>
      <c r="I3" s="759"/>
      <c r="J3" s="759"/>
      <c r="K3" s="759"/>
      <c r="L3" s="759"/>
    </row>
    <row r="4" spans="1:13" s="290" customFormat="1">
      <c r="L4" s="292" t="s">
        <v>15</v>
      </c>
    </row>
    <row r="5" spans="1:13" s="295" customFormat="1" ht="11.25">
      <c r="A5" s="293"/>
      <c r="B5" s="293"/>
      <c r="C5" s="293"/>
      <c r="D5" s="294"/>
      <c r="E5" s="294"/>
      <c r="F5" s="294"/>
      <c r="G5" s="294"/>
      <c r="H5" s="294"/>
      <c r="I5" s="294"/>
      <c r="J5" s="294"/>
      <c r="K5" s="294"/>
      <c r="L5" s="294" t="s">
        <v>15</v>
      </c>
    </row>
    <row r="6" spans="1:13" s="295" customFormat="1">
      <c r="A6" s="296"/>
      <c r="B6" s="297"/>
      <c r="C6" s="297"/>
      <c r="D6" s="298">
        <f>'Sch. 1'!C8</f>
        <v>43831</v>
      </c>
      <c r="E6" s="299">
        <f>'Sch. 1'!D8</f>
        <v>43831</v>
      </c>
      <c r="F6" s="299"/>
      <c r="G6" s="300" t="s">
        <v>81</v>
      </c>
      <c r="H6" s="300" t="s">
        <v>82</v>
      </c>
      <c r="I6" s="301"/>
      <c r="J6" s="301"/>
      <c r="K6" s="301"/>
      <c r="L6" s="300" t="s">
        <v>7</v>
      </c>
    </row>
    <row r="7" spans="1:13" s="295" customFormat="1">
      <c r="A7" s="302"/>
      <c r="B7" s="303"/>
      <c r="C7" s="303"/>
      <c r="D7" s="18" t="s">
        <v>9</v>
      </c>
      <c r="E7" s="19" t="s">
        <v>10</v>
      </c>
      <c r="F7" s="19"/>
      <c r="G7" s="24" t="s">
        <v>10</v>
      </c>
      <c r="H7" s="24" t="s">
        <v>10</v>
      </c>
      <c r="I7" s="24" t="s">
        <v>83</v>
      </c>
      <c r="J7" s="24" t="s">
        <v>84</v>
      </c>
      <c r="K7" s="24" t="s">
        <v>85</v>
      </c>
      <c r="L7" s="24" t="s">
        <v>86</v>
      </c>
    </row>
    <row r="8" spans="1:13" s="295" customFormat="1" ht="13.5" thickBot="1">
      <c r="A8" s="304" t="s">
        <v>16</v>
      </c>
      <c r="B8" s="305"/>
      <c r="C8" s="305"/>
      <c r="D8" s="306"/>
      <c r="E8" s="307"/>
      <c r="F8" s="307"/>
      <c r="G8" s="308" t="s">
        <v>18</v>
      </c>
      <c r="H8" s="308"/>
      <c r="I8" s="308"/>
      <c r="J8" s="308" t="s">
        <v>18</v>
      </c>
      <c r="K8" s="308" t="s">
        <v>87</v>
      </c>
      <c r="L8" s="308" t="s">
        <v>18</v>
      </c>
    </row>
    <row r="9" spans="1:13" s="312" customFormat="1">
      <c r="A9" s="36"/>
      <c r="B9" s="37"/>
      <c r="C9" s="37"/>
      <c r="D9" s="38"/>
      <c r="E9" s="39"/>
      <c r="F9" s="39"/>
      <c r="G9" s="309"/>
      <c r="H9" s="309"/>
      <c r="I9" s="309"/>
      <c r="J9" s="310"/>
      <c r="K9" s="310"/>
      <c r="L9" s="310"/>
      <c r="M9" s="311"/>
    </row>
    <row r="10" spans="1:13" s="316" customFormat="1" ht="15">
      <c r="A10" s="44" t="s">
        <v>19</v>
      </c>
      <c r="B10" s="45"/>
      <c r="C10" s="45"/>
      <c r="D10" s="46"/>
      <c r="E10" s="47"/>
      <c r="F10" s="47"/>
      <c r="G10" s="313"/>
      <c r="H10" s="313"/>
      <c r="I10" s="313"/>
      <c r="J10" s="314"/>
      <c r="K10" s="314"/>
      <c r="L10" s="314"/>
      <c r="M10" s="315"/>
    </row>
    <row r="11" spans="1:13" s="323" customFormat="1" ht="15">
      <c r="A11" s="89"/>
      <c r="B11" s="317" t="s">
        <v>20</v>
      </c>
      <c r="C11" s="317"/>
      <c r="D11" s="318">
        <f>'Sch. 1'!C13</f>
        <v>0</v>
      </c>
      <c r="E11" s="252">
        <f>'Sch. 1'!D13</f>
        <v>0.14000000000032742</v>
      </c>
      <c r="F11" s="252"/>
      <c r="G11" s="319">
        <f>ROUND(100-(K11*J11)-L11,2)</f>
        <v>2.5</v>
      </c>
      <c r="H11" s="251">
        <f>ROUND(G11*D11/100,0)</f>
        <v>0</v>
      </c>
      <c r="I11" s="251">
        <f t="shared" ref="I11:I18" si="0">SUM(E11-H11)</f>
        <v>0.14000000000032742</v>
      </c>
      <c r="J11" s="320">
        <f>ROUND((100-'Sch. 1'!N13)/'Sch. 1'!L13,1)</f>
        <v>1.3</v>
      </c>
      <c r="K11" s="321">
        <f>'Sch. 2'!G12</f>
        <v>75</v>
      </c>
      <c r="L11" s="320">
        <f>'Sch. 2'!H12</f>
        <v>0</v>
      </c>
      <c r="M11" s="322"/>
    </row>
    <row r="12" spans="1:13" s="323" customFormat="1" ht="15">
      <c r="A12" s="89"/>
      <c r="B12" s="317" t="s">
        <v>22</v>
      </c>
      <c r="C12" s="317"/>
      <c r="D12" s="318">
        <f>'Sch. 1'!C14</f>
        <v>1919496.1700000006</v>
      </c>
      <c r="E12" s="252">
        <f>'Sch. 5'!G8</f>
        <v>59504</v>
      </c>
      <c r="F12" s="252" t="s">
        <v>23</v>
      </c>
      <c r="G12" s="319">
        <f t="shared" ref="G12:G18" si="1">ROUND(100-(K12*J12)-L12,2)</f>
        <v>3.1</v>
      </c>
      <c r="H12" s="251">
        <f t="shared" ref="H12:H18" si="2">ROUND(G12*D12/100,0)</f>
        <v>59504</v>
      </c>
      <c r="I12" s="251">
        <f t="shared" si="0"/>
        <v>0</v>
      </c>
      <c r="J12" s="320">
        <f>ROUND((100-'Sch. 1'!N14)/'Sch. 1'!L14,1)</f>
        <v>1.7</v>
      </c>
      <c r="K12" s="321">
        <f>'Sch. 2'!G13</f>
        <v>57</v>
      </c>
      <c r="L12" s="320">
        <f>'Sch. 2'!H13</f>
        <v>0</v>
      </c>
      <c r="M12" s="322"/>
    </row>
    <row r="13" spans="1:13" s="323" customFormat="1" ht="15">
      <c r="A13" s="89"/>
      <c r="B13" s="317" t="s">
        <v>25</v>
      </c>
      <c r="C13" s="317"/>
      <c r="D13" s="318">
        <f>'Sch. 1'!C15</f>
        <v>7801457.4299999997</v>
      </c>
      <c r="E13" s="252">
        <f>'Sch. 1'!D15</f>
        <v>1621933.31</v>
      </c>
      <c r="F13" s="252"/>
      <c r="G13" s="319">
        <f t="shared" si="1"/>
        <v>23</v>
      </c>
      <c r="H13" s="251">
        <f t="shared" si="2"/>
        <v>1794335</v>
      </c>
      <c r="I13" s="251">
        <f t="shared" si="0"/>
        <v>-172401.68999999994</v>
      </c>
      <c r="J13" s="320">
        <f>ROUND((100-'Sch. 1'!N15)/'Sch. 1'!L15,1)</f>
        <v>2.2000000000000002</v>
      </c>
      <c r="K13" s="321">
        <f>'Sch. 2'!G14</f>
        <v>35</v>
      </c>
      <c r="L13" s="320">
        <f>'Sch. 2'!H14</f>
        <v>0</v>
      </c>
      <c r="M13" s="322"/>
    </row>
    <row r="14" spans="1:13" s="323" customFormat="1" ht="15">
      <c r="A14" s="89"/>
      <c r="B14" s="317" t="s">
        <v>28</v>
      </c>
      <c r="C14" s="317"/>
      <c r="D14" s="318">
        <f>'Sch. 1'!C16</f>
        <v>224802</v>
      </c>
      <c r="E14" s="252">
        <f>'Sch. 5'!G9</f>
        <v>196589</v>
      </c>
      <c r="F14" s="252" t="s">
        <v>23</v>
      </c>
      <c r="G14" s="319">
        <f>ROUND(100-(K14*J14)-L14,2)</f>
        <v>87.45</v>
      </c>
      <c r="H14" s="251">
        <f t="shared" si="2"/>
        <v>196589</v>
      </c>
      <c r="I14" s="251">
        <f t="shared" si="0"/>
        <v>0</v>
      </c>
      <c r="J14" s="320">
        <f>ROUND((100-'Sch. 1'!N16)/'Sch. 1'!L16,1)</f>
        <v>1.9</v>
      </c>
      <c r="K14" s="321">
        <f>'Sch. 2'!G15</f>
        <v>14.5</v>
      </c>
      <c r="L14" s="320">
        <f>'Sch. 2'!H15</f>
        <v>-15</v>
      </c>
      <c r="M14" s="322"/>
    </row>
    <row r="15" spans="1:13" s="323" customFormat="1" ht="15">
      <c r="A15" s="89"/>
      <c r="B15" s="317" t="s">
        <v>30</v>
      </c>
      <c r="C15" s="317"/>
      <c r="D15" s="318">
        <f>'Sch. 1'!C17</f>
        <v>1447747</v>
      </c>
      <c r="E15" s="252">
        <f>'Sch. 5'!G10</f>
        <v>661209.22999999986</v>
      </c>
      <c r="F15" s="252" t="s">
        <v>23</v>
      </c>
      <c r="G15" s="319">
        <f t="shared" si="1"/>
        <v>82.36</v>
      </c>
      <c r="H15" s="251">
        <f t="shared" si="2"/>
        <v>1192364</v>
      </c>
      <c r="I15" s="251">
        <f t="shared" si="0"/>
        <v>-531154.77000000014</v>
      </c>
      <c r="J15" s="320">
        <f>ROUND((100-'Sch. 1'!N17)/'Sch. 1'!L17,1)</f>
        <v>3.8</v>
      </c>
      <c r="K15" s="321">
        <f>'Sch. 2'!G16</f>
        <v>17.8</v>
      </c>
      <c r="L15" s="320">
        <f>'Sch. 2'!H16</f>
        <v>-50</v>
      </c>
      <c r="M15" s="322"/>
    </row>
    <row r="16" spans="1:13" s="323" customFormat="1" ht="15">
      <c r="A16" s="89"/>
      <c r="B16" s="317" t="s">
        <v>33</v>
      </c>
      <c r="C16" s="317"/>
      <c r="D16" s="318">
        <f>'Sch. 1'!C18</f>
        <v>4014730.41</v>
      </c>
      <c r="E16" s="252">
        <f>'Sch. 5'!G11</f>
        <v>678489</v>
      </c>
      <c r="F16" s="252" t="s">
        <v>23</v>
      </c>
      <c r="G16" s="319">
        <f>ROUND(100-(K16*J16)-L16,2)</f>
        <v>16.899999999999999</v>
      </c>
      <c r="H16" s="251">
        <f>ROUND(G16*D16/100,0)</f>
        <v>678489</v>
      </c>
      <c r="I16" s="251">
        <f>SUM(E16-H16)</f>
        <v>0</v>
      </c>
      <c r="J16" s="320">
        <f>ROUND((100-'Sch. 1'!N18)/'Sch. 1'!L18,1)</f>
        <v>2.9</v>
      </c>
      <c r="K16" s="321">
        <f>'Sch. 2'!G17</f>
        <v>39</v>
      </c>
      <c r="L16" s="320">
        <f>'Sch. 2'!H17</f>
        <v>-30</v>
      </c>
      <c r="M16" s="322"/>
    </row>
    <row r="17" spans="1:13" s="323" customFormat="1" ht="15">
      <c r="A17" s="89"/>
      <c r="B17" s="317" t="s">
        <v>34</v>
      </c>
      <c r="C17" s="317"/>
      <c r="D17" s="318">
        <f>'Sch. 1'!C19</f>
        <v>3136905.45</v>
      </c>
      <c r="E17" s="252">
        <f>'Sch. 1'!D19</f>
        <v>583845.12299999991</v>
      </c>
      <c r="F17" s="252"/>
      <c r="G17" s="319">
        <f t="shared" si="1"/>
        <v>18.8</v>
      </c>
      <c r="H17" s="251">
        <f t="shared" si="2"/>
        <v>589738</v>
      </c>
      <c r="I17" s="251">
        <f t="shared" si="0"/>
        <v>-5892.877000000095</v>
      </c>
      <c r="J17" s="324">
        <f>ROUND((100-'Sch. 1'!N19)/'Sch. 1'!L19,1)</f>
        <v>2.2000000000000002</v>
      </c>
      <c r="K17" s="325">
        <f>'Sch. 2'!G18</f>
        <v>46</v>
      </c>
      <c r="L17" s="324">
        <f>'Sch. 2'!H18</f>
        <v>-20</v>
      </c>
      <c r="M17" s="322"/>
    </row>
    <row r="18" spans="1:13" s="323" customFormat="1" ht="15">
      <c r="A18" s="89"/>
      <c r="B18" s="326" t="s">
        <v>35</v>
      </c>
      <c r="C18" s="326"/>
      <c r="D18" s="318">
        <f>'Sch. 1'!C20</f>
        <v>6788</v>
      </c>
      <c r="E18" s="252">
        <f>'Sch. 1'!D20</f>
        <v>6009.0400000000009</v>
      </c>
      <c r="F18" s="252"/>
      <c r="G18" s="319">
        <f t="shared" si="1"/>
        <v>82.5</v>
      </c>
      <c r="H18" s="251">
        <f t="shared" si="2"/>
        <v>5600</v>
      </c>
      <c r="I18" s="251">
        <f t="shared" si="0"/>
        <v>409.04000000000087</v>
      </c>
      <c r="J18" s="324">
        <f>ROUND((100-'Sch. 1'!N20)/'Sch. 1'!L20,1)</f>
        <v>1.4</v>
      </c>
      <c r="K18" s="325">
        <f>'Sch. 2'!G19</f>
        <v>12.5</v>
      </c>
      <c r="L18" s="324">
        <f>'Sch. 2'!H19</f>
        <v>0</v>
      </c>
      <c r="M18" s="322"/>
    </row>
    <row r="19" spans="1:13" s="332" customFormat="1" ht="15.75">
      <c r="A19" s="89"/>
      <c r="B19" s="90" t="s">
        <v>36</v>
      </c>
      <c r="C19" s="90"/>
      <c r="D19" s="91">
        <f>SUM(D11:D18)</f>
        <v>18551926.460000001</v>
      </c>
      <c r="E19" s="92">
        <f>SUM(E11:E18)</f>
        <v>3807578.8429999994</v>
      </c>
      <c r="F19" s="92"/>
      <c r="G19" s="327"/>
      <c r="H19" s="328">
        <f>SUM(H11:H18)</f>
        <v>4516619</v>
      </c>
      <c r="I19" s="328">
        <f>SUM(I11:I18)</f>
        <v>-709040.15700000012</v>
      </c>
      <c r="J19" s="329"/>
      <c r="K19" s="330"/>
      <c r="L19" s="329"/>
      <c r="M19" s="331"/>
    </row>
    <row r="20" spans="1:13" s="323" customFormat="1" ht="15">
      <c r="A20" s="89"/>
      <c r="B20" s="37"/>
      <c r="C20" s="37"/>
      <c r="D20" s="333"/>
      <c r="E20" s="334"/>
      <c r="F20" s="334"/>
      <c r="G20" s="335"/>
      <c r="H20" s="336"/>
      <c r="I20" s="336"/>
      <c r="J20" s="337"/>
      <c r="K20" s="338"/>
      <c r="L20" s="337"/>
      <c r="M20" s="322"/>
    </row>
    <row r="21" spans="1:13" s="323" customFormat="1" ht="15">
      <c r="A21" s="44" t="s">
        <v>37</v>
      </c>
      <c r="B21" s="45"/>
      <c r="C21" s="45"/>
      <c r="D21" s="318"/>
      <c r="E21" s="252"/>
      <c r="F21" s="252"/>
      <c r="G21" s="319"/>
      <c r="H21" s="251"/>
      <c r="I21" s="251"/>
      <c r="J21" s="324"/>
      <c r="K21" s="339"/>
      <c r="L21" s="324"/>
      <c r="M21" s="322"/>
    </row>
    <row r="22" spans="1:13" s="323" customFormat="1" ht="15">
      <c r="A22" s="89"/>
      <c r="B22" s="317" t="s">
        <v>38</v>
      </c>
      <c r="C22" s="317"/>
      <c r="D22" s="318">
        <f>'Sch. 1'!C24</f>
        <v>56995</v>
      </c>
      <c r="E22" s="252">
        <f>'Sch. 1'!D24</f>
        <v>34100</v>
      </c>
      <c r="F22" s="252"/>
      <c r="G22" s="319">
        <f>ROUND(100-(K22*J22)-L22,2)</f>
        <v>55.8</v>
      </c>
      <c r="H22" s="251">
        <f>ROUND(G22*D22/100,0)</f>
        <v>31803</v>
      </c>
      <c r="I22" s="251">
        <f t="shared" ref="I22:I33" si="3">SUM(E22-H22)</f>
        <v>2297</v>
      </c>
      <c r="J22" s="324">
        <f>ROUND((100-'Sch. 1'!N24)/'Sch. 1'!L24,1)</f>
        <v>1.7</v>
      </c>
      <c r="K22" s="325">
        <f>'Sch. 2'!G23</f>
        <v>26</v>
      </c>
      <c r="L22" s="324">
        <f>'Sch. 2'!H23</f>
        <v>0</v>
      </c>
      <c r="M22" s="322"/>
    </row>
    <row r="23" spans="1:13" s="323" customFormat="1" ht="15">
      <c r="A23" s="89"/>
      <c r="B23" s="317" t="s">
        <v>39</v>
      </c>
      <c r="C23" s="317"/>
      <c r="D23" s="318">
        <f>'Sch. 1'!C25</f>
        <v>1198983.1200000001</v>
      </c>
      <c r="E23" s="252">
        <f>'Sch. 1'!D25</f>
        <v>108222.76</v>
      </c>
      <c r="F23" s="252"/>
      <c r="G23" s="319">
        <f t="shared" ref="G23:G32" si="4">ROUND(100-(K23*J23)-L23,2)</f>
        <v>7.8</v>
      </c>
      <c r="H23" s="251">
        <f t="shared" ref="H23:H33" si="5">ROUND(G23*D23/100,0)</f>
        <v>93521</v>
      </c>
      <c r="I23" s="251">
        <f t="shared" si="3"/>
        <v>14701.759999999995</v>
      </c>
      <c r="J23" s="324">
        <f>ROUND((100-'Sch. 1'!N25)/'Sch. 1'!L25,1)</f>
        <v>1.8</v>
      </c>
      <c r="K23" s="325">
        <f>'Sch. 2'!G24</f>
        <v>54</v>
      </c>
      <c r="L23" s="324">
        <f>'Sch. 2'!H24</f>
        <v>-5</v>
      </c>
      <c r="M23" s="322"/>
    </row>
    <row r="24" spans="1:13" s="323" customFormat="1" ht="15">
      <c r="A24" s="89"/>
      <c r="B24" s="317" t="s">
        <v>40</v>
      </c>
      <c r="C24" s="317"/>
      <c r="D24" s="318">
        <f>'Sch. 1'!C26</f>
        <v>13265693.23</v>
      </c>
      <c r="E24" s="252">
        <f>'Sch. 1'!D26</f>
        <v>3869802.5</v>
      </c>
      <c r="F24" s="252"/>
      <c r="G24" s="319">
        <f t="shared" si="4"/>
        <v>26.4</v>
      </c>
      <c r="H24" s="251">
        <f t="shared" si="5"/>
        <v>3502143</v>
      </c>
      <c r="I24" s="251">
        <f t="shared" si="3"/>
        <v>367659.5</v>
      </c>
      <c r="J24" s="324">
        <f>ROUND((100-'Sch. 1'!N26)/'Sch. 1'!L26,1)</f>
        <v>2.2000000000000002</v>
      </c>
      <c r="K24" s="325">
        <f>'Sch. 2'!G25</f>
        <v>38</v>
      </c>
      <c r="L24" s="324">
        <f>'Sch. 2'!H25</f>
        <v>-10</v>
      </c>
      <c r="M24" s="322"/>
    </row>
    <row r="25" spans="1:13" s="323" customFormat="1" ht="15">
      <c r="A25" s="89"/>
      <c r="B25" s="317" t="s">
        <v>41</v>
      </c>
      <c r="C25" s="317"/>
      <c r="D25" s="318">
        <f>'Sch. 1'!C27</f>
        <v>24993810.550000001</v>
      </c>
      <c r="E25" s="252">
        <f>'Sch. 1'!D27</f>
        <v>9380938.879999999</v>
      </c>
      <c r="F25" s="252" t="s">
        <v>42</v>
      </c>
      <c r="G25" s="319">
        <f t="shared" si="4"/>
        <v>40.799999999999997</v>
      </c>
      <c r="H25" s="251">
        <f t="shared" si="5"/>
        <v>10197475</v>
      </c>
      <c r="I25" s="251">
        <f t="shared" si="3"/>
        <v>-816536.12000000104</v>
      </c>
      <c r="J25" s="324">
        <f>ROUND((100-'Sch. 1'!N27)/'Sch. 1'!L27,1)</f>
        <v>3.9</v>
      </c>
      <c r="K25" s="325">
        <f>'Sch. 2'!G26</f>
        <v>28</v>
      </c>
      <c r="L25" s="324">
        <f>'Sch. 2'!H26</f>
        <v>-50</v>
      </c>
      <c r="M25" s="322"/>
    </row>
    <row r="26" spans="1:13" s="323" customFormat="1" ht="15">
      <c r="A26" s="89"/>
      <c r="B26" s="317" t="s">
        <v>43</v>
      </c>
      <c r="C26" s="317"/>
      <c r="D26" s="318">
        <f>'Sch. 1'!C28</f>
        <v>20379925.090000004</v>
      </c>
      <c r="E26" s="252">
        <f>'Sch. 1'!D28</f>
        <v>10467834.869999999</v>
      </c>
      <c r="F26" s="252" t="s">
        <v>42</v>
      </c>
      <c r="G26" s="319">
        <f t="shared" si="4"/>
        <v>45</v>
      </c>
      <c r="H26" s="251">
        <f t="shared" si="5"/>
        <v>9170966</v>
      </c>
      <c r="I26" s="251">
        <f t="shared" si="3"/>
        <v>1296868.8699999992</v>
      </c>
      <c r="J26" s="324">
        <f>ROUND((100-'Sch. 1'!N28)/'Sch. 1'!L28,1)</f>
        <v>3</v>
      </c>
      <c r="K26" s="325">
        <f>'Sch. 2'!G27</f>
        <v>30</v>
      </c>
      <c r="L26" s="324">
        <f>'Sch. 2'!H27</f>
        <v>-35</v>
      </c>
      <c r="M26" s="322"/>
    </row>
    <row r="27" spans="1:13" s="323" customFormat="1" ht="15">
      <c r="A27" s="89"/>
      <c r="B27" s="317" t="s">
        <v>44</v>
      </c>
      <c r="C27" s="317"/>
      <c r="D27" s="318">
        <f>'Sch. 1'!C29</f>
        <v>6913569.9000000004</v>
      </c>
      <c r="E27" s="252">
        <f>'Sch. 1'!D29</f>
        <v>1360240.2299999997</v>
      </c>
      <c r="F27" s="252"/>
      <c r="G27" s="319">
        <f t="shared" si="4"/>
        <v>20.399999999999999</v>
      </c>
      <c r="H27" s="251">
        <f t="shared" si="5"/>
        <v>1410368</v>
      </c>
      <c r="I27" s="251">
        <f t="shared" si="3"/>
        <v>-50127.770000000251</v>
      </c>
      <c r="J27" s="324">
        <f>ROUND((100-'Sch. 1'!N29)/'Sch. 1'!L29,1)</f>
        <v>1.8</v>
      </c>
      <c r="K27" s="325">
        <f>'Sch. 2'!G28</f>
        <v>47</v>
      </c>
      <c r="L27" s="324">
        <f>'Sch. 2'!H28</f>
        <v>-5</v>
      </c>
      <c r="M27" s="322"/>
    </row>
    <row r="28" spans="1:13" s="323" customFormat="1" ht="15">
      <c r="A28" s="89"/>
      <c r="B28" s="317" t="s">
        <v>45</v>
      </c>
      <c r="C28" s="317"/>
      <c r="D28" s="318">
        <f>'Sch. 1'!C30</f>
        <v>9896678.0099999998</v>
      </c>
      <c r="E28" s="252">
        <f>'Sch. 1'!D30</f>
        <v>3950498.0799999996</v>
      </c>
      <c r="F28" s="252"/>
      <c r="G28" s="319">
        <f t="shared" si="4"/>
        <v>42</v>
      </c>
      <c r="H28" s="251">
        <f t="shared" si="5"/>
        <v>4156605</v>
      </c>
      <c r="I28" s="251">
        <f t="shared" si="3"/>
        <v>-206106.92000000039</v>
      </c>
      <c r="J28" s="324">
        <f>ROUND((100-'Sch. 1'!N30)/'Sch. 1'!L30,1)</f>
        <v>3</v>
      </c>
      <c r="K28" s="325">
        <f>'Sch. 2'!G29</f>
        <v>21</v>
      </c>
      <c r="L28" s="324">
        <f>'Sch. 2'!H29</f>
        <v>-5</v>
      </c>
      <c r="M28" s="322"/>
    </row>
    <row r="29" spans="1:13" s="323" customFormat="1" ht="15">
      <c r="A29" s="89"/>
      <c r="B29" s="317" t="s">
        <v>46</v>
      </c>
      <c r="C29" s="317"/>
      <c r="D29" s="318">
        <f>'Sch. 1'!C31</f>
        <v>23478129.000000004</v>
      </c>
      <c r="E29" s="252">
        <f>'Sch. 1'!D31</f>
        <v>15107483.840000002</v>
      </c>
      <c r="F29" s="252" t="s">
        <v>42</v>
      </c>
      <c r="G29" s="319">
        <f>ROUND(100-(K29*J29)-L29,2)</f>
        <v>65.599999999999994</v>
      </c>
      <c r="H29" s="251">
        <f>ROUND(G29*D29/100,0)</f>
        <v>15401653</v>
      </c>
      <c r="I29" s="251">
        <f t="shared" si="3"/>
        <v>-294169.15999999829</v>
      </c>
      <c r="J29" s="324">
        <f>ROUND((100-'Sch. 1'!N31)/'Sch. 1'!L31,1)</f>
        <v>4</v>
      </c>
      <c r="K29" s="325">
        <f>'Sch. 2'!G30</f>
        <v>13.6</v>
      </c>
      <c r="L29" s="324">
        <f>'Sch. 2'!H30</f>
        <v>-20</v>
      </c>
      <c r="M29" s="322"/>
    </row>
    <row r="30" spans="1:13" s="323" customFormat="1" ht="15">
      <c r="A30" s="89"/>
      <c r="B30" s="317" t="s">
        <v>48</v>
      </c>
      <c r="C30" s="317"/>
      <c r="D30" s="318">
        <f>'Sch. 1'!C32</f>
        <v>13948676.699999997</v>
      </c>
      <c r="E30" s="252">
        <f>'Sch. 1'!D32</f>
        <v>7766952.3499999996</v>
      </c>
      <c r="F30" s="252" t="s">
        <v>42</v>
      </c>
      <c r="G30" s="319">
        <f t="shared" si="4"/>
        <v>52.5</v>
      </c>
      <c r="H30" s="251">
        <f t="shared" si="5"/>
        <v>7323055</v>
      </c>
      <c r="I30" s="251">
        <f t="shared" si="3"/>
        <v>443897.34999999963</v>
      </c>
      <c r="J30" s="324">
        <f>ROUND((100-'Sch. 1'!N32)/'Sch. 1'!L32,1)</f>
        <v>3.5</v>
      </c>
      <c r="K30" s="325">
        <f>'Sch. 2'!G31</f>
        <v>25</v>
      </c>
      <c r="L30" s="324">
        <f>'Sch. 2'!H31</f>
        <v>-40</v>
      </c>
      <c r="M30" s="322"/>
    </row>
    <row r="31" spans="1:13" s="323" customFormat="1" ht="15">
      <c r="A31" s="89"/>
      <c r="B31" s="317" t="s">
        <v>49</v>
      </c>
      <c r="C31" s="317"/>
      <c r="D31" s="318">
        <f>'Sch. 1'!C33</f>
        <v>5114875.04</v>
      </c>
      <c r="E31" s="252">
        <f>'Sch. 1'!D33</f>
        <v>3088311.5500000003</v>
      </c>
      <c r="F31" s="252" t="s">
        <v>42</v>
      </c>
      <c r="G31" s="319">
        <f t="shared" si="4"/>
        <v>61.9</v>
      </c>
      <c r="H31" s="251">
        <f t="shared" si="5"/>
        <v>3166108</v>
      </c>
      <c r="I31" s="251">
        <f t="shared" si="3"/>
        <v>-77796.449999999721</v>
      </c>
      <c r="J31" s="324">
        <f>ROUND((100-'Sch. 1'!N33)/'Sch. 1'!L33,1)</f>
        <v>3.7</v>
      </c>
      <c r="K31" s="325">
        <f>'Sch. 2'!G32</f>
        <v>13</v>
      </c>
      <c r="L31" s="324">
        <f>'Sch. 2'!H32</f>
        <v>-10</v>
      </c>
      <c r="M31" s="322"/>
    </row>
    <row r="32" spans="1:13" s="323" customFormat="1" ht="15">
      <c r="A32" s="89"/>
      <c r="B32" s="317" t="s">
        <v>50</v>
      </c>
      <c r="C32" s="317"/>
      <c r="D32" s="318">
        <f>'Sch. 1'!C34</f>
        <v>3495099.46</v>
      </c>
      <c r="E32" s="252">
        <f>'Sch. 1'!D34</f>
        <v>1793661.4600000002</v>
      </c>
      <c r="F32" s="252" t="s">
        <v>42</v>
      </c>
      <c r="G32" s="319">
        <f t="shared" si="4"/>
        <v>43.32</v>
      </c>
      <c r="H32" s="251">
        <f t="shared" si="5"/>
        <v>1514077</v>
      </c>
      <c r="I32" s="251">
        <f t="shared" si="3"/>
        <v>279584.4600000002</v>
      </c>
      <c r="J32" s="324">
        <f>ROUND((100-'Sch. 1'!N34)/'Sch. 1'!L34,1)</f>
        <v>3.8</v>
      </c>
      <c r="K32" s="325">
        <f>'Sch. 2'!G33</f>
        <v>13.6</v>
      </c>
      <c r="L32" s="324">
        <f>'Sch. 2'!H33</f>
        <v>5</v>
      </c>
      <c r="M32" s="322"/>
    </row>
    <row r="33" spans="1:13" s="323" customFormat="1" ht="15">
      <c r="A33" s="89"/>
      <c r="B33" s="326" t="s">
        <v>51</v>
      </c>
      <c r="C33" s="326"/>
      <c r="D33" s="318">
        <f>'Sch. 1'!C35</f>
        <v>2644976.21</v>
      </c>
      <c r="E33" s="252">
        <f>'Sch. 1'!D35</f>
        <v>1377575.8499999999</v>
      </c>
      <c r="F33" s="252" t="s">
        <v>42</v>
      </c>
      <c r="G33" s="319">
        <f>ROUND(100-(K33*J33)-L33,2)</f>
        <v>53</v>
      </c>
      <c r="H33" s="251">
        <f t="shared" si="5"/>
        <v>1401837</v>
      </c>
      <c r="I33" s="251">
        <f t="shared" si="3"/>
        <v>-24261.15000000014</v>
      </c>
      <c r="J33" s="324">
        <f>ROUND((100-'Sch. 1'!N35)/'Sch. 1'!L35,1)</f>
        <v>5</v>
      </c>
      <c r="K33" s="325">
        <f>'Sch. 2'!G34</f>
        <v>11.4</v>
      </c>
      <c r="L33" s="324">
        <f>'Sch. 2'!H34</f>
        <v>-10</v>
      </c>
      <c r="M33" s="322"/>
    </row>
    <row r="34" spans="1:13" s="332" customFormat="1" ht="15.75">
      <c r="A34" s="89"/>
      <c r="B34" s="90" t="s">
        <v>53</v>
      </c>
      <c r="C34" s="90"/>
      <c r="D34" s="91">
        <f>SUM(D22:D33)</f>
        <v>125387411.31</v>
      </c>
      <c r="E34" s="92">
        <f>SUM(E22:E33)</f>
        <v>58305622.369999997</v>
      </c>
      <c r="F34" s="92"/>
      <c r="G34" s="327"/>
      <c r="H34" s="328">
        <f>SUM(H22:H33)</f>
        <v>57369611</v>
      </c>
      <c r="I34" s="328">
        <f>SUM(I22:I33)</f>
        <v>936011.36999999918</v>
      </c>
      <c r="J34" s="329"/>
      <c r="K34" s="330"/>
      <c r="L34" s="329"/>
      <c r="M34" s="331"/>
    </row>
    <row r="35" spans="1:13" s="323" customFormat="1" ht="15">
      <c r="A35" s="89"/>
      <c r="B35" s="37" t="s">
        <v>15</v>
      </c>
      <c r="C35" s="37"/>
      <c r="D35" s="333"/>
      <c r="E35" s="334"/>
      <c r="F35" s="334"/>
      <c r="G35" s="335"/>
      <c r="H35" s="336"/>
      <c r="I35" s="336"/>
      <c r="J35" s="337"/>
      <c r="K35" s="340"/>
      <c r="L35" s="337"/>
      <c r="M35" s="322"/>
    </row>
    <row r="36" spans="1:13" s="323" customFormat="1" ht="15">
      <c r="A36" s="44" t="s">
        <v>54</v>
      </c>
      <c r="B36" s="45"/>
      <c r="C36" s="45"/>
      <c r="D36" s="318"/>
      <c r="E36" s="252"/>
      <c r="F36" s="252"/>
      <c r="G36" s="319"/>
      <c r="H36" s="251"/>
      <c r="I36" s="251"/>
      <c r="J36" s="324"/>
      <c r="K36" s="341"/>
      <c r="L36" s="324"/>
      <c r="M36" s="322"/>
    </row>
    <row r="37" spans="1:13" s="323" customFormat="1" ht="15">
      <c r="A37" s="89"/>
      <c r="B37" s="317" t="s">
        <v>55</v>
      </c>
      <c r="C37" s="317"/>
      <c r="D37" s="318">
        <f>'Sch. 1'!C39</f>
        <v>4010284</v>
      </c>
      <c r="E37" s="252">
        <f>'Sch. 1'!D39</f>
        <v>1009883.8799999999</v>
      </c>
      <c r="F37" s="252"/>
      <c r="G37" s="319">
        <f t="shared" ref="G37:G42" si="6">ROUND(100-(K37*J37)-L37,2)</f>
        <v>24</v>
      </c>
      <c r="H37" s="251">
        <f t="shared" ref="H37:H42" si="7">ROUND(G37*D37/100,0)</f>
        <v>962468</v>
      </c>
      <c r="I37" s="251">
        <f t="shared" ref="I37:I42" si="8">SUM(E37-H37)</f>
        <v>47415.879999999888</v>
      </c>
      <c r="J37" s="324">
        <f>ROUND((100-'Sch. 1'!N39)/'Sch. 1'!L39,1)</f>
        <v>2</v>
      </c>
      <c r="K37" s="325">
        <f>'Sch. 2'!G38</f>
        <v>38</v>
      </c>
      <c r="L37" s="324">
        <f>'Sch. 2'!H38</f>
        <v>0</v>
      </c>
      <c r="M37" s="322"/>
    </row>
    <row r="38" spans="1:13" s="323" customFormat="1" ht="15">
      <c r="A38" s="89"/>
      <c r="B38" s="317" t="s">
        <v>56</v>
      </c>
      <c r="C38" s="317"/>
      <c r="D38" s="318">
        <f>'Sch. 1'!C40</f>
        <v>23952</v>
      </c>
      <c r="E38" s="252">
        <f>+'Sch. 5'!D19</f>
        <v>10769</v>
      </c>
      <c r="F38" s="252" t="s">
        <v>23</v>
      </c>
      <c r="G38" s="319">
        <f t="shared" si="6"/>
        <v>44.96</v>
      </c>
      <c r="H38" s="251">
        <f t="shared" si="7"/>
        <v>10769</v>
      </c>
      <c r="I38" s="251">
        <f t="shared" si="8"/>
        <v>0</v>
      </c>
      <c r="J38" s="324">
        <f>ROUND((100-'Sch. 1'!N40)/'Sch. 1'!L40,1)</f>
        <v>7.7</v>
      </c>
      <c r="K38" s="325">
        <f>'Sch. 2'!G39</f>
        <v>5.2</v>
      </c>
      <c r="L38" s="324">
        <f>'Sch. 2'!H39</f>
        <v>15</v>
      </c>
      <c r="M38" s="322"/>
    </row>
    <row r="39" spans="1:13" s="323" customFormat="1" ht="15">
      <c r="A39" s="89"/>
      <c r="B39" s="317" t="s">
        <v>57</v>
      </c>
      <c r="C39" s="317"/>
      <c r="D39" s="318">
        <f>'Sch. 1'!C41</f>
        <v>1178417.1300000004</v>
      </c>
      <c r="E39" s="252">
        <f>+'Sch. 5'!D20</f>
        <v>650486</v>
      </c>
      <c r="F39" s="252" t="s">
        <v>23</v>
      </c>
      <c r="G39" s="319">
        <f t="shared" si="6"/>
        <v>55.2</v>
      </c>
      <c r="H39" s="251">
        <f t="shared" si="7"/>
        <v>650486</v>
      </c>
      <c r="I39" s="251">
        <f>SUM(E39-H39)</f>
        <v>0</v>
      </c>
      <c r="J39" s="324">
        <f>ROUND((100-'Sch. 1'!N41)/'Sch. 1'!L41,1)</f>
        <v>8</v>
      </c>
      <c r="K39" s="325">
        <f>'Sch. 2'!G40</f>
        <v>4.0999999999999996</v>
      </c>
      <c r="L39" s="324">
        <f>'Sch. 2'!H40</f>
        <v>12</v>
      </c>
      <c r="M39" s="322"/>
    </row>
    <row r="40" spans="1:13" s="323" customFormat="1" ht="15">
      <c r="A40" s="89"/>
      <c r="B40" s="317" t="s">
        <v>58</v>
      </c>
      <c r="C40" s="342"/>
      <c r="D40" s="318">
        <f>'Sch. 1'!C42</f>
        <v>4086800</v>
      </c>
      <c r="E40" s="252">
        <f>+'Sch. 5'!D21</f>
        <v>2182351</v>
      </c>
      <c r="F40" s="252" t="s">
        <v>23</v>
      </c>
      <c r="G40" s="319">
        <f t="shared" si="6"/>
        <v>53.4</v>
      </c>
      <c r="H40" s="251">
        <f t="shared" si="7"/>
        <v>2182351</v>
      </c>
      <c r="I40" s="251">
        <f t="shared" si="8"/>
        <v>0</v>
      </c>
      <c r="J40" s="324">
        <f>ROUND((100-'Sch. 1'!N42)/'Sch. 1'!L42,1)</f>
        <v>6</v>
      </c>
      <c r="K40" s="325">
        <f>'Sch. 2'!G41</f>
        <v>6.1</v>
      </c>
      <c r="L40" s="324">
        <f>'Sch. 2'!H41</f>
        <v>10</v>
      </c>
      <c r="M40" s="322"/>
    </row>
    <row r="41" spans="1:13" s="323" customFormat="1" ht="15">
      <c r="A41" s="89"/>
      <c r="B41" s="317" t="s">
        <v>59</v>
      </c>
      <c r="C41" s="342"/>
      <c r="D41" s="318">
        <f>'Sch. 1'!C43</f>
        <v>144084</v>
      </c>
      <c r="E41" s="252">
        <f>'Sch. 1'!D43</f>
        <v>96570.280000000013</v>
      </c>
      <c r="F41" s="252"/>
      <c r="G41" s="319">
        <f t="shared" si="6"/>
        <v>59.28</v>
      </c>
      <c r="H41" s="251">
        <f t="shared" si="7"/>
        <v>85413</v>
      </c>
      <c r="I41" s="251">
        <f t="shared" si="8"/>
        <v>11157.280000000013</v>
      </c>
      <c r="J41" s="324">
        <f>ROUND((100-'Sch. 1'!N43)/'Sch. 1'!L43,1)</f>
        <v>3.8</v>
      </c>
      <c r="K41" s="325">
        <f>'Sch. 2'!G42</f>
        <v>9.4</v>
      </c>
      <c r="L41" s="324">
        <f>'Sch. 2'!H42</f>
        <v>5</v>
      </c>
      <c r="M41" s="322"/>
    </row>
    <row r="42" spans="1:13" s="323" customFormat="1" ht="15">
      <c r="A42" s="89"/>
      <c r="B42" s="317" t="s">
        <v>60</v>
      </c>
      <c r="C42" s="342"/>
      <c r="D42" s="318">
        <f>'Sch. 1'!C44</f>
        <v>898523.00000000012</v>
      </c>
      <c r="E42" s="252">
        <f>'Sch. 1'!D44</f>
        <v>335751.85</v>
      </c>
      <c r="F42" s="252"/>
      <c r="G42" s="319">
        <f t="shared" si="6"/>
        <v>38.4</v>
      </c>
      <c r="H42" s="251">
        <f t="shared" si="7"/>
        <v>345033</v>
      </c>
      <c r="I42" s="251">
        <f t="shared" si="8"/>
        <v>-9281.1500000000233</v>
      </c>
      <c r="J42" s="324">
        <f>ROUND((100-'Sch. 1'!N44)/'Sch. 1'!L44,1)</f>
        <v>4</v>
      </c>
      <c r="K42" s="325">
        <f>'Sch. 2'!G43</f>
        <v>15.4</v>
      </c>
      <c r="L42" s="324">
        <f>'Sch. 2'!H43</f>
        <v>0</v>
      </c>
      <c r="M42" s="322"/>
    </row>
    <row r="43" spans="1:13" s="323" customFormat="1" ht="15">
      <c r="A43" s="89"/>
      <c r="B43" s="326"/>
      <c r="C43" s="326"/>
      <c r="D43" s="343"/>
      <c r="E43" s="344"/>
      <c r="F43" s="344"/>
      <c r="G43" s="345"/>
      <c r="H43" s="346"/>
      <c r="I43" s="346"/>
      <c r="J43" s="345"/>
      <c r="K43" s="347"/>
      <c r="L43" s="345"/>
      <c r="M43" s="322"/>
    </row>
    <row r="44" spans="1:13" s="332" customFormat="1" ht="15.75">
      <c r="A44" s="89"/>
      <c r="B44" s="90" t="s">
        <v>61</v>
      </c>
      <c r="C44" s="90"/>
      <c r="D44" s="91">
        <f>SUM(D37:D43)</f>
        <v>10342060.130000001</v>
      </c>
      <c r="E44" s="92">
        <f>SUM(E37:E43)</f>
        <v>4285812.01</v>
      </c>
      <c r="F44" s="92"/>
      <c r="G44" s="329"/>
      <c r="H44" s="328">
        <f>SUM(H37:H43)</f>
        <v>4236520</v>
      </c>
      <c r="I44" s="328">
        <f>SUM(I37:I43)</f>
        <v>49292.009999999878</v>
      </c>
      <c r="J44" s="329"/>
      <c r="K44" s="348"/>
      <c r="L44" s="329"/>
      <c r="M44" s="331"/>
    </row>
    <row r="45" spans="1:13" s="323" customFormat="1" ht="15">
      <c r="A45" s="89"/>
      <c r="B45" s="102"/>
      <c r="C45" s="102"/>
      <c r="D45" s="103"/>
      <c r="E45" s="104"/>
      <c r="F45" s="104"/>
      <c r="G45" s="349"/>
      <c r="H45" s="350"/>
      <c r="I45" s="350"/>
      <c r="J45" s="349"/>
      <c r="K45" s="351"/>
      <c r="L45" s="349"/>
      <c r="M45" s="322"/>
    </row>
    <row r="46" spans="1:13" s="332" customFormat="1" ht="16.5" thickBot="1">
      <c r="A46" s="89" t="s">
        <v>15</v>
      </c>
      <c r="B46" s="352" t="s">
        <v>62</v>
      </c>
      <c r="C46" s="353"/>
      <c r="D46" s="354">
        <f>+D44+D34+D19</f>
        <v>154281397.90000001</v>
      </c>
      <c r="E46" s="355">
        <f>+E44+E34+E19</f>
        <v>66399013.222999997</v>
      </c>
      <c r="F46" s="355"/>
      <c r="G46" s="356"/>
      <c r="H46" s="357">
        <f>+H44+H34+H19</f>
        <v>66122750</v>
      </c>
      <c r="I46" s="357">
        <f>+I44+I34+I19</f>
        <v>276263.22299999895</v>
      </c>
      <c r="J46" s="356"/>
      <c r="K46" s="358"/>
      <c r="L46" s="356"/>
      <c r="M46" s="331"/>
    </row>
    <row r="47" spans="1:13" s="323" customFormat="1" ht="15.75" thickTop="1">
      <c r="A47" s="359"/>
      <c r="B47" s="360"/>
      <c r="C47" s="361"/>
      <c r="D47" s="362"/>
      <c r="E47" s="363"/>
      <c r="F47" s="363"/>
      <c r="G47" s="364"/>
      <c r="H47" s="364"/>
      <c r="I47" s="364"/>
      <c r="J47" s="364"/>
      <c r="K47" s="364"/>
      <c r="L47" s="364"/>
    </row>
    <row r="48" spans="1:13" ht="15">
      <c r="A48" s="130" t="s">
        <v>23</v>
      </c>
      <c r="B48" s="131" t="s">
        <v>63</v>
      </c>
      <c r="C48" s="2"/>
    </row>
    <row r="49" spans="1:2" s="2" customFormat="1">
      <c r="A49" s="211" t="s">
        <v>42</v>
      </c>
      <c r="B49" s="2" t="s">
        <v>64</v>
      </c>
    </row>
  </sheetData>
  <mergeCells count="3">
    <mergeCell ref="A1:L1"/>
    <mergeCell ref="A2:L2"/>
    <mergeCell ref="A3:L3"/>
  </mergeCells>
  <printOptions horizontalCentered="1"/>
  <pageMargins left="0.75" right="0.75" top="0.75" bottom="0.75" header="0.2" footer="0.2"/>
  <pageSetup scale="2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A1:L44"/>
  <sheetViews>
    <sheetView workbookViewId="0">
      <selection sqref="A1:XFD3"/>
    </sheetView>
  </sheetViews>
  <sheetFormatPr defaultColWidth="8.7109375" defaultRowHeight="12.75"/>
  <cols>
    <col min="1" max="1" width="10.140625" style="2" bestFit="1" customWidth="1"/>
    <col min="2" max="2" width="29.42578125" style="2" customWidth="1"/>
    <col min="3" max="3" width="16" style="2" bestFit="1" customWidth="1"/>
    <col min="4" max="4" width="14.28515625" style="2" bestFit="1" customWidth="1"/>
    <col min="5" max="5" width="11.7109375" style="2" bestFit="1" customWidth="1"/>
    <col min="6" max="6" width="15.140625" style="2" bestFit="1" customWidth="1"/>
    <col min="7" max="7" width="11.28515625" style="2" bestFit="1" customWidth="1"/>
    <col min="8" max="16384" width="8.7109375" style="2"/>
  </cols>
  <sheetData>
    <row r="1" spans="1:8" s="1" customFormat="1" ht="18">
      <c r="A1" s="757" t="s">
        <v>0</v>
      </c>
      <c r="B1" s="757"/>
      <c r="C1" s="757"/>
      <c r="D1" s="757"/>
      <c r="E1" s="757"/>
      <c r="F1" s="757"/>
      <c r="G1" s="757"/>
    </row>
    <row r="2" spans="1:8" s="3" customFormat="1" ht="15">
      <c r="A2" s="758" t="s">
        <v>271</v>
      </c>
      <c r="B2" s="758"/>
      <c r="C2" s="758"/>
      <c r="D2" s="758"/>
      <c r="E2" s="758"/>
      <c r="F2" s="758"/>
      <c r="G2" s="758"/>
    </row>
    <row r="3" spans="1:8" s="3" customFormat="1" ht="15.75">
      <c r="A3" s="760" t="s">
        <v>88</v>
      </c>
      <c r="B3" s="760"/>
      <c r="C3" s="760"/>
      <c r="D3" s="760"/>
      <c r="E3" s="760"/>
      <c r="F3" s="760"/>
      <c r="G3" s="760"/>
    </row>
    <row r="4" spans="1:8" ht="13.5" thickBot="1">
      <c r="A4" s="365"/>
      <c r="B4" s="365"/>
      <c r="C4" s="365"/>
      <c r="D4" s="365"/>
      <c r="E4" s="365"/>
      <c r="F4" s="365"/>
      <c r="G4" s="9"/>
    </row>
    <row r="5" spans="1:8" s="370" customFormat="1">
      <c r="A5" s="366"/>
      <c r="B5" s="367"/>
      <c r="C5" s="367"/>
      <c r="D5" s="367"/>
      <c r="E5" s="367"/>
      <c r="F5" s="368" t="s">
        <v>89</v>
      </c>
      <c r="G5" s="369"/>
    </row>
    <row r="6" spans="1:8" s="370" customFormat="1">
      <c r="A6" s="371"/>
      <c r="B6" s="372"/>
      <c r="C6" s="373">
        <f>+'Sch. 1'!C8</f>
        <v>43831</v>
      </c>
      <c r="D6" s="374" t="s">
        <v>81</v>
      </c>
      <c r="E6" s="374"/>
      <c r="F6" s="374" t="s">
        <v>10</v>
      </c>
      <c r="G6" s="375" t="s">
        <v>90</v>
      </c>
    </row>
    <row r="7" spans="1:8" s="370" customFormat="1" ht="13.5" thickBot="1">
      <c r="A7" s="376" t="s">
        <v>16</v>
      </c>
      <c r="B7" s="377"/>
      <c r="C7" s="378" t="s">
        <v>91</v>
      </c>
      <c r="D7" s="378" t="s">
        <v>10</v>
      </c>
      <c r="E7" s="378" t="s">
        <v>92</v>
      </c>
      <c r="F7" s="378" t="s">
        <v>93</v>
      </c>
      <c r="G7" s="379" t="s">
        <v>10</v>
      </c>
    </row>
    <row r="8" spans="1:8" s="385" customFormat="1">
      <c r="A8" s="380">
        <v>352</v>
      </c>
      <c r="B8" s="381" t="s">
        <v>94</v>
      </c>
      <c r="C8" s="382">
        <f>'Sch. F 2019'!P11</f>
        <v>96690.099999999977</v>
      </c>
      <c r="D8" s="382">
        <f>'Sch. 4'!H12</f>
        <v>59504</v>
      </c>
      <c r="E8" s="383">
        <f>C8-D8</f>
        <v>37186.099999999977</v>
      </c>
      <c r="F8" s="382">
        <f>-E8</f>
        <v>-37186.099999999977</v>
      </c>
      <c r="G8" s="384">
        <f>C8+F8</f>
        <v>59504</v>
      </c>
    </row>
    <row r="9" spans="1:8" s="385" customFormat="1">
      <c r="A9" s="386">
        <v>354</v>
      </c>
      <c r="B9" s="387" t="s">
        <v>95</v>
      </c>
      <c r="C9" s="388">
        <f>'Sch. F 2019'!P13</f>
        <v>213904.19999999995</v>
      </c>
      <c r="D9" s="388">
        <f>'Sch. 4'!H14</f>
        <v>196589</v>
      </c>
      <c r="E9" s="389">
        <f>C9-D9</f>
        <v>17315.199999999953</v>
      </c>
      <c r="F9" s="388">
        <f>-E9</f>
        <v>-17315.199999999953</v>
      </c>
      <c r="G9" s="390">
        <f>C9+F9</f>
        <v>196589</v>
      </c>
    </row>
    <row r="10" spans="1:8" s="385" customFormat="1">
      <c r="A10" s="386">
        <v>355</v>
      </c>
      <c r="B10" s="387" t="s">
        <v>96</v>
      </c>
      <c r="C10" s="388">
        <f>'Sch. F 2019'!P14</f>
        <v>477566.55999999982</v>
      </c>
      <c r="D10" s="388">
        <f>'Sch. 4'!H15</f>
        <v>1192364</v>
      </c>
      <c r="E10" s="389">
        <f>C10-D10</f>
        <v>-714797.44000000018</v>
      </c>
      <c r="F10" s="388">
        <f>-F8-F9-F11</f>
        <v>183642.67000000004</v>
      </c>
      <c r="G10" s="390">
        <f>C10+F10</f>
        <v>661209.22999999986</v>
      </c>
    </row>
    <row r="11" spans="1:8" s="385" customFormat="1">
      <c r="A11" s="386">
        <v>355.1</v>
      </c>
      <c r="B11" s="387" t="s">
        <v>97</v>
      </c>
      <c r="C11" s="388">
        <f>'Sch. F 2019'!P15</f>
        <v>807630.37000000011</v>
      </c>
      <c r="D11" s="388">
        <f>'Sch. 4'!H16</f>
        <v>678489</v>
      </c>
      <c r="E11" s="389">
        <f>C11-D11</f>
        <v>129141.37000000011</v>
      </c>
      <c r="F11" s="389">
        <f>-E11</f>
        <v>-129141.37000000011</v>
      </c>
      <c r="G11" s="390">
        <f>C11+F11</f>
        <v>678489</v>
      </c>
    </row>
    <row r="12" spans="1:8" s="385" customFormat="1">
      <c r="A12" s="391"/>
      <c r="B12" s="387"/>
      <c r="C12" s="389"/>
      <c r="D12" s="389"/>
      <c r="E12" s="389"/>
      <c r="F12" s="389"/>
      <c r="G12" s="390"/>
    </row>
    <row r="13" spans="1:8" ht="13.5" thickBot="1">
      <c r="A13" s="392"/>
      <c r="B13" s="393" t="s">
        <v>98</v>
      </c>
      <c r="C13" s="394">
        <f>SUM(C8:C12)</f>
        <v>1595791.23</v>
      </c>
      <c r="D13" s="394">
        <f t="shared" ref="D13:E13" si="0">SUM(D8:D12)</f>
        <v>2126946</v>
      </c>
      <c r="E13" s="394">
        <f t="shared" si="0"/>
        <v>-531154.77000000014</v>
      </c>
      <c r="F13" s="394">
        <f>SUM(F8:F12)</f>
        <v>0</v>
      </c>
      <c r="G13" s="395">
        <f>SUM(G8:G12)</f>
        <v>1595791.23</v>
      </c>
      <c r="H13" s="370"/>
    </row>
    <row r="14" spans="1:8" ht="13.5" thickTop="1">
      <c r="A14" s="75"/>
      <c r="B14" s="370"/>
      <c r="C14" s="396"/>
      <c r="D14" s="396"/>
      <c r="E14" s="396"/>
      <c r="F14" s="396"/>
      <c r="G14" s="396"/>
      <c r="H14" s="370"/>
    </row>
    <row r="15" spans="1:8">
      <c r="A15" s="385"/>
      <c r="B15" s="370"/>
      <c r="C15" s="396"/>
      <c r="D15" s="396"/>
      <c r="E15" s="396"/>
      <c r="F15" s="396"/>
      <c r="G15" s="396"/>
      <c r="H15" s="370"/>
    </row>
    <row r="16" spans="1:8" ht="13.5" thickBot="1">
      <c r="A16" s="385"/>
      <c r="B16" s="370"/>
      <c r="C16" s="396"/>
      <c r="D16" s="396"/>
      <c r="E16" s="396"/>
      <c r="F16" s="396"/>
      <c r="G16" s="396"/>
      <c r="H16" s="370"/>
    </row>
    <row r="17" spans="1:12" s="365" customFormat="1">
      <c r="A17" s="397"/>
      <c r="B17" s="368"/>
      <c r="C17" s="398">
        <v>43831</v>
      </c>
      <c r="D17" s="368" t="s">
        <v>81</v>
      </c>
      <c r="E17" s="368"/>
      <c r="F17" s="399" t="s">
        <v>99</v>
      </c>
      <c r="G17" s="396"/>
    </row>
    <row r="18" spans="1:12" s="370" customFormat="1" ht="13.5" thickBot="1">
      <c r="A18" s="376" t="s">
        <v>16</v>
      </c>
      <c r="B18" s="377"/>
      <c r="C18" s="378" t="s">
        <v>91</v>
      </c>
      <c r="D18" s="378" t="s">
        <v>10</v>
      </c>
      <c r="E18" s="378" t="s">
        <v>92</v>
      </c>
      <c r="F18" s="379" t="s">
        <v>100</v>
      </c>
      <c r="G18" s="396"/>
    </row>
    <row r="19" spans="1:12" s="385" customFormat="1">
      <c r="A19" s="380">
        <v>392.1</v>
      </c>
      <c r="B19" s="381" t="s">
        <v>101</v>
      </c>
      <c r="C19" s="400">
        <f>+'Sch. F 2019'!P39</f>
        <v>36589.449999999997</v>
      </c>
      <c r="D19" s="400">
        <f>'Sch. 4'!H38</f>
        <v>10769</v>
      </c>
      <c r="E19" s="401">
        <f>C19-D19</f>
        <v>25820.449999999997</v>
      </c>
      <c r="F19" s="402">
        <f>-ROUND(E19/4,0)</f>
        <v>-6455</v>
      </c>
      <c r="G19" s="396"/>
    </row>
    <row r="20" spans="1:12" s="385" customFormat="1">
      <c r="A20" s="386">
        <v>392.2</v>
      </c>
      <c r="B20" s="387" t="s">
        <v>102</v>
      </c>
      <c r="C20" s="400">
        <f>+'Sch. F 2019'!P40</f>
        <v>748006.41149500012</v>
      </c>
      <c r="D20" s="400">
        <f>'Sch. 4'!H39</f>
        <v>650486</v>
      </c>
      <c r="E20" s="403">
        <f>C20-D20</f>
        <v>97520.411495000124</v>
      </c>
      <c r="F20" s="404">
        <f>-ROUND(E20/4,0)</f>
        <v>-24380</v>
      </c>
      <c r="G20" s="396"/>
    </row>
    <row r="21" spans="1:12" s="385" customFormat="1">
      <c r="A21" s="386">
        <v>392.3</v>
      </c>
      <c r="B21" s="387" t="s">
        <v>103</v>
      </c>
      <c r="C21" s="400">
        <f>+'Sch. F 2019'!P41</f>
        <v>2817387.8</v>
      </c>
      <c r="D21" s="400">
        <f>'Sch. 4'!H40</f>
        <v>2182351</v>
      </c>
      <c r="E21" s="403">
        <f>C21-D21</f>
        <v>635036.79999999981</v>
      </c>
      <c r="F21" s="404">
        <f>-ROUND(E21/4,0)</f>
        <v>-158759</v>
      </c>
      <c r="G21" s="396"/>
    </row>
    <row r="22" spans="1:12" s="385" customFormat="1">
      <c r="A22" s="391"/>
      <c r="B22" s="387"/>
      <c r="C22" s="405"/>
      <c r="D22" s="403"/>
      <c r="E22" s="403"/>
      <c r="F22" s="404"/>
      <c r="G22" s="396"/>
    </row>
    <row r="23" spans="1:12" ht="13.5" thickBot="1">
      <c r="A23" s="392"/>
      <c r="B23" s="393" t="s">
        <v>98</v>
      </c>
      <c r="C23" s="406">
        <f>SUM(C19:C21)</f>
        <v>3601983.6614950001</v>
      </c>
      <c r="D23" s="406">
        <f>SUM(D19:D21)</f>
        <v>2843606</v>
      </c>
      <c r="E23" s="406">
        <f>SUM(E19:E21)</f>
        <v>758377.66149499989</v>
      </c>
      <c r="F23" s="407">
        <f>SUM(F19:G21)</f>
        <v>-189594</v>
      </c>
      <c r="G23" s="396"/>
      <c r="H23" s="370"/>
    </row>
    <row r="24" spans="1:12" ht="13.5" thickTop="1">
      <c r="A24" s="385"/>
      <c r="B24" s="385"/>
      <c r="C24" s="408"/>
      <c r="D24" s="408"/>
      <c r="E24" s="408"/>
      <c r="F24" s="408"/>
      <c r="G24" s="396"/>
      <c r="H24" s="385"/>
      <c r="I24" s="385"/>
      <c r="J24" s="385"/>
      <c r="K24" s="385"/>
      <c r="L24" s="385"/>
    </row>
    <row r="25" spans="1:12">
      <c r="A25" s="409" t="s">
        <v>23</v>
      </c>
      <c r="B25" s="410" t="s">
        <v>104</v>
      </c>
      <c r="C25" s="411"/>
      <c r="D25" s="411"/>
      <c r="E25" s="412"/>
      <c r="F25" s="411"/>
      <c r="G25" s="396"/>
      <c r="H25" s="385"/>
      <c r="I25" s="385"/>
      <c r="J25" s="385"/>
      <c r="K25" s="385"/>
      <c r="L25" s="385"/>
    </row>
    <row r="26" spans="1:12">
      <c r="A26" s="385"/>
      <c r="B26" s="385"/>
      <c r="C26" s="385"/>
      <c r="D26" s="385"/>
      <c r="E26" s="385"/>
      <c r="F26" s="385"/>
      <c r="G26" s="385"/>
      <c r="H26" s="385"/>
      <c r="I26" s="385"/>
      <c r="J26" s="385"/>
      <c r="K26" s="385"/>
      <c r="L26" s="385"/>
    </row>
    <row r="27" spans="1:12">
      <c r="A27" s="385"/>
      <c r="B27" s="410"/>
      <c r="C27" s="408"/>
      <c r="D27" s="408"/>
      <c r="E27" s="408"/>
      <c r="F27" s="408"/>
      <c r="G27" s="385"/>
      <c r="H27" s="385"/>
      <c r="I27" s="385"/>
      <c r="J27" s="385"/>
      <c r="K27" s="385"/>
      <c r="L27" s="385"/>
    </row>
    <row r="28" spans="1:12">
      <c r="A28" s="385"/>
      <c r="B28" s="413"/>
      <c r="C28" s="385"/>
      <c r="D28" s="385"/>
      <c r="E28" s="385"/>
      <c r="F28" s="385"/>
      <c r="G28" s="385"/>
      <c r="H28" s="385"/>
      <c r="I28" s="385"/>
      <c r="J28" s="385"/>
      <c r="K28" s="385"/>
      <c r="L28" s="385"/>
    </row>
    <row r="29" spans="1:12">
      <c r="A29" s="385"/>
      <c r="B29" s="385"/>
      <c r="C29" s="385"/>
      <c r="D29" s="385"/>
      <c r="E29" s="385"/>
      <c r="F29" s="385"/>
      <c r="G29" s="385"/>
      <c r="H29" s="385"/>
      <c r="I29" s="385"/>
      <c r="J29" s="385"/>
      <c r="K29" s="385"/>
      <c r="L29" s="385"/>
    </row>
    <row r="30" spans="1:12">
      <c r="A30" s="385"/>
      <c r="B30" s="385"/>
      <c r="C30" s="385"/>
      <c r="D30" s="385"/>
      <c r="E30" s="385"/>
      <c r="F30" s="385"/>
      <c r="G30" s="385"/>
      <c r="H30" s="385"/>
      <c r="I30" s="385"/>
      <c r="J30" s="385"/>
      <c r="K30" s="385"/>
      <c r="L30" s="385"/>
    </row>
    <row r="31" spans="1:12">
      <c r="A31" s="385"/>
      <c r="B31" s="410"/>
      <c r="C31" s="385"/>
      <c r="D31" s="385"/>
      <c r="E31" s="385"/>
      <c r="F31" s="385"/>
      <c r="G31" s="385"/>
      <c r="H31" s="385"/>
      <c r="I31" s="385"/>
      <c r="J31" s="385"/>
      <c r="K31" s="385"/>
      <c r="L31" s="385"/>
    </row>
    <row r="32" spans="1:12">
      <c r="A32" s="385"/>
      <c r="B32" s="410"/>
      <c r="C32" s="385"/>
      <c r="D32" s="385"/>
      <c r="E32" s="385"/>
      <c r="F32" s="385"/>
      <c r="G32" s="385"/>
      <c r="H32" s="385"/>
      <c r="I32" s="385"/>
      <c r="J32" s="385"/>
      <c r="K32" s="385"/>
      <c r="L32" s="385"/>
    </row>
    <row r="33" spans="1:12">
      <c r="A33" s="385"/>
      <c r="B33" s="413"/>
      <c r="C33" s="385"/>
      <c r="D33" s="385"/>
      <c r="E33" s="385"/>
      <c r="F33" s="385"/>
      <c r="G33" s="385"/>
      <c r="H33" s="385"/>
      <c r="I33" s="385"/>
      <c r="J33" s="385"/>
      <c r="K33" s="385"/>
      <c r="L33" s="385"/>
    </row>
    <row r="34" spans="1:12">
      <c r="A34" s="385"/>
      <c r="B34" s="410"/>
      <c r="C34" s="385"/>
      <c r="D34" s="385"/>
      <c r="E34" s="385"/>
      <c r="F34" s="385"/>
      <c r="G34" s="385"/>
      <c r="H34" s="385"/>
      <c r="I34" s="385"/>
      <c r="J34" s="385"/>
      <c r="K34" s="385"/>
      <c r="L34" s="385"/>
    </row>
    <row r="35" spans="1:12">
      <c r="A35" s="385"/>
      <c r="B35" s="385"/>
      <c r="C35" s="385"/>
      <c r="D35" s="385"/>
      <c r="E35" s="385"/>
      <c r="F35" s="385"/>
      <c r="G35" s="385"/>
      <c r="H35" s="385"/>
      <c r="I35" s="385"/>
      <c r="J35" s="385"/>
      <c r="K35" s="385"/>
      <c r="L35" s="385"/>
    </row>
    <row r="36" spans="1:12">
      <c r="A36" s="385"/>
      <c r="B36" s="410"/>
      <c r="C36" s="385"/>
      <c r="D36" s="385"/>
      <c r="E36" s="385"/>
      <c r="F36" s="385"/>
      <c r="G36" s="385"/>
      <c r="H36" s="385"/>
      <c r="I36" s="385"/>
      <c r="J36" s="385"/>
      <c r="K36" s="385"/>
      <c r="L36" s="385"/>
    </row>
    <row r="37" spans="1:12">
      <c r="A37" s="385"/>
      <c r="B37" s="410"/>
      <c r="C37" s="385"/>
      <c r="D37" s="385"/>
      <c r="E37" s="385"/>
      <c r="F37" s="385"/>
      <c r="G37" s="385"/>
      <c r="H37" s="385"/>
      <c r="I37" s="385"/>
      <c r="J37" s="385"/>
      <c r="K37" s="385"/>
      <c r="L37" s="385"/>
    </row>
    <row r="38" spans="1:12">
      <c r="A38" s="385"/>
      <c r="B38" s="413"/>
      <c r="C38" s="385"/>
      <c r="D38" s="385"/>
      <c r="E38" s="385"/>
      <c r="F38" s="385"/>
      <c r="G38" s="385"/>
      <c r="H38" s="385"/>
      <c r="I38" s="385"/>
      <c r="J38" s="385"/>
      <c r="K38" s="385"/>
      <c r="L38" s="385"/>
    </row>
    <row r="39" spans="1:12">
      <c r="A39" s="385"/>
      <c r="B39" s="410"/>
      <c r="C39" s="385"/>
      <c r="D39" s="385"/>
      <c r="E39" s="385"/>
      <c r="F39" s="385"/>
      <c r="G39" s="385"/>
      <c r="H39" s="385"/>
      <c r="I39" s="385"/>
      <c r="J39" s="385"/>
      <c r="K39" s="385"/>
      <c r="L39" s="385"/>
    </row>
    <row r="40" spans="1:12">
      <c r="A40" s="385"/>
      <c r="B40" s="385"/>
      <c r="C40" s="414"/>
      <c r="D40" s="385"/>
      <c r="E40" s="414"/>
      <c r="F40" s="385"/>
      <c r="G40" s="385"/>
      <c r="H40" s="385"/>
      <c r="I40" s="385"/>
      <c r="J40" s="385"/>
      <c r="K40" s="385"/>
      <c r="L40" s="385"/>
    </row>
    <row r="41" spans="1:12">
      <c r="A41" s="385"/>
      <c r="B41" s="385"/>
      <c r="C41" s="414"/>
      <c r="D41" s="385"/>
      <c r="E41" s="414"/>
      <c r="F41" s="385"/>
      <c r="G41" s="385"/>
      <c r="H41" s="385"/>
      <c r="I41" s="385"/>
      <c r="J41" s="385"/>
      <c r="K41" s="385"/>
      <c r="L41" s="385"/>
    </row>
    <row r="42" spans="1:12">
      <c r="A42" s="385"/>
      <c r="B42" s="385"/>
      <c r="C42" s="414"/>
      <c r="D42" s="385"/>
      <c r="E42" s="385"/>
      <c r="F42" s="385"/>
      <c r="G42" s="385"/>
      <c r="H42" s="385"/>
      <c r="I42" s="385"/>
      <c r="J42" s="385"/>
      <c r="K42" s="385"/>
      <c r="L42" s="385"/>
    </row>
    <row r="43" spans="1:12">
      <c r="A43" s="385"/>
      <c r="B43" s="385"/>
      <c r="C43" s="385"/>
      <c r="D43" s="385"/>
      <c r="E43" s="385"/>
      <c r="F43" s="385"/>
      <c r="G43" s="385"/>
      <c r="H43" s="385"/>
      <c r="I43" s="385"/>
      <c r="J43" s="385"/>
      <c r="K43" s="385"/>
      <c r="L43" s="385"/>
    </row>
    <row r="44" spans="1:12">
      <c r="A44" s="385"/>
      <c r="B44" s="385"/>
      <c r="C44" s="385"/>
      <c r="D44" s="385"/>
      <c r="E44" s="385"/>
      <c r="F44" s="385"/>
      <c r="G44" s="385"/>
      <c r="H44" s="385"/>
      <c r="I44" s="385"/>
      <c r="J44" s="385"/>
      <c r="K44" s="385"/>
      <c r="L44" s="385"/>
    </row>
  </sheetData>
  <mergeCells count="3">
    <mergeCell ref="A1:G1"/>
    <mergeCell ref="A2:G2"/>
    <mergeCell ref="A3:G3"/>
  </mergeCells>
  <printOptions horizontalCentered="1"/>
  <pageMargins left="0.75" right="0.75" top="0.75" bottom="0.75" header="0.2" footer="0.2"/>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pageSetUpPr fitToPage="1"/>
  </sheetPr>
  <dimension ref="A1:R53"/>
  <sheetViews>
    <sheetView topLeftCell="A29" workbookViewId="0">
      <selection activeCell="A4" sqref="A4:P4"/>
    </sheetView>
  </sheetViews>
  <sheetFormatPr defaultColWidth="9.140625" defaultRowHeight="12.75"/>
  <cols>
    <col min="1" max="1" width="6.7109375" style="672" customWidth="1"/>
    <col min="2" max="2" width="11.7109375" style="640" bestFit="1" customWidth="1"/>
    <col min="3" max="6" width="11.42578125" style="640" customWidth="1"/>
    <col min="7" max="7" width="11.7109375" style="640" bestFit="1" customWidth="1"/>
    <col min="8" max="8" width="6.7109375" style="640" customWidth="1"/>
    <col min="9" max="15" width="11.42578125" style="640" customWidth="1"/>
    <col min="16" max="16" width="11.7109375" style="640" customWidth="1"/>
    <col min="17" max="17" width="9.42578125" style="640" bestFit="1" customWidth="1"/>
    <col min="18" max="18" width="12.42578125" style="640" bestFit="1" customWidth="1"/>
    <col min="19" max="16384" width="9.140625" style="640"/>
  </cols>
  <sheetData>
    <row r="1" spans="1:17" s="634" customFormat="1" ht="18">
      <c r="A1" s="761" t="s">
        <v>105</v>
      </c>
      <c r="B1" s="761"/>
      <c r="C1" s="761"/>
      <c r="D1" s="761"/>
      <c r="E1" s="761"/>
      <c r="F1" s="761"/>
      <c r="G1" s="761"/>
      <c r="H1" s="761"/>
      <c r="I1" s="761"/>
      <c r="J1" s="761"/>
      <c r="K1" s="761"/>
      <c r="L1" s="761"/>
      <c r="M1" s="761"/>
      <c r="N1" s="761"/>
      <c r="O1" s="761"/>
      <c r="P1" s="761"/>
    </row>
    <row r="2" spans="1:17" s="635" customFormat="1" ht="15">
      <c r="A2" s="762" t="s">
        <v>271</v>
      </c>
      <c r="B2" s="762"/>
      <c r="C2" s="762"/>
      <c r="D2" s="762"/>
      <c r="E2" s="762"/>
      <c r="F2" s="762"/>
      <c r="G2" s="762"/>
      <c r="H2" s="762"/>
      <c r="I2" s="762"/>
      <c r="J2" s="762"/>
      <c r="K2" s="762"/>
      <c r="L2" s="762"/>
      <c r="M2" s="762"/>
      <c r="N2" s="762"/>
      <c r="O2" s="762"/>
      <c r="P2" s="762"/>
    </row>
    <row r="3" spans="1:17" s="636" customFormat="1" ht="15.75">
      <c r="A3" s="763" t="s">
        <v>192</v>
      </c>
      <c r="B3" s="763"/>
      <c r="C3" s="763"/>
      <c r="D3" s="763"/>
      <c r="E3" s="763"/>
      <c r="F3" s="763"/>
      <c r="G3" s="763"/>
      <c r="H3" s="763"/>
      <c r="I3" s="763"/>
      <c r="J3" s="763"/>
      <c r="K3" s="763"/>
      <c r="L3" s="763"/>
      <c r="M3" s="763"/>
      <c r="N3" s="763"/>
      <c r="O3" s="763"/>
      <c r="P3" s="763"/>
    </row>
    <row r="4" spans="1:17" s="637" customFormat="1">
      <c r="A4" s="764">
        <v>2015</v>
      </c>
      <c r="B4" s="764"/>
      <c r="C4" s="764"/>
      <c r="D4" s="764"/>
      <c r="E4" s="764"/>
      <c r="F4" s="764"/>
      <c r="G4" s="764"/>
      <c r="H4" s="764"/>
      <c r="I4" s="764"/>
      <c r="J4" s="764"/>
      <c r="K4" s="764"/>
      <c r="L4" s="764"/>
      <c r="M4" s="764"/>
      <c r="N4" s="764"/>
      <c r="O4" s="764"/>
      <c r="P4" s="764"/>
    </row>
    <row r="5" spans="1:17" ht="15">
      <c r="A5" s="638"/>
      <c r="B5" s="635"/>
      <c r="C5" s="635"/>
      <c r="D5" s="635"/>
      <c r="E5" s="635"/>
      <c r="F5" s="635"/>
      <c r="G5" s="635"/>
      <c r="H5" s="639"/>
      <c r="I5" s="635"/>
      <c r="J5" s="635"/>
      <c r="K5" s="635"/>
      <c r="L5" s="635"/>
      <c r="M5" s="635"/>
      <c r="N5" s="635"/>
      <c r="O5" s="635"/>
      <c r="P5" s="635"/>
    </row>
    <row r="6" spans="1:17" s="642" customFormat="1" ht="13.5" thickBot="1">
      <c r="A6" s="765" t="s">
        <v>106</v>
      </c>
      <c r="B6" s="765"/>
      <c r="C6" s="765"/>
      <c r="D6" s="765"/>
      <c r="E6" s="765"/>
      <c r="F6" s="765"/>
      <c r="G6" s="765"/>
      <c r="H6" s="641"/>
      <c r="I6" s="637"/>
      <c r="J6" s="637"/>
      <c r="K6" s="637" t="s">
        <v>107</v>
      </c>
      <c r="L6" s="637"/>
      <c r="M6" s="637"/>
      <c r="N6" s="637" t="s">
        <v>108</v>
      </c>
      <c r="P6" s="637"/>
    </row>
    <row r="7" spans="1:17" s="647" customFormat="1">
      <c r="A7" s="643" t="s">
        <v>109</v>
      </c>
      <c r="B7" s="644" t="s">
        <v>110</v>
      </c>
      <c r="C7" s="644"/>
      <c r="D7" s="644"/>
      <c r="E7" s="644"/>
      <c r="F7" s="644" t="s">
        <v>111</v>
      </c>
      <c r="G7" s="644" t="s">
        <v>112</v>
      </c>
      <c r="H7" s="645" t="s">
        <v>109</v>
      </c>
      <c r="I7" s="644" t="s">
        <v>110</v>
      </c>
      <c r="J7" s="644"/>
      <c r="K7" s="644"/>
      <c r="L7" s="644"/>
      <c r="M7" s="644" t="s">
        <v>113</v>
      </c>
      <c r="N7" s="644"/>
      <c r="O7" s="644" t="s">
        <v>111</v>
      </c>
      <c r="P7" s="646" t="s">
        <v>112</v>
      </c>
    </row>
    <row r="8" spans="1:17" s="647" customFormat="1" ht="15" thickBot="1">
      <c r="A8" s="648" t="s">
        <v>114</v>
      </c>
      <c r="B8" s="649" t="s">
        <v>115</v>
      </c>
      <c r="C8" s="649" t="s">
        <v>116</v>
      </c>
      <c r="D8" s="649" t="s">
        <v>117</v>
      </c>
      <c r="E8" s="649" t="s">
        <v>118</v>
      </c>
      <c r="F8" s="649" t="s">
        <v>119</v>
      </c>
      <c r="G8" s="649" t="s">
        <v>115</v>
      </c>
      <c r="H8" s="650" t="s">
        <v>114</v>
      </c>
      <c r="I8" s="649" t="s">
        <v>115</v>
      </c>
      <c r="J8" s="649" t="s">
        <v>118</v>
      </c>
      <c r="K8" s="649" t="s">
        <v>120</v>
      </c>
      <c r="L8" s="649" t="s">
        <v>121</v>
      </c>
      <c r="M8" s="649" t="s">
        <v>122</v>
      </c>
      <c r="N8" s="649" t="s">
        <v>193</v>
      </c>
      <c r="O8" s="649" t="s">
        <v>119</v>
      </c>
      <c r="P8" s="651" t="s">
        <v>115</v>
      </c>
    </row>
    <row r="9" spans="1:17" s="658" customFormat="1" ht="14.25" customHeight="1">
      <c r="A9" s="652">
        <v>350</v>
      </c>
      <c r="B9" s="653">
        <v>17629</v>
      </c>
      <c r="C9" s="434">
        <v>0</v>
      </c>
      <c r="D9" s="434">
        <v>0</v>
      </c>
      <c r="E9" s="434">
        <v>0</v>
      </c>
      <c r="F9" s="435">
        <v>0</v>
      </c>
      <c r="G9" s="654">
        <f>ROUND(SUM(B9:F9),0)</f>
        <v>17629</v>
      </c>
      <c r="H9" s="655">
        <f>A9</f>
        <v>350</v>
      </c>
      <c r="I9" s="653">
        <v>0</v>
      </c>
      <c r="J9" s="434">
        <v>0</v>
      </c>
      <c r="K9" s="434">
        <v>0</v>
      </c>
      <c r="L9" s="434">
        <v>0</v>
      </c>
      <c r="M9" s="434">
        <v>0</v>
      </c>
      <c r="N9" s="434">
        <v>0</v>
      </c>
      <c r="O9" s="434">
        <v>0</v>
      </c>
      <c r="P9" s="656">
        <f t="shared" ref="P9:P49" si="0">SUM(I9:O9)</f>
        <v>0</v>
      </c>
      <c r="Q9" s="657"/>
    </row>
    <row r="10" spans="1:17" s="658" customFormat="1" ht="14.25" customHeight="1">
      <c r="A10" s="652">
        <v>3501</v>
      </c>
      <c r="B10" s="653">
        <v>23842</v>
      </c>
      <c r="C10" s="434">
        <v>0</v>
      </c>
      <c r="D10" s="434">
        <v>0</v>
      </c>
      <c r="E10" s="434">
        <v>0</v>
      </c>
      <c r="F10" s="435">
        <v>0</v>
      </c>
      <c r="G10" s="503">
        <f>ROUND(SUM(B10:F10),0)</f>
        <v>23842</v>
      </c>
      <c r="H10" s="655">
        <f>A10</f>
        <v>3501</v>
      </c>
      <c r="I10" s="653">
        <v>18962</v>
      </c>
      <c r="J10" s="434">
        <v>0</v>
      </c>
      <c r="K10" s="434">
        <v>334</v>
      </c>
      <c r="L10" s="434">
        <v>0</v>
      </c>
      <c r="M10" s="434">
        <v>0</v>
      </c>
      <c r="N10" s="434">
        <v>-3799</v>
      </c>
      <c r="O10" s="434">
        <v>0</v>
      </c>
      <c r="P10" s="656">
        <f>SUM(I10:O10)</f>
        <v>15497</v>
      </c>
      <c r="Q10" s="657"/>
    </row>
    <row r="11" spans="1:17" s="659" customFormat="1">
      <c r="A11" s="652">
        <v>352</v>
      </c>
      <c r="B11" s="653">
        <v>197760</v>
      </c>
      <c r="C11" s="434">
        <v>0</v>
      </c>
      <c r="D11" s="434">
        <v>0</v>
      </c>
      <c r="E11" s="434">
        <v>0</v>
      </c>
      <c r="F11" s="435">
        <v>0</v>
      </c>
      <c r="G11" s="503">
        <f t="shared" ref="G11:G49" si="1">ROUND(SUM(B11:F11),0)</f>
        <v>197760</v>
      </c>
      <c r="H11" s="655">
        <f t="shared" ref="H11:H49" si="2">A11</f>
        <v>352</v>
      </c>
      <c r="I11" s="653">
        <v>17516</v>
      </c>
      <c r="J11" s="434">
        <v>0</v>
      </c>
      <c r="K11" s="434">
        <f>3560-1</f>
        <v>3559</v>
      </c>
      <c r="L11" s="434">
        <v>0</v>
      </c>
      <c r="M11" s="434">
        <v>0</v>
      </c>
      <c r="N11" s="434">
        <v>0</v>
      </c>
      <c r="O11" s="434">
        <v>0</v>
      </c>
      <c r="P11" s="656">
        <f t="shared" si="0"/>
        <v>21075</v>
      </c>
      <c r="Q11" s="657"/>
    </row>
    <row r="12" spans="1:17" s="659" customFormat="1">
      <c r="A12" s="652">
        <v>353</v>
      </c>
      <c r="B12" s="653">
        <v>3748521</v>
      </c>
      <c r="C12" s="434">
        <v>0</v>
      </c>
      <c r="D12" s="434">
        <v>0</v>
      </c>
      <c r="E12" s="434">
        <v>0</v>
      </c>
      <c r="F12" s="435">
        <v>0</v>
      </c>
      <c r="G12" s="503">
        <f t="shared" si="1"/>
        <v>3748521</v>
      </c>
      <c r="H12" s="655">
        <f t="shared" si="2"/>
        <v>353</v>
      </c>
      <c r="I12" s="653">
        <v>948485</v>
      </c>
      <c r="J12" s="434">
        <v>0</v>
      </c>
      <c r="K12" s="434">
        <f>97462-1</f>
        <v>97461</v>
      </c>
      <c r="L12" s="434">
        <v>0</v>
      </c>
      <c r="M12" s="434">
        <v>0</v>
      </c>
      <c r="N12" s="434">
        <v>0</v>
      </c>
      <c r="O12" s="434">
        <v>0</v>
      </c>
      <c r="P12" s="656">
        <f t="shared" si="0"/>
        <v>1045946</v>
      </c>
      <c r="Q12" s="657"/>
    </row>
    <row r="13" spans="1:17" s="659" customFormat="1">
      <c r="A13" s="652">
        <v>354</v>
      </c>
      <c r="B13" s="653">
        <v>224802</v>
      </c>
      <c r="C13" s="434">
        <v>0</v>
      </c>
      <c r="D13" s="434">
        <v>0</v>
      </c>
      <c r="E13" s="434">
        <v>0</v>
      </c>
      <c r="F13" s="435">
        <v>0</v>
      </c>
      <c r="G13" s="503">
        <f t="shared" si="1"/>
        <v>224802</v>
      </c>
      <c r="H13" s="655">
        <f t="shared" si="2"/>
        <v>354</v>
      </c>
      <c r="I13" s="653">
        <v>190300</v>
      </c>
      <c r="J13" s="434">
        <v>0</v>
      </c>
      <c r="K13" s="434">
        <v>4721</v>
      </c>
      <c r="L13" s="434">
        <v>0</v>
      </c>
      <c r="M13" s="434">
        <v>0</v>
      </c>
      <c r="N13" s="434">
        <v>0</v>
      </c>
      <c r="O13" s="434">
        <v>0</v>
      </c>
      <c r="P13" s="656">
        <f t="shared" si="0"/>
        <v>195021</v>
      </c>
      <c r="Q13" s="657"/>
    </row>
    <row r="14" spans="1:17" s="659" customFormat="1">
      <c r="A14" s="652">
        <v>355</v>
      </c>
      <c r="B14" s="653">
        <v>1652655</v>
      </c>
      <c r="C14" s="434">
        <v>8300</v>
      </c>
      <c r="D14" s="434">
        <v>0</v>
      </c>
      <c r="E14" s="434">
        <v>-74358</v>
      </c>
      <c r="F14" s="435">
        <v>0</v>
      </c>
      <c r="G14" s="503">
        <f t="shared" si="1"/>
        <v>1586597</v>
      </c>
      <c r="H14" s="655">
        <f t="shared" si="2"/>
        <v>355</v>
      </c>
      <c r="I14" s="653">
        <f>1073936</f>
        <v>1073936</v>
      </c>
      <c r="J14" s="434">
        <v>-74358</v>
      </c>
      <c r="K14" s="434">
        <v>113733</v>
      </c>
      <c r="L14" s="434">
        <v>0</v>
      </c>
      <c r="M14" s="434">
        <v>0</v>
      </c>
      <c r="N14" s="434">
        <v>43786</v>
      </c>
      <c r="O14" s="434">
        <v>0</v>
      </c>
      <c r="P14" s="656">
        <f t="shared" si="0"/>
        <v>1157097</v>
      </c>
      <c r="Q14" s="657"/>
    </row>
    <row r="15" spans="1:17" s="659" customFormat="1">
      <c r="A15" s="652">
        <v>3551</v>
      </c>
      <c r="B15" s="653">
        <v>2656275</v>
      </c>
      <c r="C15" s="434">
        <v>82797</v>
      </c>
      <c r="D15" s="434">
        <v>0</v>
      </c>
      <c r="E15" s="434">
        <v>0</v>
      </c>
      <c r="F15" s="435">
        <v>0</v>
      </c>
      <c r="G15" s="503">
        <f t="shared" si="1"/>
        <v>2739072</v>
      </c>
      <c r="H15" s="655">
        <f t="shared" si="2"/>
        <v>3551</v>
      </c>
      <c r="I15" s="653">
        <v>334844</v>
      </c>
      <c r="J15" s="434">
        <v>0</v>
      </c>
      <c r="K15" s="434">
        <f>98939+1</f>
        <v>98940</v>
      </c>
      <c r="L15" s="434">
        <v>0</v>
      </c>
      <c r="M15" s="434">
        <v>0</v>
      </c>
      <c r="N15" s="434">
        <v>-39987</v>
      </c>
      <c r="O15" s="434">
        <v>0</v>
      </c>
      <c r="P15" s="656">
        <f t="shared" si="0"/>
        <v>393797</v>
      </c>
      <c r="Q15" s="657"/>
    </row>
    <row r="16" spans="1:17" s="659" customFormat="1">
      <c r="A16" s="652">
        <v>356</v>
      </c>
      <c r="B16" s="653">
        <v>2581643</v>
      </c>
      <c r="C16" s="434">
        <v>88158</v>
      </c>
      <c r="D16" s="434">
        <v>0</v>
      </c>
      <c r="E16" s="434">
        <v>-43905</v>
      </c>
      <c r="F16" s="435">
        <v>0</v>
      </c>
      <c r="G16" s="503">
        <f t="shared" si="1"/>
        <v>2625896</v>
      </c>
      <c r="H16" s="655">
        <f t="shared" si="2"/>
        <v>356</v>
      </c>
      <c r="I16" s="653">
        <f>744898+43905-1</f>
        <v>788802</v>
      </c>
      <c r="J16" s="434">
        <v>-43905</v>
      </c>
      <c r="K16" s="434">
        <f>62828+1</f>
        <v>62829</v>
      </c>
      <c r="L16" s="434">
        <v>0</v>
      </c>
      <c r="M16" s="434">
        <v>0</v>
      </c>
      <c r="N16" s="434">
        <v>0</v>
      </c>
      <c r="O16" s="434">
        <v>0</v>
      </c>
      <c r="P16" s="656">
        <f t="shared" si="0"/>
        <v>807726</v>
      </c>
      <c r="Q16" s="657"/>
    </row>
    <row r="17" spans="1:18" s="659" customFormat="1">
      <c r="A17" s="652">
        <v>359</v>
      </c>
      <c r="B17" s="653">
        <v>6788</v>
      </c>
      <c r="C17" s="434">
        <v>0</v>
      </c>
      <c r="D17" s="434">
        <v>0</v>
      </c>
      <c r="E17" s="434">
        <v>0</v>
      </c>
      <c r="F17" s="435">
        <v>0</v>
      </c>
      <c r="G17" s="503">
        <f t="shared" si="1"/>
        <v>6788</v>
      </c>
      <c r="H17" s="655">
        <f t="shared" si="2"/>
        <v>359</v>
      </c>
      <c r="I17" s="653">
        <v>5500</v>
      </c>
      <c r="J17" s="434">
        <v>0</v>
      </c>
      <c r="K17" s="434">
        <v>102</v>
      </c>
      <c r="L17" s="434">
        <v>0</v>
      </c>
      <c r="M17" s="434">
        <v>0</v>
      </c>
      <c r="N17" s="434">
        <v>0</v>
      </c>
      <c r="O17" s="434">
        <v>0</v>
      </c>
      <c r="P17" s="656">
        <f t="shared" si="0"/>
        <v>5602</v>
      </c>
      <c r="Q17" s="657"/>
    </row>
    <row r="18" spans="1:18" s="659" customFormat="1">
      <c r="A18" s="652">
        <v>360</v>
      </c>
      <c r="B18" s="653">
        <v>13572</v>
      </c>
      <c r="C18" s="434">
        <v>0</v>
      </c>
      <c r="D18" s="434">
        <v>0</v>
      </c>
      <c r="E18" s="434">
        <v>0</v>
      </c>
      <c r="F18" s="435">
        <v>0</v>
      </c>
      <c r="G18" s="503">
        <f t="shared" si="1"/>
        <v>13572</v>
      </c>
      <c r="H18" s="655">
        <f t="shared" si="2"/>
        <v>360</v>
      </c>
      <c r="I18" s="653">
        <v>0</v>
      </c>
      <c r="J18" s="434">
        <v>0</v>
      </c>
      <c r="K18" s="434">
        <v>0</v>
      </c>
      <c r="L18" s="434">
        <v>0</v>
      </c>
      <c r="M18" s="434">
        <v>0</v>
      </c>
      <c r="N18" s="434">
        <v>0</v>
      </c>
      <c r="O18" s="434">
        <v>0</v>
      </c>
      <c r="P18" s="660">
        <f t="shared" si="0"/>
        <v>0</v>
      </c>
      <c r="Q18" s="657"/>
    </row>
    <row r="19" spans="1:18" s="659" customFormat="1">
      <c r="A19" s="652">
        <v>3601</v>
      </c>
      <c r="B19" s="653">
        <v>56995</v>
      </c>
      <c r="C19" s="434">
        <v>0</v>
      </c>
      <c r="D19" s="434">
        <v>0</v>
      </c>
      <c r="E19" s="434">
        <v>0</v>
      </c>
      <c r="F19" s="435">
        <v>0</v>
      </c>
      <c r="G19" s="503">
        <f t="shared" si="1"/>
        <v>56995</v>
      </c>
      <c r="H19" s="655">
        <f t="shared" si="2"/>
        <v>3601</v>
      </c>
      <c r="I19" s="653">
        <v>29540</v>
      </c>
      <c r="J19" s="434">
        <v>0</v>
      </c>
      <c r="K19" s="434">
        <v>912</v>
      </c>
      <c r="L19" s="434">
        <v>0</v>
      </c>
      <c r="M19" s="434">
        <v>0</v>
      </c>
      <c r="N19" s="434">
        <v>0</v>
      </c>
      <c r="O19" s="434">
        <v>0</v>
      </c>
      <c r="P19" s="656">
        <f t="shared" si="0"/>
        <v>30452</v>
      </c>
      <c r="Q19" s="657"/>
    </row>
    <row r="20" spans="1:18" s="659" customFormat="1">
      <c r="A20" s="652">
        <v>361</v>
      </c>
      <c r="B20" s="653">
        <v>174032</v>
      </c>
      <c r="C20" s="434">
        <v>0</v>
      </c>
      <c r="D20" s="434">
        <v>0</v>
      </c>
      <c r="E20" s="434">
        <v>0</v>
      </c>
      <c r="F20" s="435">
        <v>0</v>
      </c>
      <c r="G20" s="503">
        <f t="shared" si="1"/>
        <v>174032</v>
      </c>
      <c r="H20" s="655">
        <f t="shared" si="2"/>
        <v>361</v>
      </c>
      <c r="I20" s="653">
        <v>41158</v>
      </c>
      <c r="J20" s="434">
        <v>0</v>
      </c>
      <c r="K20" s="434">
        <v>2958</v>
      </c>
      <c r="L20" s="434">
        <v>0</v>
      </c>
      <c r="M20" s="434">
        <v>0</v>
      </c>
      <c r="N20" s="434">
        <v>0</v>
      </c>
      <c r="O20" s="434">
        <v>0</v>
      </c>
      <c r="P20" s="656">
        <f t="shared" si="0"/>
        <v>44116</v>
      </c>
      <c r="Q20" s="657"/>
    </row>
    <row r="21" spans="1:18" s="659" customFormat="1">
      <c r="A21" s="652">
        <v>362</v>
      </c>
      <c r="B21" s="653">
        <v>8854499</v>
      </c>
      <c r="C21" s="434">
        <v>41604</v>
      </c>
      <c r="D21" s="434">
        <v>0</v>
      </c>
      <c r="E21" s="434">
        <v>0</v>
      </c>
      <c r="F21" s="435">
        <v>0</v>
      </c>
      <c r="G21" s="503">
        <f t="shared" si="1"/>
        <v>8896103</v>
      </c>
      <c r="H21" s="655">
        <f t="shared" si="2"/>
        <v>362</v>
      </c>
      <c r="I21" s="653">
        <v>2682209</v>
      </c>
      <c r="J21" s="434">
        <v>0</v>
      </c>
      <c r="K21" s="434">
        <v>212508</v>
      </c>
      <c r="L21" s="434">
        <v>0</v>
      </c>
      <c r="M21" s="434">
        <v>0</v>
      </c>
      <c r="N21" s="434">
        <v>-167529</v>
      </c>
      <c r="O21" s="434">
        <v>0</v>
      </c>
      <c r="P21" s="656">
        <f t="shared" si="0"/>
        <v>2727188</v>
      </c>
      <c r="Q21" s="657"/>
    </row>
    <row r="22" spans="1:18" s="659" customFormat="1">
      <c r="A22" s="652">
        <v>364</v>
      </c>
      <c r="B22" s="653">
        <v>14246551</v>
      </c>
      <c r="C22" s="434">
        <v>612261</v>
      </c>
      <c r="D22" s="434">
        <v>0</v>
      </c>
      <c r="E22" s="434">
        <v>-38449</v>
      </c>
      <c r="F22" s="435">
        <v>0</v>
      </c>
      <c r="G22" s="503">
        <f t="shared" si="1"/>
        <v>14820363</v>
      </c>
      <c r="H22" s="655">
        <f t="shared" si="2"/>
        <v>364</v>
      </c>
      <c r="I22" s="653">
        <v>6805380</v>
      </c>
      <c r="J22" s="434">
        <v>-38449</v>
      </c>
      <c r="K22" s="434">
        <v>561329</v>
      </c>
      <c r="L22" s="434">
        <v>0</v>
      </c>
      <c r="M22" s="434">
        <v>-193720</v>
      </c>
      <c r="N22" s="434">
        <v>357983</v>
      </c>
      <c r="O22" s="434">
        <v>0</v>
      </c>
      <c r="P22" s="656">
        <f t="shared" si="0"/>
        <v>7492523</v>
      </c>
      <c r="Q22" s="657"/>
    </row>
    <row r="23" spans="1:18" s="659" customFormat="1">
      <c r="A23" s="652">
        <v>365</v>
      </c>
      <c r="B23" s="653">
        <v>13103924</v>
      </c>
      <c r="C23" s="434">
        <v>328200</v>
      </c>
      <c r="D23" s="434">
        <v>0</v>
      </c>
      <c r="E23" s="434">
        <v>-42186</v>
      </c>
      <c r="F23" s="435">
        <v>0</v>
      </c>
      <c r="G23" s="503">
        <f t="shared" si="1"/>
        <v>13389938</v>
      </c>
      <c r="H23" s="655">
        <f t="shared" si="2"/>
        <v>365</v>
      </c>
      <c r="I23" s="653">
        <v>8358900</v>
      </c>
      <c r="J23" s="434">
        <v>-42186</v>
      </c>
      <c r="K23" s="434">
        <f>449942-1</f>
        <v>449941</v>
      </c>
      <c r="L23" s="434">
        <v>10416</v>
      </c>
      <c r="M23" s="434">
        <v>-41970</v>
      </c>
      <c r="N23" s="434">
        <v>-24803</v>
      </c>
      <c r="O23" s="434">
        <v>0</v>
      </c>
      <c r="P23" s="656">
        <f t="shared" si="0"/>
        <v>8710298</v>
      </c>
      <c r="Q23" s="657"/>
      <c r="R23" s="661"/>
    </row>
    <row r="24" spans="1:18" s="659" customFormat="1">
      <c r="A24" s="652">
        <v>366</v>
      </c>
      <c r="B24" s="653">
        <v>5551124</v>
      </c>
      <c r="C24" s="434">
        <v>109758</v>
      </c>
      <c r="D24" s="434">
        <v>0</v>
      </c>
      <c r="E24" s="434">
        <v>-4991</v>
      </c>
      <c r="F24" s="435">
        <v>0</v>
      </c>
      <c r="G24" s="503">
        <f t="shared" si="1"/>
        <v>5655891</v>
      </c>
      <c r="H24" s="655">
        <f t="shared" si="2"/>
        <v>366</v>
      </c>
      <c r="I24" s="653">
        <v>952687</v>
      </c>
      <c r="J24" s="434">
        <v>-4991</v>
      </c>
      <c r="K24" s="434">
        <v>100447</v>
      </c>
      <c r="L24" s="434">
        <v>0</v>
      </c>
      <c r="M24" s="434">
        <v>-7108</v>
      </c>
      <c r="N24" s="434">
        <v>-120017</v>
      </c>
      <c r="O24" s="434">
        <v>0</v>
      </c>
      <c r="P24" s="656">
        <f t="shared" si="0"/>
        <v>921018</v>
      </c>
      <c r="Q24" s="657"/>
      <c r="R24" s="661"/>
    </row>
    <row r="25" spans="1:18" s="659" customFormat="1">
      <c r="A25" s="652">
        <v>367</v>
      </c>
      <c r="B25" s="653">
        <v>8156370</v>
      </c>
      <c r="C25" s="434">
        <v>218586</v>
      </c>
      <c r="D25" s="434">
        <v>0</v>
      </c>
      <c r="E25" s="434">
        <v>-4098</v>
      </c>
      <c r="F25" s="435">
        <v>0</v>
      </c>
      <c r="G25" s="503">
        <f t="shared" si="1"/>
        <v>8370858</v>
      </c>
      <c r="H25" s="655">
        <f t="shared" si="2"/>
        <v>367</v>
      </c>
      <c r="I25" s="653">
        <v>2619265</v>
      </c>
      <c r="J25" s="434">
        <v>-4098</v>
      </c>
      <c r="K25" s="434">
        <v>262234</v>
      </c>
      <c r="L25" s="434">
        <v>0</v>
      </c>
      <c r="M25" s="434">
        <v>-3877</v>
      </c>
      <c r="N25" s="434">
        <v>0</v>
      </c>
      <c r="O25" s="434">
        <v>0</v>
      </c>
      <c r="P25" s="656">
        <f t="shared" si="0"/>
        <v>2873524</v>
      </c>
      <c r="Q25" s="657"/>
      <c r="R25" s="661"/>
    </row>
    <row r="26" spans="1:18" s="659" customFormat="1">
      <c r="A26" s="652">
        <v>368</v>
      </c>
      <c r="B26" s="653">
        <v>16855222</v>
      </c>
      <c r="C26" s="434">
        <v>651596</v>
      </c>
      <c r="D26" s="434">
        <v>0</v>
      </c>
      <c r="E26" s="434">
        <v>-6412</v>
      </c>
      <c r="F26" s="435">
        <v>0</v>
      </c>
      <c r="G26" s="503">
        <f t="shared" si="1"/>
        <v>17500406</v>
      </c>
      <c r="H26" s="655">
        <f t="shared" si="2"/>
        <v>368</v>
      </c>
      <c r="I26" s="653">
        <v>11953804</v>
      </c>
      <c r="J26" s="434">
        <v>-6412</v>
      </c>
      <c r="K26" s="434">
        <f>686454-1</f>
        <v>686453</v>
      </c>
      <c r="L26" s="434">
        <v>1920</v>
      </c>
      <c r="M26" s="434">
        <v>-47976</v>
      </c>
      <c r="N26" s="434">
        <v>-87732</v>
      </c>
      <c r="O26" s="434">
        <v>0</v>
      </c>
      <c r="P26" s="656">
        <f t="shared" si="0"/>
        <v>12500057</v>
      </c>
      <c r="Q26" s="657"/>
    </row>
    <row r="27" spans="1:18" s="659" customFormat="1">
      <c r="A27" s="652">
        <v>369</v>
      </c>
      <c r="B27" s="653">
        <v>10187082</v>
      </c>
      <c r="C27" s="434">
        <v>211555</v>
      </c>
      <c r="D27" s="434">
        <v>0</v>
      </c>
      <c r="E27" s="434">
        <v>-10536</v>
      </c>
      <c r="F27" s="435">
        <v>0</v>
      </c>
      <c r="G27" s="503">
        <f t="shared" si="1"/>
        <v>10388101</v>
      </c>
      <c r="H27" s="655">
        <f t="shared" si="2"/>
        <v>369</v>
      </c>
      <c r="I27" s="653">
        <v>6560065</v>
      </c>
      <c r="J27" s="434">
        <v>-10536</v>
      </c>
      <c r="K27" s="434">
        <v>361935</v>
      </c>
      <c r="L27" s="434">
        <v>1219</v>
      </c>
      <c r="M27" s="434">
        <v>-19659</v>
      </c>
      <c r="N27" s="434">
        <v>-105530</v>
      </c>
      <c r="O27" s="434">
        <v>0</v>
      </c>
      <c r="P27" s="656">
        <f t="shared" si="0"/>
        <v>6787494</v>
      </c>
      <c r="Q27" s="657"/>
    </row>
    <row r="28" spans="1:18" s="659" customFormat="1">
      <c r="A28" s="652">
        <v>370</v>
      </c>
      <c r="B28" s="653">
        <v>3913686</v>
      </c>
      <c r="C28" s="434">
        <v>164433</v>
      </c>
      <c r="D28" s="434">
        <v>0</v>
      </c>
      <c r="E28" s="434">
        <v>-103250</v>
      </c>
      <c r="F28" s="435">
        <v>0</v>
      </c>
      <c r="G28" s="503">
        <f t="shared" si="1"/>
        <v>3974869</v>
      </c>
      <c r="H28" s="655">
        <f t="shared" si="2"/>
        <v>370</v>
      </c>
      <c r="I28" s="653">
        <v>2285298</v>
      </c>
      <c r="J28" s="434">
        <v>-103250</v>
      </c>
      <c r="K28" s="434">
        <v>145192</v>
      </c>
      <c r="L28" s="434">
        <v>955</v>
      </c>
      <c r="M28" s="434">
        <v>-7902</v>
      </c>
      <c r="N28" s="434">
        <v>296559</v>
      </c>
      <c r="O28" s="434">
        <v>0</v>
      </c>
      <c r="P28" s="656">
        <f t="shared" si="0"/>
        <v>2616852</v>
      </c>
      <c r="Q28" s="657"/>
    </row>
    <row r="29" spans="1:18" s="659" customFormat="1">
      <c r="A29" s="652">
        <v>371</v>
      </c>
      <c r="B29" s="653">
        <v>3043389</v>
      </c>
      <c r="C29" s="434">
        <v>156698</v>
      </c>
      <c r="D29" s="434">
        <v>0</v>
      </c>
      <c r="E29" s="434">
        <v>-21388</v>
      </c>
      <c r="F29" s="435">
        <v>0</v>
      </c>
      <c r="G29" s="503">
        <f t="shared" si="1"/>
        <v>3178699</v>
      </c>
      <c r="H29" s="655">
        <f t="shared" si="2"/>
        <v>371</v>
      </c>
      <c r="I29" s="653">
        <v>1573237</v>
      </c>
      <c r="J29" s="434">
        <v>-21388</v>
      </c>
      <c r="K29" s="434">
        <f>140548-1</f>
        <v>140547</v>
      </c>
      <c r="L29" s="434">
        <v>0</v>
      </c>
      <c r="M29" s="434">
        <v>-1964</v>
      </c>
      <c r="N29" s="434">
        <v>-148931</v>
      </c>
      <c r="O29" s="434">
        <v>0</v>
      </c>
      <c r="P29" s="656">
        <f t="shared" si="0"/>
        <v>1541501</v>
      </c>
      <c r="Q29" s="657"/>
    </row>
    <row r="30" spans="1:18" s="659" customFormat="1">
      <c r="A30" s="652">
        <v>373</v>
      </c>
      <c r="B30" s="653">
        <v>1446129</v>
      </c>
      <c r="C30" s="434">
        <v>27222</v>
      </c>
      <c r="D30" s="434">
        <v>0</v>
      </c>
      <c r="E30" s="434">
        <v>-2667</v>
      </c>
      <c r="F30" s="435">
        <v>0</v>
      </c>
      <c r="G30" s="503">
        <f t="shared" si="1"/>
        <v>1470684</v>
      </c>
      <c r="H30" s="655">
        <f t="shared" si="2"/>
        <v>373</v>
      </c>
      <c r="I30" s="653">
        <v>1054775</v>
      </c>
      <c r="J30" s="434">
        <v>-2667</v>
      </c>
      <c r="K30" s="434">
        <f>71408-1</f>
        <v>71407</v>
      </c>
      <c r="L30" s="434">
        <v>0</v>
      </c>
      <c r="M30" s="434">
        <v>-2975</v>
      </c>
      <c r="N30" s="434">
        <v>0</v>
      </c>
      <c r="O30" s="434">
        <v>0</v>
      </c>
      <c r="P30" s="656">
        <f t="shared" si="0"/>
        <v>1120540</v>
      </c>
      <c r="Q30" s="657"/>
    </row>
    <row r="31" spans="1:18" s="659" customFormat="1">
      <c r="A31" s="652">
        <v>380</v>
      </c>
      <c r="B31" s="653">
        <v>320005</v>
      </c>
      <c r="C31" s="434">
        <v>0</v>
      </c>
      <c r="D31" s="434">
        <v>0</v>
      </c>
      <c r="E31" s="434">
        <v>0</v>
      </c>
      <c r="F31" s="435">
        <v>0</v>
      </c>
      <c r="G31" s="503">
        <f t="shared" si="1"/>
        <v>320005</v>
      </c>
      <c r="H31" s="655">
        <f t="shared" si="2"/>
        <v>380</v>
      </c>
      <c r="I31" s="653">
        <v>0</v>
      </c>
      <c r="J31" s="434">
        <v>0</v>
      </c>
      <c r="K31" s="434">
        <v>0</v>
      </c>
      <c r="L31" s="434">
        <v>0</v>
      </c>
      <c r="M31" s="434">
        <v>0</v>
      </c>
      <c r="N31" s="434">
        <v>0</v>
      </c>
      <c r="O31" s="434">
        <v>0</v>
      </c>
      <c r="P31" s="656">
        <f t="shared" si="0"/>
        <v>0</v>
      </c>
      <c r="Q31" s="657"/>
    </row>
    <row r="32" spans="1:18" s="659" customFormat="1">
      <c r="A32" s="652">
        <v>389</v>
      </c>
      <c r="B32" s="653">
        <v>896881</v>
      </c>
      <c r="C32" s="434">
        <v>0</v>
      </c>
      <c r="D32" s="434">
        <v>0</v>
      </c>
      <c r="E32" s="434">
        <v>-32725</v>
      </c>
      <c r="F32" s="435">
        <v>0</v>
      </c>
      <c r="G32" s="503">
        <f t="shared" si="1"/>
        <v>864156</v>
      </c>
      <c r="H32" s="655">
        <f t="shared" si="2"/>
        <v>389</v>
      </c>
      <c r="I32" s="653">
        <v>6704</v>
      </c>
      <c r="J32" s="434">
        <v>0</v>
      </c>
      <c r="K32" s="434">
        <v>0</v>
      </c>
      <c r="L32" s="434">
        <v>0</v>
      </c>
      <c r="M32" s="434">
        <v>0</v>
      </c>
      <c r="N32" s="434">
        <v>0</v>
      </c>
      <c r="O32" s="434">
        <v>0</v>
      </c>
      <c r="P32" s="656">
        <f t="shared" si="0"/>
        <v>6704</v>
      </c>
      <c r="Q32" s="657"/>
    </row>
    <row r="33" spans="1:17" s="659" customFormat="1">
      <c r="A33" s="652">
        <v>390</v>
      </c>
      <c r="B33" s="653">
        <v>4490064</v>
      </c>
      <c r="C33" s="434">
        <v>0</v>
      </c>
      <c r="D33" s="434">
        <v>0</v>
      </c>
      <c r="E33" s="434">
        <v>-479780</v>
      </c>
      <c r="F33" s="435">
        <v>0</v>
      </c>
      <c r="G33" s="503">
        <f t="shared" si="1"/>
        <v>4010284</v>
      </c>
      <c r="H33" s="655">
        <f t="shared" si="2"/>
        <v>390</v>
      </c>
      <c r="I33" s="653">
        <v>748472</v>
      </c>
      <c r="J33" s="434">
        <v>-479780</v>
      </c>
      <c r="K33" s="434">
        <f>82605-1</f>
        <v>82604</v>
      </c>
      <c r="L33" s="434">
        <v>340265</v>
      </c>
      <c r="M33" s="434">
        <v>-2500</v>
      </c>
      <c r="N33" s="434">
        <v>0</v>
      </c>
      <c r="O33" s="434">
        <v>0</v>
      </c>
      <c r="P33" s="660">
        <f t="shared" si="0"/>
        <v>689061</v>
      </c>
      <c r="Q33" s="657"/>
    </row>
    <row r="34" spans="1:17" s="659" customFormat="1">
      <c r="A34" s="652">
        <v>3910</v>
      </c>
      <c r="B34" s="653">
        <v>381381</v>
      </c>
      <c r="C34" s="434">
        <v>0</v>
      </c>
      <c r="D34" s="434">
        <v>0</v>
      </c>
      <c r="E34" s="434">
        <v>0</v>
      </c>
      <c r="F34" s="435">
        <v>0</v>
      </c>
      <c r="G34" s="503">
        <f t="shared" si="1"/>
        <v>381381</v>
      </c>
      <c r="H34" s="655">
        <f t="shared" si="2"/>
        <v>3910</v>
      </c>
      <c r="I34" s="662">
        <f>60188+31498</f>
        <v>91686</v>
      </c>
      <c r="J34" s="434">
        <v>0</v>
      </c>
      <c r="K34" s="663">
        <f>15258+36793</f>
        <v>52051</v>
      </c>
      <c r="L34" s="434">
        <v>0</v>
      </c>
      <c r="M34" s="434">
        <v>0</v>
      </c>
      <c r="N34" s="434">
        <v>0</v>
      </c>
      <c r="O34" s="434">
        <v>0</v>
      </c>
      <c r="P34" s="656">
        <f t="shared" si="0"/>
        <v>143737</v>
      </c>
      <c r="Q34" s="657"/>
    </row>
    <row r="35" spans="1:17" s="659" customFormat="1">
      <c r="A35" s="652">
        <v>3911</v>
      </c>
      <c r="B35" s="653">
        <v>10900</v>
      </c>
      <c r="C35" s="434">
        <v>0</v>
      </c>
      <c r="D35" s="434">
        <v>0</v>
      </c>
      <c r="E35" s="434">
        <v>0</v>
      </c>
      <c r="F35" s="435">
        <v>0</v>
      </c>
      <c r="G35" s="503">
        <f t="shared" si="1"/>
        <v>10900</v>
      </c>
      <c r="H35" s="655">
        <f t="shared" si="2"/>
        <v>3911</v>
      </c>
      <c r="I35" s="662">
        <v>0</v>
      </c>
      <c r="J35" s="434">
        <v>0</v>
      </c>
      <c r="K35" s="663">
        <v>3114.4</v>
      </c>
      <c r="L35" s="434">
        <v>0</v>
      </c>
      <c r="M35" s="434">
        <v>0</v>
      </c>
      <c r="N35" s="434">
        <v>0</v>
      </c>
      <c r="O35" s="434">
        <v>0</v>
      </c>
      <c r="P35" s="656">
        <f t="shared" si="0"/>
        <v>3114.4</v>
      </c>
      <c r="Q35" s="657"/>
    </row>
    <row r="36" spans="1:17" s="659" customFormat="1">
      <c r="A36" s="652">
        <v>3912</v>
      </c>
      <c r="B36" s="653">
        <v>267818</v>
      </c>
      <c r="C36" s="434">
        <v>0</v>
      </c>
      <c r="D36" s="434">
        <v>0</v>
      </c>
      <c r="E36" s="434">
        <v>0</v>
      </c>
      <c r="F36" s="435">
        <v>0</v>
      </c>
      <c r="G36" s="503">
        <f t="shared" si="1"/>
        <v>267818</v>
      </c>
      <c r="H36" s="655">
        <f t="shared" si="2"/>
        <v>3912</v>
      </c>
      <c r="I36" s="653">
        <v>245498</v>
      </c>
      <c r="J36" s="434">
        <v>0</v>
      </c>
      <c r="K36" s="434">
        <v>14700</v>
      </c>
      <c r="L36" s="434">
        <v>0</v>
      </c>
      <c r="M36" s="434">
        <v>0</v>
      </c>
      <c r="N36" s="434">
        <v>0</v>
      </c>
      <c r="O36" s="434">
        <v>0</v>
      </c>
      <c r="P36" s="656">
        <f t="shared" si="0"/>
        <v>260198</v>
      </c>
      <c r="Q36" s="657"/>
    </row>
    <row r="37" spans="1:17" s="659" customFormat="1">
      <c r="A37" s="652">
        <v>3913</v>
      </c>
      <c r="B37" s="653">
        <v>6997</v>
      </c>
      <c r="C37" s="434">
        <v>0</v>
      </c>
      <c r="D37" s="434">
        <v>0</v>
      </c>
      <c r="E37" s="434">
        <v>0</v>
      </c>
      <c r="F37" s="435">
        <v>0</v>
      </c>
      <c r="G37" s="503">
        <f t="shared" si="1"/>
        <v>6997</v>
      </c>
      <c r="H37" s="655">
        <f t="shared" si="2"/>
        <v>3913</v>
      </c>
      <c r="I37" s="653">
        <v>5282</v>
      </c>
      <c r="J37" s="434">
        <v>0</v>
      </c>
      <c r="K37" s="434">
        <v>343</v>
      </c>
      <c r="L37" s="434">
        <v>0</v>
      </c>
      <c r="M37" s="434">
        <v>0</v>
      </c>
      <c r="N37" s="434">
        <v>0</v>
      </c>
      <c r="O37" s="434">
        <v>0</v>
      </c>
      <c r="P37" s="656">
        <f t="shared" si="0"/>
        <v>5625</v>
      </c>
      <c r="Q37" s="657"/>
    </row>
    <row r="38" spans="1:17" s="659" customFormat="1">
      <c r="A38" s="652">
        <v>3914</v>
      </c>
      <c r="B38" s="653">
        <v>1057413</v>
      </c>
      <c r="C38" s="434">
        <v>66062</v>
      </c>
      <c r="D38" s="434">
        <v>0</v>
      </c>
      <c r="E38" s="434">
        <v>0</v>
      </c>
      <c r="F38" s="435">
        <v>0</v>
      </c>
      <c r="G38" s="503">
        <f t="shared" si="1"/>
        <v>1123475</v>
      </c>
      <c r="H38" s="655">
        <f t="shared" si="2"/>
        <v>3914</v>
      </c>
      <c r="I38" s="653">
        <v>1007416</v>
      </c>
      <c r="J38" s="434">
        <v>0</v>
      </c>
      <c r="K38" s="434">
        <v>11929</v>
      </c>
      <c r="L38" s="434">
        <v>0</v>
      </c>
      <c r="M38" s="434">
        <v>0</v>
      </c>
      <c r="N38" s="434">
        <v>0</v>
      </c>
      <c r="O38" s="434">
        <v>0</v>
      </c>
      <c r="P38" s="656">
        <f t="shared" si="0"/>
        <v>1019345</v>
      </c>
      <c r="Q38" s="657"/>
    </row>
    <row r="39" spans="1:17" s="659" customFormat="1">
      <c r="A39" s="652">
        <v>3921</v>
      </c>
      <c r="B39" s="653">
        <v>101665</v>
      </c>
      <c r="C39" s="434">
        <v>-65665</v>
      </c>
      <c r="D39" s="434">
        <v>16000</v>
      </c>
      <c r="E39" s="434">
        <v>-35281</v>
      </c>
      <c r="F39" s="434">
        <v>23233</v>
      </c>
      <c r="G39" s="503">
        <f t="shared" si="1"/>
        <v>39952</v>
      </c>
      <c r="H39" s="655">
        <f t="shared" si="2"/>
        <v>3921</v>
      </c>
      <c r="I39" s="653">
        <v>5515</v>
      </c>
      <c r="J39" s="434">
        <v>-35281</v>
      </c>
      <c r="K39" s="434">
        <f>8450-1</f>
        <v>8449</v>
      </c>
      <c r="L39" s="434">
        <v>16000</v>
      </c>
      <c r="M39" s="434">
        <v>0</v>
      </c>
      <c r="N39" s="434">
        <v>0</v>
      </c>
      <c r="O39" s="434">
        <v>0</v>
      </c>
      <c r="P39" s="656">
        <f t="shared" si="0"/>
        <v>-5317</v>
      </c>
      <c r="Q39" s="657"/>
    </row>
    <row r="40" spans="1:17" s="659" customFormat="1">
      <c r="A40" s="652">
        <v>3922</v>
      </c>
      <c r="B40" s="653">
        <v>909409</v>
      </c>
      <c r="C40" s="434">
        <v>66281</v>
      </c>
      <c r="D40" s="434">
        <v>0</v>
      </c>
      <c r="E40" s="434">
        <v>0</v>
      </c>
      <c r="F40" s="434">
        <v>-23233</v>
      </c>
      <c r="G40" s="503">
        <f t="shared" si="1"/>
        <v>952457</v>
      </c>
      <c r="H40" s="655">
        <f t="shared" si="2"/>
        <v>3922</v>
      </c>
      <c r="I40" s="653">
        <v>485524</v>
      </c>
      <c r="J40" s="434">
        <v>0</v>
      </c>
      <c r="K40" s="434">
        <v>103612</v>
      </c>
      <c r="L40" s="434">
        <v>0</v>
      </c>
      <c r="M40" s="434">
        <v>0</v>
      </c>
      <c r="N40" s="434">
        <v>0</v>
      </c>
      <c r="O40" s="434">
        <v>0</v>
      </c>
      <c r="P40" s="656">
        <f t="shared" si="0"/>
        <v>589136</v>
      </c>
      <c r="Q40" s="657"/>
    </row>
    <row r="41" spans="1:17">
      <c r="A41" s="652">
        <v>3923</v>
      </c>
      <c r="B41" s="664">
        <v>3534619</v>
      </c>
      <c r="C41" s="434">
        <v>0</v>
      </c>
      <c r="D41" s="434">
        <v>0</v>
      </c>
      <c r="E41" s="434">
        <v>0</v>
      </c>
      <c r="F41" s="434">
        <v>0</v>
      </c>
      <c r="G41" s="503">
        <f t="shared" si="1"/>
        <v>3534619</v>
      </c>
      <c r="H41" s="655">
        <f t="shared" si="2"/>
        <v>3923</v>
      </c>
      <c r="I41" s="664">
        <v>1600669</v>
      </c>
      <c r="J41" s="434">
        <v>0</v>
      </c>
      <c r="K41" s="434">
        <v>212930</v>
      </c>
      <c r="L41" s="434">
        <v>0</v>
      </c>
      <c r="M41" s="434">
        <v>0</v>
      </c>
      <c r="N41" s="434">
        <v>0</v>
      </c>
      <c r="O41" s="434">
        <v>0</v>
      </c>
      <c r="P41" s="656">
        <f t="shared" si="0"/>
        <v>1813599</v>
      </c>
      <c r="Q41" s="657"/>
    </row>
    <row r="42" spans="1:17">
      <c r="A42" s="665">
        <v>3924</v>
      </c>
      <c r="B42" s="664">
        <v>144084</v>
      </c>
      <c r="C42" s="434">
        <v>0</v>
      </c>
      <c r="D42" s="434">
        <v>0</v>
      </c>
      <c r="E42" s="434">
        <v>0</v>
      </c>
      <c r="F42" s="434">
        <v>0</v>
      </c>
      <c r="G42" s="503">
        <f t="shared" si="1"/>
        <v>144084</v>
      </c>
      <c r="H42" s="655">
        <f t="shared" si="2"/>
        <v>3924</v>
      </c>
      <c r="I42" s="664">
        <v>61304</v>
      </c>
      <c r="J42" s="434">
        <v>0</v>
      </c>
      <c r="K42" s="434">
        <v>5873</v>
      </c>
      <c r="L42" s="434">
        <v>0</v>
      </c>
      <c r="M42" s="434">
        <v>0</v>
      </c>
      <c r="N42" s="434">
        <v>0</v>
      </c>
      <c r="O42" s="434">
        <v>0</v>
      </c>
      <c r="P42" s="656">
        <f t="shared" si="0"/>
        <v>67177</v>
      </c>
      <c r="Q42" s="657"/>
    </row>
    <row r="43" spans="1:17">
      <c r="A43" s="665">
        <v>393</v>
      </c>
      <c r="B43" s="653">
        <v>149712</v>
      </c>
      <c r="C43" s="434">
        <v>0</v>
      </c>
      <c r="D43" s="434">
        <v>0</v>
      </c>
      <c r="E43" s="444">
        <v>0</v>
      </c>
      <c r="F43" s="444">
        <v>0</v>
      </c>
      <c r="G43" s="503">
        <f t="shared" si="1"/>
        <v>149712</v>
      </c>
      <c r="H43" s="655">
        <f t="shared" si="2"/>
        <v>393</v>
      </c>
      <c r="I43" s="653">
        <v>128546</v>
      </c>
      <c r="J43" s="434">
        <v>0</v>
      </c>
      <c r="K43" s="434">
        <v>6305</v>
      </c>
      <c r="L43" s="434">
        <v>0</v>
      </c>
      <c r="M43" s="434">
        <v>0</v>
      </c>
      <c r="N43" s="434">
        <v>0</v>
      </c>
      <c r="O43" s="434">
        <v>0</v>
      </c>
      <c r="P43" s="666">
        <f t="shared" si="0"/>
        <v>134851</v>
      </c>
      <c r="Q43" s="657"/>
    </row>
    <row r="44" spans="1:17" s="659" customFormat="1">
      <c r="A44" s="443">
        <v>394</v>
      </c>
      <c r="B44" s="653">
        <v>355633</v>
      </c>
      <c r="C44" s="434">
        <v>17440</v>
      </c>
      <c r="D44" s="434">
        <v>0</v>
      </c>
      <c r="E44" s="434">
        <v>0</v>
      </c>
      <c r="F44" s="435">
        <v>0</v>
      </c>
      <c r="G44" s="503">
        <f t="shared" si="1"/>
        <v>373073</v>
      </c>
      <c r="H44" s="655">
        <f t="shared" si="2"/>
        <v>394</v>
      </c>
      <c r="I44" s="653">
        <v>205416</v>
      </c>
      <c r="J44" s="434">
        <v>0</v>
      </c>
      <c r="K44" s="434">
        <v>31630</v>
      </c>
      <c r="L44" s="434">
        <v>0</v>
      </c>
      <c r="M44" s="434">
        <v>0</v>
      </c>
      <c r="N44" s="434">
        <v>0</v>
      </c>
      <c r="O44" s="434">
        <v>0</v>
      </c>
      <c r="P44" s="656">
        <f t="shared" si="0"/>
        <v>237046</v>
      </c>
      <c r="Q44" s="657"/>
    </row>
    <row r="45" spans="1:17" s="659" customFormat="1">
      <c r="A45" s="652">
        <v>395</v>
      </c>
      <c r="B45" s="653">
        <v>119512</v>
      </c>
      <c r="C45" s="434">
        <v>0</v>
      </c>
      <c r="D45" s="434">
        <v>0</v>
      </c>
      <c r="E45" s="434">
        <v>0</v>
      </c>
      <c r="F45" s="435">
        <v>0</v>
      </c>
      <c r="G45" s="503">
        <f t="shared" si="1"/>
        <v>119512</v>
      </c>
      <c r="H45" s="655">
        <f t="shared" si="2"/>
        <v>395</v>
      </c>
      <c r="I45" s="653">
        <v>91272</v>
      </c>
      <c r="J45" s="434">
        <v>0</v>
      </c>
      <c r="K45" s="434">
        <f>7019-1</f>
        <v>7018</v>
      </c>
      <c r="L45" s="434">
        <v>0</v>
      </c>
      <c r="M45" s="434">
        <v>0</v>
      </c>
      <c r="N45" s="434">
        <v>0</v>
      </c>
      <c r="O45" s="434">
        <v>0</v>
      </c>
      <c r="P45" s="656">
        <f t="shared" si="0"/>
        <v>98290</v>
      </c>
      <c r="Q45" s="657"/>
    </row>
    <row r="46" spans="1:17" s="659" customFormat="1">
      <c r="A46" s="652">
        <v>396</v>
      </c>
      <c r="B46" s="653">
        <v>302981</v>
      </c>
      <c r="C46" s="434">
        <v>0</v>
      </c>
      <c r="D46" s="434">
        <v>0</v>
      </c>
      <c r="E46" s="434">
        <v>0</v>
      </c>
      <c r="F46" s="435">
        <v>0</v>
      </c>
      <c r="G46" s="503">
        <f t="shared" si="1"/>
        <v>302981</v>
      </c>
      <c r="H46" s="655">
        <f t="shared" si="2"/>
        <v>396</v>
      </c>
      <c r="I46" s="653">
        <f>191566</f>
        <v>191566</v>
      </c>
      <c r="J46" s="434">
        <v>0</v>
      </c>
      <c r="K46" s="434">
        <v>15436</v>
      </c>
      <c r="L46" s="434">
        <v>0</v>
      </c>
      <c r="M46" s="434">
        <v>0</v>
      </c>
      <c r="N46" s="434">
        <v>0</v>
      </c>
      <c r="O46" s="434">
        <v>0</v>
      </c>
      <c r="P46" s="656">
        <f t="shared" si="0"/>
        <v>207002</v>
      </c>
      <c r="Q46" s="657"/>
    </row>
    <row r="47" spans="1:17" s="659" customFormat="1">
      <c r="A47" s="652">
        <v>397</v>
      </c>
      <c r="B47" s="653">
        <v>366628</v>
      </c>
      <c r="C47" s="434">
        <v>0</v>
      </c>
      <c r="D47" s="434">
        <v>0</v>
      </c>
      <c r="E47" s="434">
        <v>0</v>
      </c>
      <c r="F47" s="435">
        <v>0</v>
      </c>
      <c r="G47" s="503">
        <f t="shared" si="1"/>
        <v>366628</v>
      </c>
      <c r="H47" s="655">
        <f t="shared" si="2"/>
        <v>397</v>
      </c>
      <c r="I47" s="653">
        <v>240652</v>
      </c>
      <c r="J47" s="434">
        <v>0</v>
      </c>
      <c r="K47" s="434">
        <f>32720-1</f>
        <v>32719</v>
      </c>
      <c r="L47" s="434">
        <v>0</v>
      </c>
      <c r="M47" s="434">
        <v>0</v>
      </c>
      <c r="N47" s="434">
        <v>0</v>
      </c>
      <c r="O47" s="434">
        <v>0</v>
      </c>
      <c r="P47" s="660">
        <f t="shared" si="0"/>
        <v>273371</v>
      </c>
      <c r="Q47" s="657"/>
    </row>
    <row r="48" spans="1:17" s="659" customFormat="1">
      <c r="A48" s="652">
        <v>398</v>
      </c>
      <c r="B48" s="653">
        <v>56868</v>
      </c>
      <c r="C48" s="434">
        <v>0</v>
      </c>
      <c r="D48" s="434">
        <v>0</v>
      </c>
      <c r="E48" s="434">
        <v>0</v>
      </c>
      <c r="F48" s="435">
        <v>0</v>
      </c>
      <c r="G48" s="503">
        <f t="shared" si="1"/>
        <v>56868</v>
      </c>
      <c r="H48" s="655">
        <f t="shared" si="2"/>
        <v>398</v>
      </c>
      <c r="I48" s="653">
        <v>21708</v>
      </c>
      <c r="J48" s="434">
        <v>0</v>
      </c>
      <c r="K48" s="434">
        <v>5790</v>
      </c>
      <c r="L48" s="434">
        <v>0</v>
      </c>
      <c r="M48" s="434">
        <v>0</v>
      </c>
      <c r="N48" s="434">
        <v>0</v>
      </c>
      <c r="O48" s="434">
        <v>0</v>
      </c>
      <c r="P48" s="656">
        <f>SUM(I48:O48)</f>
        <v>27498</v>
      </c>
      <c r="Q48" s="657"/>
    </row>
    <row r="49" spans="1:17" s="659" customFormat="1">
      <c r="A49" s="652">
        <v>399</v>
      </c>
      <c r="B49" s="653">
        <v>10000</v>
      </c>
      <c r="C49" s="434">
        <v>0</v>
      </c>
      <c r="D49" s="434">
        <v>0</v>
      </c>
      <c r="E49" s="434">
        <v>0</v>
      </c>
      <c r="F49" s="435">
        <v>0</v>
      </c>
      <c r="G49" s="503">
        <f t="shared" si="1"/>
        <v>10000</v>
      </c>
      <c r="H49" s="655">
        <f t="shared" si="2"/>
        <v>399</v>
      </c>
      <c r="I49" s="653">
        <v>10000</v>
      </c>
      <c r="J49" s="434">
        <v>0</v>
      </c>
      <c r="K49" s="434">
        <v>0</v>
      </c>
      <c r="L49" s="434">
        <v>0</v>
      </c>
      <c r="M49" s="434">
        <v>0</v>
      </c>
      <c r="N49" s="434">
        <v>0</v>
      </c>
      <c r="O49" s="434">
        <v>0</v>
      </c>
      <c r="P49" s="656">
        <f t="shared" si="0"/>
        <v>10000</v>
      </c>
      <c r="Q49" s="657"/>
    </row>
    <row r="50" spans="1:17" ht="13.5" thickBot="1">
      <c r="A50" s="667" t="s">
        <v>98</v>
      </c>
      <c r="B50" s="668">
        <f t="shared" ref="B50:G50" si="3">SUM(B9:B49)</f>
        <v>110195060</v>
      </c>
      <c r="C50" s="668">
        <f t="shared" si="3"/>
        <v>2785286</v>
      </c>
      <c r="D50" s="668">
        <f t="shared" si="3"/>
        <v>16000</v>
      </c>
      <c r="E50" s="668">
        <f t="shared" si="3"/>
        <v>-900026</v>
      </c>
      <c r="F50" s="668">
        <f t="shared" si="3"/>
        <v>0</v>
      </c>
      <c r="G50" s="669">
        <f t="shared" si="3"/>
        <v>112096320</v>
      </c>
      <c r="H50" s="670"/>
      <c r="I50" s="668">
        <f t="shared" ref="I50:O50" si="4">SUM(I9:I49)</f>
        <v>53441893</v>
      </c>
      <c r="J50" s="668">
        <f t="shared" si="4"/>
        <v>-867301</v>
      </c>
      <c r="K50" s="668">
        <f t="shared" si="4"/>
        <v>3972045.4</v>
      </c>
      <c r="L50" s="668">
        <f t="shared" si="4"/>
        <v>370775</v>
      </c>
      <c r="M50" s="668">
        <f t="shared" si="4"/>
        <v>-329651</v>
      </c>
      <c r="N50" s="668">
        <f t="shared" si="4"/>
        <v>0</v>
      </c>
      <c r="O50" s="668">
        <f t="shared" si="4"/>
        <v>0</v>
      </c>
      <c r="P50" s="671">
        <f>SUM(P9:P49)</f>
        <v>56587761.399999999</v>
      </c>
    </row>
    <row r="51" spans="1:17" ht="13.5" thickTop="1">
      <c r="E51" s="637"/>
      <c r="G51" s="642"/>
      <c r="P51" s="673"/>
    </row>
    <row r="52" spans="1:17">
      <c r="B52" s="653"/>
      <c r="C52" s="674"/>
      <c r="D52" s="434"/>
      <c r="E52" s="675"/>
      <c r="G52" s="676"/>
    </row>
    <row r="53" spans="1:17">
      <c r="E53" s="674"/>
    </row>
  </sheetData>
  <mergeCells count="5">
    <mergeCell ref="A1:P1"/>
    <mergeCell ref="A2:P2"/>
    <mergeCell ref="A3:P3"/>
    <mergeCell ref="A4:P4"/>
    <mergeCell ref="A6:G6"/>
  </mergeCells>
  <printOptions horizontalCentered="1"/>
  <pageMargins left="0.5" right="0.5" top="0.5" bottom="0.75" header="0.3" footer="0.3"/>
  <pageSetup scale="7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50"/>
    <pageSetUpPr fitToPage="1"/>
  </sheetPr>
  <dimension ref="A1:R31"/>
  <sheetViews>
    <sheetView topLeftCell="A13" workbookViewId="0">
      <selection sqref="A1:XFD3"/>
    </sheetView>
  </sheetViews>
  <sheetFormatPr defaultColWidth="8.7109375" defaultRowHeight="15"/>
  <cols>
    <col min="1" max="1" width="10.42578125" style="681" bestFit="1" customWidth="1"/>
    <col min="2" max="2" width="13.7109375" style="681" bestFit="1" customWidth="1"/>
    <col min="3" max="3" width="11.7109375" style="478" bestFit="1" customWidth="1"/>
    <col min="4" max="4" width="8.7109375" style="681" bestFit="1" customWidth="1"/>
    <col min="5" max="5" width="9.7109375" style="480" bestFit="1" customWidth="1"/>
    <col min="6" max="6" width="61.42578125" style="701" customWidth="1"/>
    <col min="7" max="7" width="8.7109375" style="681"/>
    <col min="8" max="8" width="10.42578125" style="681" bestFit="1" customWidth="1"/>
    <col min="9" max="16384" width="8.7109375" style="681"/>
  </cols>
  <sheetData>
    <row r="1" spans="1:18" s="457" customFormat="1" ht="18">
      <c r="A1" s="766" t="s">
        <v>105</v>
      </c>
      <c r="B1" s="766"/>
      <c r="C1" s="766"/>
      <c r="D1" s="766"/>
      <c r="E1" s="766"/>
      <c r="F1" s="766"/>
      <c r="G1" s="456"/>
      <c r="H1" s="456"/>
      <c r="I1" s="456"/>
      <c r="J1" s="456"/>
      <c r="K1" s="456"/>
      <c r="L1" s="456"/>
      <c r="M1" s="456"/>
      <c r="N1" s="456"/>
      <c r="O1" s="456"/>
      <c r="P1" s="456"/>
      <c r="Q1" s="456"/>
      <c r="R1" s="456"/>
    </row>
    <row r="2" spans="1:18" s="459" customFormat="1">
      <c r="A2" s="767" t="s">
        <v>271</v>
      </c>
      <c r="B2" s="767"/>
      <c r="C2" s="767"/>
      <c r="D2" s="767"/>
      <c r="E2" s="767"/>
      <c r="F2" s="767"/>
      <c r="G2" s="458"/>
      <c r="H2" s="458"/>
      <c r="I2" s="458"/>
      <c r="J2" s="458"/>
      <c r="K2" s="458"/>
      <c r="L2" s="458"/>
      <c r="M2" s="458"/>
      <c r="N2" s="458"/>
      <c r="O2" s="458"/>
      <c r="P2" s="458"/>
      <c r="Q2" s="458"/>
      <c r="R2" s="458"/>
    </row>
    <row r="3" spans="1:18" s="459" customFormat="1" ht="15.75">
      <c r="A3" s="768" t="s">
        <v>194</v>
      </c>
      <c r="B3" s="768"/>
      <c r="C3" s="768"/>
      <c r="D3" s="768"/>
      <c r="E3" s="768"/>
      <c r="F3" s="768"/>
      <c r="G3" s="460"/>
      <c r="H3" s="460"/>
      <c r="I3" s="460"/>
      <c r="J3" s="460"/>
      <c r="K3" s="460"/>
      <c r="L3" s="460"/>
      <c r="M3" s="460"/>
      <c r="N3" s="460"/>
      <c r="O3" s="460"/>
      <c r="P3" s="460"/>
      <c r="Q3" s="460"/>
      <c r="R3" s="460"/>
    </row>
    <row r="4" spans="1:18" s="464" customFormat="1" ht="13.5" thickBot="1">
      <c r="A4" s="461"/>
      <c r="B4" s="462"/>
      <c r="C4" s="462"/>
      <c r="D4" s="462"/>
      <c r="E4" s="463"/>
      <c r="F4" s="462"/>
      <c r="G4" s="462"/>
      <c r="H4" s="462"/>
      <c r="I4" s="462"/>
      <c r="J4" s="462"/>
      <c r="K4" s="462"/>
      <c r="L4" s="462"/>
      <c r="M4" s="462"/>
      <c r="N4" s="462"/>
      <c r="O4" s="462"/>
      <c r="P4" s="462"/>
      <c r="Q4" s="462"/>
      <c r="R4" s="462"/>
    </row>
    <row r="5" spans="1:18" s="469" customFormat="1" ht="26.25" thickBot="1">
      <c r="A5" s="519" t="s">
        <v>124</v>
      </c>
      <c r="B5" s="520" t="s">
        <v>125</v>
      </c>
      <c r="C5" s="520" t="s">
        <v>126</v>
      </c>
      <c r="D5" s="520" t="s">
        <v>127</v>
      </c>
      <c r="E5" s="521" t="s">
        <v>128</v>
      </c>
      <c r="F5" s="522" t="s">
        <v>129</v>
      </c>
    </row>
    <row r="6" spans="1:18" ht="26.25">
      <c r="A6" s="677" t="s">
        <v>195</v>
      </c>
      <c r="B6" s="678" t="s">
        <v>131</v>
      </c>
      <c r="C6" s="678" t="s">
        <v>116</v>
      </c>
      <c r="D6" s="679">
        <v>371</v>
      </c>
      <c r="E6" s="526">
        <f>+'Sch. F 2015'!C29</f>
        <v>156698</v>
      </c>
      <c r="F6" s="680" t="s">
        <v>196</v>
      </c>
    </row>
    <row r="7" spans="1:18" ht="26.25">
      <c r="A7" s="682" t="s">
        <v>195</v>
      </c>
      <c r="B7" s="683" t="s">
        <v>131</v>
      </c>
      <c r="C7" s="683" t="s">
        <v>116</v>
      </c>
      <c r="D7" s="684">
        <v>3910</v>
      </c>
      <c r="E7" s="474">
        <f>+'Sch. F 2015'!C34</f>
        <v>0</v>
      </c>
      <c r="F7" s="685" t="s">
        <v>197</v>
      </c>
    </row>
    <row r="8" spans="1:18" ht="26.25">
      <c r="A8" s="682" t="s">
        <v>195</v>
      </c>
      <c r="B8" s="683" t="s">
        <v>131</v>
      </c>
      <c r="C8" s="683" t="s">
        <v>116</v>
      </c>
      <c r="D8" s="684">
        <v>3914</v>
      </c>
      <c r="E8" s="474">
        <f>+'Sch. F 2015'!C38</f>
        <v>66062</v>
      </c>
      <c r="F8" s="686" t="s">
        <v>198</v>
      </c>
    </row>
    <row r="9" spans="1:18" ht="51.75">
      <c r="A9" s="682" t="s">
        <v>195</v>
      </c>
      <c r="B9" s="683" t="s">
        <v>131</v>
      </c>
      <c r="C9" s="683" t="s">
        <v>116</v>
      </c>
      <c r="D9" s="684">
        <v>3921</v>
      </c>
      <c r="E9" s="474">
        <f>+'Sch. F 2015'!C39</f>
        <v>-65665</v>
      </c>
      <c r="F9" s="686" t="s">
        <v>199</v>
      </c>
    </row>
    <row r="10" spans="1:18" ht="64.5">
      <c r="A10" s="682" t="s">
        <v>195</v>
      </c>
      <c r="B10" s="683" t="s">
        <v>131</v>
      </c>
      <c r="C10" s="683" t="s">
        <v>117</v>
      </c>
      <c r="D10" s="684">
        <v>3921</v>
      </c>
      <c r="E10" s="474">
        <f>+'Sch. F 2015'!D39</f>
        <v>16000</v>
      </c>
      <c r="F10" s="686" t="s">
        <v>200</v>
      </c>
    </row>
    <row r="11" spans="1:18" ht="51.75">
      <c r="A11" s="682" t="s">
        <v>195</v>
      </c>
      <c r="B11" s="683" t="s">
        <v>131</v>
      </c>
      <c r="C11" s="683" t="s">
        <v>117</v>
      </c>
      <c r="D11" s="684">
        <v>3922</v>
      </c>
      <c r="E11" s="474">
        <f>+'Sch. F 2015'!D40</f>
        <v>0</v>
      </c>
      <c r="F11" s="686" t="s">
        <v>201</v>
      </c>
    </row>
    <row r="12" spans="1:18" ht="26.25">
      <c r="A12" s="682" t="s">
        <v>195</v>
      </c>
      <c r="B12" s="683" t="s">
        <v>131</v>
      </c>
      <c r="C12" s="683" t="s">
        <v>118</v>
      </c>
      <c r="D12" s="684">
        <v>371</v>
      </c>
      <c r="E12" s="474">
        <f>+'Sch. F 2015'!E29</f>
        <v>-21388</v>
      </c>
      <c r="F12" s="686" t="s">
        <v>202</v>
      </c>
    </row>
    <row r="13" spans="1:18" ht="12.75">
      <c r="A13" s="682" t="s">
        <v>195</v>
      </c>
      <c r="B13" s="683" t="s">
        <v>131</v>
      </c>
      <c r="C13" s="683" t="s">
        <v>149</v>
      </c>
      <c r="D13" s="684">
        <v>3921</v>
      </c>
      <c r="E13" s="687">
        <f>+'Sch. F 2015'!F39</f>
        <v>23233</v>
      </c>
      <c r="F13" s="686" t="s">
        <v>203</v>
      </c>
    </row>
    <row r="14" spans="1:18" ht="12.75">
      <c r="A14" s="682" t="s">
        <v>195</v>
      </c>
      <c r="B14" s="683" t="s">
        <v>131</v>
      </c>
      <c r="C14" s="683" t="s">
        <v>149</v>
      </c>
      <c r="D14" s="684">
        <v>3922</v>
      </c>
      <c r="E14" s="687">
        <f>+'Sch. F 2015'!F40</f>
        <v>-23233</v>
      </c>
      <c r="F14" s="686" t="s">
        <v>203</v>
      </c>
    </row>
    <row r="15" spans="1:18" ht="26.25">
      <c r="A15" s="688" t="s">
        <v>195</v>
      </c>
      <c r="B15" s="689" t="s">
        <v>137</v>
      </c>
      <c r="C15" s="690" t="s">
        <v>204</v>
      </c>
      <c r="D15" s="691">
        <v>3910</v>
      </c>
      <c r="E15" s="692">
        <f>'Sch. F 2015'!I34</f>
        <v>91686</v>
      </c>
      <c r="F15" s="693" t="s">
        <v>205</v>
      </c>
    </row>
    <row r="16" spans="1:18" ht="26.25">
      <c r="A16" s="694" t="s">
        <v>195</v>
      </c>
      <c r="B16" s="690" t="s">
        <v>137</v>
      </c>
      <c r="C16" s="690" t="s">
        <v>204</v>
      </c>
      <c r="D16" s="691">
        <v>3911</v>
      </c>
      <c r="E16" s="692">
        <f>'Sch. F 2015'!I35</f>
        <v>0</v>
      </c>
      <c r="F16" s="693" t="s">
        <v>206</v>
      </c>
    </row>
    <row r="17" spans="1:7" ht="29.25" customHeight="1">
      <c r="A17" s="682" t="s">
        <v>195</v>
      </c>
      <c r="B17" s="683" t="s">
        <v>137</v>
      </c>
      <c r="C17" s="683" t="s">
        <v>118</v>
      </c>
      <c r="D17" s="684">
        <v>356</v>
      </c>
      <c r="E17" s="474">
        <f>+'Sch. F 2015'!I16</f>
        <v>788802</v>
      </c>
      <c r="F17" s="686" t="s">
        <v>207</v>
      </c>
    </row>
    <row r="18" spans="1:7">
      <c r="A18" s="682" t="s">
        <v>195</v>
      </c>
      <c r="B18" s="683" t="s">
        <v>137</v>
      </c>
      <c r="C18" s="683" t="s">
        <v>118</v>
      </c>
      <c r="D18" s="684">
        <v>355</v>
      </c>
      <c r="E18" s="474">
        <f>+'Sch. F 2015'!J14</f>
        <v>-74358</v>
      </c>
      <c r="F18" s="685" t="s">
        <v>208</v>
      </c>
    </row>
    <row r="19" spans="1:7">
      <c r="A19" s="682" t="s">
        <v>195</v>
      </c>
      <c r="B19" s="683" t="s">
        <v>137</v>
      </c>
      <c r="C19" s="683" t="s">
        <v>118</v>
      </c>
      <c r="D19" s="684">
        <v>356</v>
      </c>
      <c r="E19" s="474">
        <f>+'Sch. F 2015'!J16</f>
        <v>-43905</v>
      </c>
      <c r="F19" s="686" t="s">
        <v>209</v>
      </c>
    </row>
    <row r="20" spans="1:7" ht="26.25">
      <c r="A20" s="682" t="s">
        <v>195</v>
      </c>
      <c r="B20" s="683" t="s">
        <v>137</v>
      </c>
      <c r="C20" s="683" t="s">
        <v>118</v>
      </c>
      <c r="D20" s="684">
        <v>371</v>
      </c>
      <c r="E20" s="474">
        <f>+'Sch. F 2015'!J29</f>
        <v>-21388</v>
      </c>
      <c r="F20" s="686" t="s">
        <v>210</v>
      </c>
    </row>
    <row r="21" spans="1:7" ht="26.25">
      <c r="A21" s="688" t="s">
        <v>195</v>
      </c>
      <c r="B21" s="689" t="s">
        <v>137</v>
      </c>
      <c r="C21" s="690" t="s">
        <v>120</v>
      </c>
      <c r="D21" s="691">
        <v>3910</v>
      </c>
      <c r="E21" s="692">
        <f>'Sch. F 2015'!K34</f>
        <v>52051</v>
      </c>
      <c r="F21" s="693" t="s">
        <v>211</v>
      </c>
    </row>
    <row r="22" spans="1:7" ht="26.25">
      <c r="A22" s="694" t="s">
        <v>195</v>
      </c>
      <c r="B22" s="690" t="s">
        <v>137</v>
      </c>
      <c r="C22" s="690" t="s">
        <v>120</v>
      </c>
      <c r="D22" s="691">
        <v>3911</v>
      </c>
      <c r="E22" s="692">
        <f>'Sch. F 2015'!K35</f>
        <v>3114.4</v>
      </c>
      <c r="F22" s="693" t="s">
        <v>212</v>
      </c>
    </row>
    <row r="23" spans="1:7">
      <c r="A23" s="682" t="s">
        <v>195</v>
      </c>
      <c r="B23" s="683" t="s">
        <v>137</v>
      </c>
      <c r="C23" s="683" t="s">
        <v>120</v>
      </c>
      <c r="D23" s="684">
        <v>355</v>
      </c>
      <c r="E23" s="474">
        <f>+'Sch. F 2015'!K14</f>
        <v>113733</v>
      </c>
      <c r="F23" s="686" t="s">
        <v>213</v>
      </c>
    </row>
    <row r="24" spans="1:7">
      <c r="A24" s="682" t="s">
        <v>195</v>
      </c>
      <c r="B24" s="683" t="s">
        <v>137</v>
      </c>
      <c r="C24" s="683" t="s">
        <v>121</v>
      </c>
      <c r="D24" s="684">
        <v>365</v>
      </c>
      <c r="E24" s="474">
        <f>+'Sch. F 2015'!L23</f>
        <v>10416</v>
      </c>
      <c r="F24" s="686" t="s">
        <v>214</v>
      </c>
    </row>
    <row r="25" spans="1:7">
      <c r="A25" s="682" t="s">
        <v>195</v>
      </c>
      <c r="B25" s="683" t="s">
        <v>137</v>
      </c>
      <c r="C25" s="683" t="s">
        <v>121</v>
      </c>
      <c r="D25" s="684">
        <v>368</v>
      </c>
      <c r="E25" s="474">
        <f>+'Sch. F 2015'!L26</f>
        <v>1920</v>
      </c>
      <c r="F25" s="686" t="s">
        <v>215</v>
      </c>
    </row>
    <row r="26" spans="1:7" ht="26.25">
      <c r="A26" s="682" t="s">
        <v>195</v>
      </c>
      <c r="B26" s="683" t="s">
        <v>137</v>
      </c>
      <c r="C26" s="683" t="s">
        <v>121</v>
      </c>
      <c r="D26" s="684">
        <v>370</v>
      </c>
      <c r="E26" s="474">
        <f>+'Sch. F 2015'!L28</f>
        <v>955</v>
      </c>
      <c r="F26" s="686" t="s">
        <v>216</v>
      </c>
      <c r="G26" s="695"/>
    </row>
    <row r="27" spans="1:7">
      <c r="A27" s="682" t="s">
        <v>195</v>
      </c>
      <c r="B27" s="683" t="s">
        <v>137</v>
      </c>
      <c r="C27" s="683" t="s">
        <v>121</v>
      </c>
      <c r="D27" s="684">
        <v>3921</v>
      </c>
      <c r="E27" s="474">
        <f>+'Sch. F 2015'!L39</f>
        <v>16000</v>
      </c>
      <c r="F27" s="686" t="s">
        <v>217</v>
      </c>
    </row>
    <row r="28" spans="1:7">
      <c r="A28" s="682" t="s">
        <v>195</v>
      </c>
      <c r="B28" s="683" t="s">
        <v>137</v>
      </c>
      <c r="C28" s="683" t="s">
        <v>157</v>
      </c>
      <c r="D28" s="684">
        <v>365</v>
      </c>
      <c r="E28" s="474">
        <f>+'Sch. F 2015'!M23</f>
        <v>-41970</v>
      </c>
      <c r="F28" s="685" t="s">
        <v>218</v>
      </c>
    </row>
    <row r="29" spans="1:7">
      <c r="A29" s="682" t="s">
        <v>195</v>
      </c>
      <c r="B29" s="683" t="s">
        <v>137</v>
      </c>
      <c r="C29" s="683" t="s">
        <v>157</v>
      </c>
      <c r="D29" s="684">
        <v>368</v>
      </c>
      <c r="E29" s="474">
        <f>+'Sch. F 2015'!M26</f>
        <v>-47976</v>
      </c>
      <c r="F29" s="686" t="s">
        <v>219</v>
      </c>
    </row>
    <row r="30" spans="1:7" ht="26.25">
      <c r="A30" s="682" t="s">
        <v>195</v>
      </c>
      <c r="B30" s="683" t="s">
        <v>137</v>
      </c>
      <c r="C30" s="683" t="s">
        <v>157</v>
      </c>
      <c r="D30" s="684">
        <v>370</v>
      </c>
      <c r="E30" s="474">
        <f>+'Sch. F 2015'!M28</f>
        <v>-7902</v>
      </c>
      <c r="F30" s="686" t="s">
        <v>220</v>
      </c>
      <c r="G30" s="695"/>
    </row>
    <row r="31" spans="1:7" ht="27" thickBot="1">
      <c r="A31" s="696" t="s">
        <v>195</v>
      </c>
      <c r="B31" s="697" t="s">
        <v>137</v>
      </c>
      <c r="C31" s="697" t="s">
        <v>149</v>
      </c>
      <c r="D31" s="698">
        <v>371</v>
      </c>
      <c r="E31" s="699">
        <f>+'Sch. F 2015'!O29</f>
        <v>0</v>
      </c>
      <c r="F31" s="700" t="s">
        <v>221</v>
      </c>
    </row>
  </sheetData>
  <mergeCells count="3">
    <mergeCell ref="A1:F1"/>
    <mergeCell ref="A2:F2"/>
    <mergeCell ref="A3:F3"/>
  </mergeCells>
  <pageMargins left="0.7" right="0.7" top="0.75" bottom="0.75" header="0.3" footer="0.3"/>
  <pageSetup scale="7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fitToPage="1"/>
  </sheetPr>
  <dimension ref="A1:S52"/>
  <sheetViews>
    <sheetView topLeftCell="A28" workbookViewId="0">
      <selection activeCell="K33" sqref="K33:K34"/>
    </sheetView>
  </sheetViews>
  <sheetFormatPr defaultColWidth="9.140625" defaultRowHeight="12.75"/>
  <cols>
    <col min="1" max="1" width="6.7109375" style="672" customWidth="1"/>
    <col min="2" max="2" width="11.42578125" style="640" customWidth="1"/>
    <col min="3" max="6" width="11.7109375" style="640" customWidth="1"/>
    <col min="7" max="7" width="11.42578125" style="640" customWidth="1"/>
    <col min="8" max="8" width="6.7109375" style="640" customWidth="1"/>
    <col min="9" max="9" width="11.42578125" style="640" customWidth="1"/>
    <col min="10" max="15" width="11.7109375" style="640" customWidth="1"/>
    <col min="16" max="16" width="11.42578125" style="640" customWidth="1"/>
    <col min="17" max="17" width="9.7109375" style="640" bestFit="1" customWidth="1"/>
    <col min="18" max="18" width="11.28515625" style="640" bestFit="1" customWidth="1"/>
    <col min="19" max="16384" width="9.140625" style="640"/>
  </cols>
  <sheetData>
    <row r="1" spans="1:17" s="634" customFormat="1" ht="18">
      <c r="A1" s="761" t="s">
        <v>105</v>
      </c>
      <c r="B1" s="761"/>
      <c r="C1" s="761"/>
      <c r="D1" s="761"/>
      <c r="E1" s="761"/>
      <c r="F1" s="761"/>
      <c r="G1" s="761"/>
      <c r="H1" s="761"/>
      <c r="I1" s="761"/>
      <c r="J1" s="761"/>
      <c r="K1" s="761"/>
      <c r="L1" s="761"/>
      <c r="M1" s="761"/>
      <c r="N1" s="761"/>
      <c r="O1" s="761"/>
      <c r="P1" s="761"/>
    </row>
    <row r="2" spans="1:17" s="635" customFormat="1" ht="15">
      <c r="A2" s="762" t="s">
        <v>271</v>
      </c>
      <c r="B2" s="762"/>
      <c r="C2" s="762"/>
      <c r="D2" s="762"/>
      <c r="E2" s="762"/>
      <c r="F2" s="762"/>
      <c r="G2" s="762"/>
      <c r="H2" s="762"/>
      <c r="I2" s="762"/>
      <c r="J2" s="762"/>
      <c r="K2" s="762"/>
      <c r="L2" s="762"/>
      <c r="M2" s="762"/>
      <c r="N2" s="762"/>
      <c r="O2" s="762"/>
      <c r="P2" s="762"/>
    </row>
    <row r="3" spans="1:17" s="636" customFormat="1" ht="15.75">
      <c r="A3" s="763" t="s">
        <v>192</v>
      </c>
      <c r="B3" s="763"/>
      <c r="C3" s="763"/>
      <c r="D3" s="763"/>
      <c r="E3" s="763"/>
      <c r="F3" s="763"/>
      <c r="G3" s="763"/>
      <c r="H3" s="763"/>
      <c r="I3" s="763"/>
      <c r="J3" s="763"/>
      <c r="K3" s="763"/>
      <c r="L3" s="763"/>
      <c r="M3" s="763"/>
      <c r="N3" s="763"/>
      <c r="O3" s="763"/>
      <c r="P3" s="763"/>
    </row>
    <row r="4" spans="1:17" s="637" customFormat="1">
      <c r="A4" s="764">
        <f>'Sch. F 2015'!A4:P4+1</f>
        <v>2016</v>
      </c>
      <c r="B4" s="764"/>
      <c r="C4" s="764"/>
      <c r="D4" s="764"/>
      <c r="E4" s="764"/>
      <c r="F4" s="764"/>
      <c r="G4" s="764"/>
      <c r="H4" s="764"/>
      <c r="I4" s="764"/>
      <c r="J4" s="764"/>
      <c r="K4" s="764"/>
      <c r="L4" s="764"/>
      <c r="M4" s="764"/>
      <c r="N4" s="764"/>
      <c r="O4" s="764"/>
      <c r="P4" s="764"/>
    </row>
    <row r="5" spans="1:17" ht="15">
      <c r="A5" s="638"/>
      <c r="B5" s="635"/>
      <c r="C5" s="635"/>
      <c r="D5" s="635"/>
      <c r="E5" s="635"/>
      <c r="F5" s="635"/>
      <c r="G5" s="635"/>
      <c r="H5" s="639"/>
      <c r="I5" s="635"/>
      <c r="J5" s="635"/>
      <c r="K5" s="635"/>
      <c r="L5" s="635"/>
      <c r="M5" s="635"/>
      <c r="N5" s="635"/>
      <c r="O5" s="635"/>
      <c r="P5" s="635"/>
    </row>
    <row r="6" spans="1:17" s="642" customFormat="1" ht="13.5" thickBot="1">
      <c r="A6" s="765" t="s">
        <v>106</v>
      </c>
      <c r="B6" s="765"/>
      <c r="C6" s="765"/>
      <c r="D6" s="765"/>
      <c r="E6" s="765"/>
      <c r="F6" s="765"/>
      <c r="G6" s="765"/>
      <c r="H6" s="641"/>
      <c r="I6" s="637"/>
      <c r="J6" s="637"/>
      <c r="K6" s="637" t="s">
        <v>107</v>
      </c>
      <c r="L6" s="637"/>
      <c r="M6" s="637"/>
      <c r="N6" s="637" t="s">
        <v>108</v>
      </c>
      <c r="P6" s="637"/>
    </row>
    <row r="7" spans="1:17" s="647" customFormat="1">
      <c r="A7" s="643" t="s">
        <v>109</v>
      </c>
      <c r="B7" s="644" t="s">
        <v>110</v>
      </c>
      <c r="C7" s="644"/>
      <c r="D7" s="644"/>
      <c r="E7" s="644"/>
      <c r="F7" s="644" t="s">
        <v>111</v>
      </c>
      <c r="G7" s="644" t="s">
        <v>112</v>
      </c>
      <c r="H7" s="645" t="s">
        <v>109</v>
      </c>
      <c r="I7" s="644" t="s">
        <v>110</v>
      </c>
      <c r="J7" s="644"/>
      <c r="K7" s="644"/>
      <c r="L7" s="644"/>
      <c r="M7" s="644" t="s">
        <v>113</v>
      </c>
      <c r="N7" s="644"/>
      <c r="O7" s="644" t="s">
        <v>111</v>
      </c>
      <c r="P7" s="646" t="s">
        <v>112</v>
      </c>
    </row>
    <row r="8" spans="1:17" s="647" customFormat="1" ht="13.5" thickBot="1">
      <c r="A8" s="648" t="s">
        <v>114</v>
      </c>
      <c r="B8" s="649" t="s">
        <v>115</v>
      </c>
      <c r="C8" s="649" t="s">
        <v>116</v>
      </c>
      <c r="D8" s="649" t="s">
        <v>117</v>
      </c>
      <c r="E8" s="649" t="s">
        <v>118</v>
      </c>
      <c r="F8" s="649" t="s">
        <v>119</v>
      </c>
      <c r="G8" s="649" t="s">
        <v>115</v>
      </c>
      <c r="H8" s="650" t="s">
        <v>114</v>
      </c>
      <c r="I8" s="649" t="s">
        <v>115</v>
      </c>
      <c r="J8" s="649" t="s">
        <v>118</v>
      </c>
      <c r="K8" s="649" t="s">
        <v>120</v>
      </c>
      <c r="L8" s="649" t="s">
        <v>121</v>
      </c>
      <c r="M8" s="649" t="s">
        <v>122</v>
      </c>
      <c r="N8" s="649" t="s">
        <v>117</v>
      </c>
      <c r="O8" s="649" t="s">
        <v>119</v>
      </c>
      <c r="P8" s="651" t="s">
        <v>115</v>
      </c>
      <c r="Q8" s="702"/>
    </row>
    <row r="9" spans="1:17" s="659" customFormat="1">
      <c r="A9" s="652">
        <v>350</v>
      </c>
      <c r="B9" s="434">
        <f>'Sch. F 2015'!G9</f>
        <v>17629</v>
      </c>
      <c r="C9" s="434">
        <v>0</v>
      </c>
      <c r="D9" s="434">
        <v>0</v>
      </c>
      <c r="E9" s="434">
        <v>0</v>
      </c>
      <c r="F9" s="435">
        <v>0</v>
      </c>
      <c r="G9" s="435">
        <f>SUM(B9:F9)</f>
        <v>17629</v>
      </c>
      <c r="H9" s="703">
        <f>A9</f>
        <v>350</v>
      </c>
      <c r="I9" s="434">
        <f>'Sch. F 2015'!P9</f>
        <v>0</v>
      </c>
      <c r="J9" s="434">
        <f>+E9</f>
        <v>0</v>
      </c>
      <c r="K9" s="434">
        <v>0</v>
      </c>
      <c r="L9" s="434">
        <v>0</v>
      </c>
      <c r="M9" s="434">
        <v>0</v>
      </c>
      <c r="N9" s="434">
        <v>0</v>
      </c>
      <c r="O9" s="434">
        <v>0</v>
      </c>
      <c r="P9" s="660">
        <f>SUM(I9:O9)</f>
        <v>0</v>
      </c>
      <c r="Q9" s="704"/>
    </row>
    <row r="10" spans="1:17" s="659" customFormat="1">
      <c r="A10" s="652">
        <v>3501</v>
      </c>
      <c r="B10" s="434">
        <f>'Sch. F 2015'!G10</f>
        <v>23842</v>
      </c>
      <c r="C10" s="434">
        <v>0</v>
      </c>
      <c r="D10" s="434">
        <v>0</v>
      </c>
      <c r="E10" s="434">
        <v>0</v>
      </c>
      <c r="F10" s="435">
        <v>0</v>
      </c>
      <c r="G10" s="435">
        <f>SUM(B10:F10)</f>
        <v>23842</v>
      </c>
      <c r="H10" s="703">
        <f>A10</f>
        <v>3501</v>
      </c>
      <c r="I10" s="434">
        <f>'Sch. F 2015'!P10</f>
        <v>15497</v>
      </c>
      <c r="J10" s="434">
        <f>+E10</f>
        <v>0</v>
      </c>
      <c r="K10" s="434">
        <v>333.84</v>
      </c>
      <c r="L10" s="434">
        <v>0</v>
      </c>
      <c r="M10" s="434">
        <v>0</v>
      </c>
      <c r="N10" s="434">
        <v>0</v>
      </c>
      <c r="O10" s="434">
        <v>0</v>
      </c>
      <c r="P10" s="660">
        <f>SUM(I10:O10)</f>
        <v>15830.84</v>
      </c>
      <c r="Q10" s="704"/>
    </row>
    <row r="11" spans="1:17" s="659" customFormat="1">
      <c r="A11" s="652">
        <v>352</v>
      </c>
      <c r="B11" s="434">
        <f>'Sch. F 2015'!G11</f>
        <v>197760</v>
      </c>
      <c r="C11" s="434">
        <v>0</v>
      </c>
      <c r="D11" s="434">
        <v>0</v>
      </c>
      <c r="E11" s="434">
        <v>0</v>
      </c>
      <c r="F11" s="435">
        <v>0</v>
      </c>
      <c r="G11" s="435">
        <f t="shared" ref="G11:G49" si="0">SUM(B11:F11)</f>
        <v>197760</v>
      </c>
      <c r="H11" s="703">
        <f t="shared" ref="H11:H49" si="1">A11</f>
        <v>352</v>
      </c>
      <c r="I11" s="434">
        <f>'Sch. F 2015'!P11</f>
        <v>21075</v>
      </c>
      <c r="J11" s="434">
        <f t="shared" ref="J11:J49" si="2">+E11</f>
        <v>0</v>
      </c>
      <c r="K11" s="434">
        <v>3559.68</v>
      </c>
      <c r="L11" s="434">
        <v>0</v>
      </c>
      <c r="M11" s="434">
        <v>0</v>
      </c>
      <c r="N11" s="434">
        <v>0</v>
      </c>
      <c r="O11" s="434">
        <v>0</v>
      </c>
      <c r="P11" s="656">
        <f t="shared" ref="P11:P49" si="3">SUM(I11:O11)</f>
        <v>24634.68</v>
      </c>
      <c r="Q11" s="704"/>
    </row>
    <row r="12" spans="1:17" s="659" customFormat="1">
      <c r="A12" s="652">
        <v>353</v>
      </c>
      <c r="B12" s="434">
        <f>'Sch. F 2015'!G12</f>
        <v>3748521</v>
      </c>
      <c r="C12" s="434">
        <v>618968.26</v>
      </c>
      <c r="D12" s="434">
        <v>0</v>
      </c>
      <c r="E12" s="434">
        <v>0</v>
      </c>
      <c r="F12" s="435">
        <v>0</v>
      </c>
      <c r="G12" s="435">
        <f t="shared" si="0"/>
        <v>4367489.26</v>
      </c>
      <c r="H12" s="703">
        <f t="shared" si="1"/>
        <v>353</v>
      </c>
      <c r="I12" s="434">
        <f>'Sch. F 2015'!P12</f>
        <v>1045946</v>
      </c>
      <c r="J12" s="434">
        <f t="shared" si="2"/>
        <v>0</v>
      </c>
      <c r="K12" s="434">
        <v>97461.6</v>
      </c>
      <c r="L12" s="434">
        <v>0</v>
      </c>
      <c r="M12" s="434">
        <v>0</v>
      </c>
      <c r="N12" s="434">
        <v>0</v>
      </c>
      <c r="O12" s="434">
        <v>0</v>
      </c>
      <c r="P12" s="656">
        <f t="shared" si="3"/>
        <v>1143407.6000000001</v>
      </c>
      <c r="Q12" s="704"/>
    </row>
    <row r="13" spans="1:17" s="659" customFormat="1">
      <c r="A13" s="652">
        <v>354</v>
      </c>
      <c r="B13" s="434">
        <f>'Sch. F 2015'!G13</f>
        <v>224802</v>
      </c>
      <c r="C13" s="434">
        <v>0</v>
      </c>
      <c r="D13" s="434">
        <v>0</v>
      </c>
      <c r="E13" s="434">
        <v>0</v>
      </c>
      <c r="F13" s="435">
        <v>0</v>
      </c>
      <c r="G13" s="435">
        <f t="shared" si="0"/>
        <v>224802</v>
      </c>
      <c r="H13" s="703">
        <f t="shared" si="1"/>
        <v>354</v>
      </c>
      <c r="I13" s="434">
        <f>'Sch. F 2015'!P13</f>
        <v>195021</v>
      </c>
      <c r="J13" s="434">
        <f t="shared" si="2"/>
        <v>0</v>
      </c>
      <c r="K13" s="434">
        <v>4720.8</v>
      </c>
      <c r="L13" s="434">
        <v>0</v>
      </c>
      <c r="M13" s="434">
        <v>0</v>
      </c>
      <c r="N13" s="434">
        <v>0</v>
      </c>
      <c r="O13" s="434">
        <v>0</v>
      </c>
      <c r="P13" s="656">
        <f t="shared" si="3"/>
        <v>199741.8</v>
      </c>
      <c r="Q13" s="704"/>
    </row>
    <row r="14" spans="1:17" s="659" customFormat="1">
      <c r="A14" s="652">
        <v>355</v>
      </c>
      <c r="B14" s="434">
        <f>'Sch. F 2015'!G14</f>
        <v>1586597</v>
      </c>
      <c r="C14" s="434">
        <v>0</v>
      </c>
      <c r="D14" s="434">
        <v>0</v>
      </c>
      <c r="E14" s="434">
        <v>0</v>
      </c>
      <c r="F14" s="435">
        <v>0</v>
      </c>
      <c r="G14" s="435">
        <f t="shared" si="0"/>
        <v>1586597</v>
      </c>
      <c r="H14" s="703">
        <f t="shared" si="1"/>
        <v>355</v>
      </c>
      <c r="I14" s="434">
        <f>'Sch. F 2015'!P14</f>
        <v>1157097</v>
      </c>
      <c r="J14" s="434">
        <f t="shared" si="2"/>
        <v>0</v>
      </c>
      <c r="K14" s="434">
        <v>65050.440000000017</v>
      </c>
      <c r="L14" s="434">
        <v>0</v>
      </c>
      <c r="M14" s="434">
        <v>0</v>
      </c>
      <c r="N14" s="434">
        <v>0</v>
      </c>
      <c r="O14" s="434">
        <v>0</v>
      </c>
      <c r="P14" s="656">
        <f t="shared" si="3"/>
        <v>1222147.44</v>
      </c>
      <c r="Q14" s="704"/>
    </row>
    <row r="15" spans="1:17" s="659" customFormat="1">
      <c r="A15" s="652">
        <v>3551</v>
      </c>
      <c r="B15" s="434">
        <f>'Sch. F 2015'!G15</f>
        <v>2739072</v>
      </c>
      <c r="C15" s="434">
        <v>2197101.4300000002</v>
      </c>
      <c r="D15" s="434">
        <v>0</v>
      </c>
      <c r="E15" s="434">
        <v>0</v>
      </c>
      <c r="F15" s="435">
        <v>0</v>
      </c>
      <c r="G15" s="435">
        <f t="shared" si="0"/>
        <v>4936173.43</v>
      </c>
      <c r="H15" s="703">
        <f t="shared" si="1"/>
        <v>3551</v>
      </c>
      <c r="I15" s="434">
        <f>'Sch. F 2015'!P15</f>
        <v>393797</v>
      </c>
      <c r="J15" s="434">
        <f t="shared" si="2"/>
        <v>0</v>
      </c>
      <c r="K15" s="434">
        <v>93999.2</v>
      </c>
      <c r="L15" s="434">
        <v>0</v>
      </c>
      <c r="M15" s="434">
        <v>0</v>
      </c>
      <c r="N15" s="434">
        <v>0</v>
      </c>
      <c r="O15" s="434">
        <v>0</v>
      </c>
      <c r="P15" s="656">
        <f t="shared" si="3"/>
        <v>487796.2</v>
      </c>
      <c r="Q15" s="704"/>
    </row>
    <row r="16" spans="1:17" s="659" customFormat="1">
      <c r="A16" s="652">
        <v>356</v>
      </c>
      <c r="B16" s="434">
        <f>'Sch. F 2015'!G16</f>
        <v>2625896</v>
      </c>
      <c r="C16" s="434">
        <v>618319.17000000004</v>
      </c>
      <c r="D16" s="434">
        <v>0</v>
      </c>
      <c r="E16" s="434">
        <v>0</v>
      </c>
      <c r="F16" s="435">
        <v>0</v>
      </c>
      <c r="G16" s="435">
        <f t="shared" si="0"/>
        <v>3244215.17</v>
      </c>
      <c r="H16" s="703">
        <f t="shared" si="1"/>
        <v>356</v>
      </c>
      <c r="I16" s="434">
        <f>'Sch. F 2015'!P16</f>
        <v>807726</v>
      </c>
      <c r="J16" s="434">
        <f t="shared" si="2"/>
        <v>0</v>
      </c>
      <c r="K16" s="434">
        <v>70034.58</v>
      </c>
      <c r="L16" s="434">
        <v>0</v>
      </c>
      <c r="M16" s="434">
        <v>0</v>
      </c>
      <c r="N16" s="434">
        <v>0</v>
      </c>
      <c r="O16" s="434">
        <v>0</v>
      </c>
      <c r="P16" s="656">
        <f t="shared" si="3"/>
        <v>877760.58</v>
      </c>
      <c r="Q16" s="704"/>
    </row>
    <row r="17" spans="1:19" s="659" customFormat="1">
      <c r="A17" s="652">
        <v>359</v>
      </c>
      <c r="B17" s="434">
        <f>'Sch. F 2015'!G17</f>
        <v>6788</v>
      </c>
      <c r="C17" s="434">
        <v>0</v>
      </c>
      <c r="D17" s="434">
        <v>0</v>
      </c>
      <c r="E17" s="434">
        <v>0</v>
      </c>
      <c r="F17" s="435">
        <v>0</v>
      </c>
      <c r="G17" s="435">
        <f t="shared" si="0"/>
        <v>6788</v>
      </c>
      <c r="H17" s="703">
        <f t="shared" si="1"/>
        <v>359</v>
      </c>
      <c r="I17" s="434">
        <f>'Sch. F 2015'!P17</f>
        <v>5602</v>
      </c>
      <c r="J17" s="434">
        <f t="shared" si="2"/>
        <v>0</v>
      </c>
      <c r="K17" s="434">
        <v>101.76</v>
      </c>
      <c r="L17" s="434">
        <v>0</v>
      </c>
      <c r="M17" s="434">
        <v>0</v>
      </c>
      <c r="N17" s="434">
        <v>0</v>
      </c>
      <c r="O17" s="434">
        <v>0</v>
      </c>
      <c r="P17" s="656">
        <f t="shared" si="3"/>
        <v>5703.76</v>
      </c>
      <c r="Q17" s="704"/>
    </row>
    <row r="18" spans="1:19" s="659" customFormat="1">
      <c r="A18" s="652">
        <v>360</v>
      </c>
      <c r="B18" s="434">
        <f>'Sch. F 2015'!G18</f>
        <v>13572</v>
      </c>
      <c r="C18" s="434">
        <v>0</v>
      </c>
      <c r="D18" s="434">
        <v>0</v>
      </c>
      <c r="E18" s="434">
        <v>0</v>
      </c>
      <c r="F18" s="435">
        <v>0</v>
      </c>
      <c r="G18" s="435">
        <f t="shared" si="0"/>
        <v>13572</v>
      </c>
      <c r="H18" s="703">
        <f t="shared" si="1"/>
        <v>360</v>
      </c>
      <c r="I18" s="434">
        <f>'Sch. F 2015'!P18</f>
        <v>0</v>
      </c>
      <c r="J18" s="434">
        <f t="shared" si="2"/>
        <v>0</v>
      </c>
      <c r="K18" s="434">
        <v>0</v>
      </c>
      <c r="L18" s="434">
        <v>0</v>
      </c>
      <c r="M18" s="434">
        <v>0</v>
      </c>
      <c r="N18" s="434">
        <v>0</v>
      </c>
      <c r="O18" s="434">
        <v>0</v>
      </c>
      <c r="P18" s="656">
        <f t="shared" si="3"/>
        <v>0</v>
      </c>
      <c r="Q18" s="704"/>
    </row>
    <row r="19" spans="1:19" s="659" customFormat="1">
      <c r="A19" s="652">
        <v>3601</v>
      </c>
      <c r="B19" s="434">
        <f>'Sch. F 2015'!G19</f>
        <v>56995</v>
      </c>
      <c r="C19" s="434">
        <v>0</v>
      </c>
      <c r="D19" s="434">
        <v>0</v>
      </c>
      <c r="E19" s="434">
        <v>0</v>
      </c>
      <c r="F19" s="435">
        <v>0</v>
      </c>
      <c r="G19" s="435">
        <f t="shared" si="0"/>
        <v>56995</v>
      </c>
      <c r="H19" s="703">
        <f t="shared" si="1"/>
        <v>3601</v>
      </c>
      <c r="I19" s="434">
        <f>'Sch. F 2015'!P19</f>
        <v>30452</v>
      </c>
      <c r="J19" s="434">
        <f t="shared" si="2"/>
        <v>0</v>
      </c>
      <c r="K19" s="434">
        <v>912</v>
      </c>
      <c r="L19" s="434">
        <v>0</v>
      </c>
      <c r="M19" s="434">
        <v>0</v>
      </c>
      <c r="N19" s="434">
        <v>0</v>
      </c>
      <c r="O19" s="434">
        <v>0</v>
      </c>
      <c r="P19" s="660">
        <f t="shared" si="3"/>
        <v>31364</v>
      </c>
      <c r="Q19" s="704"/>
    </row>
    <row r="20" spans="1:19" s="659" customFormat="1">
      <c r="A20" s="652">
        <v>361</v>
      </c>
      <c r="B20" s="434">
        <f>'Sch. F 2015'!G20</f>
        <v>174032</v>
      </c>
      <c r="C20" s="434">
        <v>1024951.12</v>
      </c>
      <c r="D20" s="434">
        <v>0</v>
      </c>
      <c r="E20" s="434">
        <v>0</v>
      </c>
      <c r="F20" s="435">
        <v>0</v>
      </c>
      <c r="G20" s="435">
        <f t="shared" si="0"/>
        <v>1198983.1200000001</v>
      </c>
      <c r="H20" s="703">
        <f t="shared" si="1"/>
        <v>361</v>
      </c>
      <c r="I20" s="434">
        <f>'Sch. F 2015'!P20</f>
        <v>44116</v>
      </c>
      <c r="J20" s="434">
        <f t="shared" si="2"/>
        <v>0</v>
      </c>
      <c r="K20" s="434">
        <v>2958.6</v>
      </c>
      <c r="L20" s="434">
        <v>0</v>
      </c>
      <c r="M20" s="434">
        <v>0</v>
      </c>
      <c r="N20" s="434">
        <v>0</v>
      </c>
      <c r="O20" s="434">
        <v>0</v>
      </c>
      <c r="P20" s="656">
        <f t="shared" si="3"/>
        <v>47074.6</v>
      </c>
      <c r="Q20" s="704"/>
    </row>
    <row r="21" spans="1:19" s="659" customFormat="1">
      <c r="A21" s="652">
        <v>362</v>
      </c>
      <c r="B21" s="434">
        <f>'Sch. F 2015'!G21</f>
        <v>8896103</v>
      </c>
      <c r="C21" s="434">
        <f>3023185.44+1126828.62</f>
        <v>4150014.06</v>
      </c>
      <c r="D21" s="434">
        <v>0</v>
      </c>
      <c r="E21" s="434">
        <v>0</v>
      </c>
      <c r="F21" s="435">
        <v>0</v>
      </c>
      <c r="G21" s="435">
        <f t="shared" si="0"/>
        <v>13046117.060000001</v>
      </c>
      <c r="H21" s="703">
        <f t="shared" si="1"/>
        <v>362</v>
      </c>
      <c r="I21" s="434">
        <f>'Sch. F 2015'!P21</f>
        <v>2727188</v>
      </c>
      <c r="J21" s="434">
        <f t="shared" si="2"/>
        <v>0</v>
      </c>
      <c r="K21" s="434">
        <v>237725.11</v>
      </c>
      <c r="L21" s="434">
        <v>0</v>
      </c>
      <c r="M21" s="434">
        <v>0</v>
      </c>
      <c r="N21" s="434">
        <v>0</v>
      </c>
      <c r="O21" s="434">
        <v>0</v>
      </c>
      <c r="P21" s="656">
        <f t="shared" si="3"/>
        <v>2964913.11</v>
      </c>
      <c r="Q21" s="704"/>
    </row>
    <row r="22" spans="1:19" s="659" customFormat="1">
      <c r="A22" s="652">
        <v>364</v>
      </c>
      <c r="B22" s="434">
        <f>'Sch. F 2015'!G22</f>
        <v>14820363</v>
      </c>
      <c r="C22" s="434">
        <f>721208.04-9824.84</f>
        <v>711383.20000000007</v>
      </c>
      <c r="D22" s="434">
        <v>0</v>
      </c>
      <c r="E22" s="434">
        <v>-32437</v>
      </c>
      <c r="F22" s="434">
        <f>-9824.84+9824.84</f>
        <v>0</v>
      </c>
      <c r="G22" s="435">
        <f t="shared" si="0"/>
        <v>15499309.199999999</v>
      </c>
      <c r="H22" s="703">
        <f t="shared" si="1"/>
        <v>364</v>
      </c>
      <c r="I22" s="434">
        <f>'Sch. F 2015'!P22</f>
        <v>7492523</v>
      </c>
      <c r="J22" s="434">
        <f t="shared" si="2"/>
        <v>-32437</v>
      </c>
      <c r="K22" s="434">
        <v>580953.32999999996</v>
      </c>
      <c r="L22" s="434">
        <v>0</v>
      </c>
      <c r="M22" s="434">
        <v>-179061.6</v>
      </c>
      <c r="N22" s="434">
        <v>0</v>
      </c>
      <c r="O22" s="434">
        <v>0</v>
      </c>
      <c r="P22" s="656">
        <f t="shared" si="3"/>
        <v>7861977.7300000004</v>
      </c>
      <c r="Q22" s="704"/>
    </row>
    <row r="23" spans="1:19" s="659" customFormat="1">
      <c r="A23" s="652">
        <v>365</v>
      </c>
      <c r="B23" s="434">
        <f>'Sch. F 2015'!G23</f>
        <v>13389938</v>
      </c>
      <c r="C23" s="434">
        <v>591281</v>
      </c>
      <c r="D23" s="434">
        <v>0</v>
      </c>
      <c r="E23" s="434">
        <v>-9519</v>
      </c>
      <c r="F23" s="434">
        <v>-3337</v>
      </c>
      <c r="G23" s="435">
        <f t="shared" si="0"/>
        <v>13968363</v>
      </c>
      <c r="H23" s="703">
        <f t="shared" si="1"/>
        <v>365</v>
      </c>
      <c r="I23" s="434">
        <f>'Sch. F 2015'!P23</f>
        <v>8710298</v>
      </c>
      <c r="J23" s="434">
        <f t="shared" si="2"/>
        <v>-9519</v>
      </c>
      <c r="K23" s="434">
        <v>458158.67000000004</v>
      </c>
      <c r="L23" s="434">
        <f>3241.16+680.4</f>
        <v>3921.56</v>
      </c>
      <c r="M23" s="434">
        <f>-34516.49-680.4</f>
        <v>-35196.89</v>
      </c>
      <c r="N23" s="434">
        <v>0</v>
      </c>
      <c r="O23" s="434">
        <v>0</v>
      </c>
      <c r="P23" s="656">
        <f t="shared" si="3"/>
        <v>9127662.3399999999</v>
      </c>
      <c r="Q23" s="704"/>
    </row>
    <row r="24" spans="1:19" s="659" customFormat="1">
      <c r="A24" s="652">
        <v>366</v>
      </c>
      <c r="B24" s="434">
        <f>'Sch. F 2015'!G24</f>
        <v>5655891</v>
      </c>
      <c r="C24" s="434">
        <v>283559.2</v>
      </c>
      <c r="D24" s="434">
        <v>0</v>
      </c>
      <c r="E24" s="434">
        <v>0</v>
      </c>
      <c r="F24" s="434">
        <v>-504</v>
      </c>
      <c r="G24" s="435">
        <f t="shared" si="0"/>
        <v>5938946.2000000002</v>
      </c>
      <c r="H24" s="703">
        <f t="shared" si="1"/>
        <v>366</v>
      </c>
      <c r="I24" s="434">
        <f>'Sch. F 2015'!P24</f>
        <v>921018</v>
      </c>
      <c r="J24" s="434">
        <f t="shared" si="2"/>
        <v>0</v>
      </c>
      <c r="K24" s="434">
        <v>103827.63999999998</v>
      </c>
      <c r="L24" s="434">
        <v>0</v>
      </c>
      <c r="M24" s="434">
        <v>-2612.2399999999998</v>
      </c>
      <c r="N24" s="434">
        <v>0</v>
      </c>
      <c r="O24" s="434">
        <v>0</v>
      </c>
      <c r="P24" s="656">
        <f t="shared" si="3"/>
        <v>1022233.4</v>
      </c>
      <c r="Q24" s="704"/>
    </row>
    <row r="25" spans="1:19" s="659" customFormat="1">
      <c r="A25" s="652">
        <v>367</v>
      </c>
      <c r="B25" s="434">
        <f>'Sch. F 2015'!G25</f>
        <v>8370858</v>
      </c>
      <c r="C25" s="434">
        <v>177674.46999999997</v>
      </c>
      <c r="D25" s="434">
        <v>0</v>
      </c>
      <c r="E25" s="434">
        <v>-2203</v>
      </c>
      <c r="F25" s="434">
        <v>-75520.97</v>
      </c>
      <c r="G25" s="435">
        <f t="shared" si="0"/>
        <v>8470808.5</v>
      </c>
      <c r="H25" s="703">
        <f t="shared" si="1"/>
        <v>367</v>
      </c>
      <c r="I25" s="434">
        <f>'Sch. F 2015'!P25</f>
        <v>2873524</v>
      </c>
      <c r="J25" s="434">
        <f t="shared" si="2"/>
        <v>-2203</v>
      </c>
      <c r="K25" s="434">
        <v>269479.02</v>
      </c>
      <c r="L25" s="434">
        <v>0</v>
      </c>
      <c r="M25" s="434">
        <v>-3449.13</v>
      </c>
      <c r="N25" s="434">
        <v>0</v>
      </c>
      <c r="O25" s="434">
        <v>0</v>
      </c>
      <c r="P25" s="656">
        <f t="shared" si="3"/>
        <v>3137350.89</v>
      </c>
      <c r="Q25" s="704"/>
    </row>
    <row r="26" spans="1:19" s="659" customFormat="1">
      <c r="A26" s="652">
        <v>368</v>
      </c>
      <c r="B26" s="434">
        <f>'Sch. F 2015'!G26</f>
        <v>17500406</v>
      </c>
      <c r="C26" s="434">
        <v>391499.66</v>
      </c>
      <c r="D26" s="434">
        <v>0</v>
      </c>
      <c r="E26" s="434">
        <v>-7976</v>
      </c>
      <c r="F26" s="434">
        <v>-91858.930000000008</v>
      </c>
      <c r="G26" s="435">
        <f t="shared" si="0"/>
        <v>17792070.73</v>
      </c>
      <c r="H26" s="703">
        <f t="shared" si="1"/>
        <v>368</v>
      </c>
      <c r="I26" s="434">
        <f>'Sch. F 2015'!P26</f>
        <v>12500057</v>
      </c>
      <c r="J26" s="434">
        <f t="shared" si="2"/>
        <v>-7976</v>
      </c>
      <c r="K26" s="434">
        <v>704234.46</v>
      </c>
      <c r="L26" s="434">
        <f>50.51+178.64</f>
        <v>229.14999999999998</v>
      </c>
      <c r="M26" s="434">
        <f>-26010.37-178.64</f>
        <v>-26189.01</v>
      </c>
      <c r="N26" s="434">
        <v>0</v>
      </c>
      <c r="O26" s="434">
        <v>0</v>
      </c>
      <c r="P26" s="656">
        <f t="shared" si="3"/>
        <v>13170355.600000001</v>
      </c>
      <c r="Q26" s="704"/>
      <c r="R26" s="705"/>
      <c r="S26" s="706"/>
    </row>
    <row r="27" spans="1:19" s="659" customFormat="1">
      <c r="A27" s="652">
        <v>369</v>
      </c>
      <c r="B27" s="434">
        <f>'Sch. F 2015'!G27</f>
        <v>10388101</v>
      </c>
      <c r="C27" s="434">
        <v>168302.2</v>
      </c>
      <c r="D27" s="434">
        <v>0</v>
      </c>
      <c r="E27" s="434">
        <v>-6015</v>
      </c>
      <c r="F27" s="434">
        <v>-833.34</v>
      </c>
      <c r="G27" s="435">
        <f t="shared" si="0"/>
        <v>10549554.859999999</v>
      </c>
      <c r="H27" s="703">
        <f t="shared" si="1"/>
        <v>369</v>
      </c>
      <c r="I27" s="434">
        <f>'Sch. F 2015'!P27</f>
        <v>6787494</v>
      </c>
      <c r="J27" s="434">
        <f t="shared" si="2"/>
        <v>-6015</v>
      </c>
      <c r="K27" s="434">
        <v>367764.97</v>
      </c>
      <c r="L27" s="434">
        <f>810.29+170.1</f>
        <v>980.39</v>
      </c>
      <c r="M27" s="434">
        <f>-19494.12-170.1</f>
        <v>-19664.219999999998</v>
      </c>
      <c r="N27" s="434">
        <v>0</v>
      </c>
      <c r="O27" s="434">
        <v>0</v>
      </c>
      <c r="P27" s="656">
        <f t="shared" si="3"/>
        <v>7130560.1399999997</v>
      </c>
      <c r="Q27" s="704"/>
    </row>
    <row r="28" spans="1:19" s="659" customFormat="1">
      <c r="A28" s="652">
        <v>370</v>
      </c>
      <c r="B28" s="434">
        <f>'Sch. F 2015'!G28</f>
        <v>3974869</v>
      </c>
      <c r="C28" s="434">
        <v>130871.31</v>
      </c>
      <c r="D28" s="434">
        <v>0</v>
      </c>
      <c r="E28" s="434">
        <v>-70375</v>
      </c>
      <c r="F28" s="435">
        <v>0</v>
      </c>
      <c r="G28" s="435">
        <f t="shared" si="0"/>
        <v>4035365.31</v>
      </c>
      <c r="H28" s="703">
        <f t="shared" si="1"/>
        <v>370</v>
      </c>
      <c r="I28" s="434">
        <f>'Sch. F 2015'!P28</f>
        <v>2616852</v>
      </c>
      <c r="J28" s="434">
        <f t="shared" si="2"/>
        <v>-70375</v>
      </c>
      <c r="K28" s="434">
        <v>147854.53</v>
      </c>
      <c r="L28" s="434">
        <f>772.25+500</f>
        <v>1272.25</v>
      </c>
      <c r="M28" s="434">
        <f>-3924.82-500</f>
        <v>-4424.82</v>
      </c>
      <c r="N28" s="434">
        <v>0</v>
      </c>
      <c r="O28" s="434">
        <v>0</v>
      </c>
      <c r="P28" s="656">
        <f t="shared" si="3"/>
        <v>2691178.96</v>
      </c>
      <c r="Q28" s="704"/>
    </row>
    <row r="29" spans="1:19" s="659" customFormat="1">
      <c r="A29" s="652">
        <v>371</v>
      </c>
      <c r="B29" s="434">
        <f>'Sch. F 2015'!G29</f>
        <v>3178699</v>
      </c>
      <c r="C29" s="434">
        <v>117825.38</v>
      </c>
      <c r="D29" s="434">
        <v>0</v>
      </c>
      <c r="E29" s="434">
        <v>-26017</v>
      </c>
      <c r="F29" s="435">
        <v>0</v>
      </c>
      <c r="G29" s="435">
        <f t="shared" si="0"/>
        <v>3270507.38</v>
      </c>
      <c r="H29" s="703">
        <f t="shared" si="1"/>
        <v>371</v>
      </c>
      <c r="I29" s="434">
        <f>'Sch. F 2015'!P29</f>
        <v>1541501</v>
      </c>
      <c r="J29" s="434">
        <f t="shared" si="2"/>
        <v>-26017</v>
      </c>
      <c r="K29" s="434">
        <v>145109.06</v>
      </c>
      <c r="L29" s="434">
        <v>0</v>
      </c>
      <c r="M29" s="434">
        <v>-1199.19</v>
      </c>
      <c r="N29" s="434">
        <v>0</v>
      </c>
      <c r="O29" s="434">
        <v>0</v>
      </c>
      <c r="P29" s="656">
        <f t="shared" si="3"/>
        <v>1659393.87</v>
      </c>
      <c r="Q29" s="704"/>
    </row>
    <row r="30" spans="1:19" s="659" customFormat="1">
      <c r="A30" s="652">
        <v>373</v>
      </c>
      <c r="B30" s="434">
        <f>'Sch. F 2015'!G30</f>
        <v>1470684</v>
      </c>
      <c r="C30" s="434">
        <v>682756.22000000009</v>
      </c>
      <c r="D30" s="434">
        <v>0</v>
      </c>
      <c r="E30" s="434">
        <v>-4837</v>
      </c>
      <c r="F30" s="435">
        <v>0</v>
      </c>
      <c r="G30" s="435">
        <f t="shared" si="0"/>
        <v>2148603.2200000002</v>
      </c>
      <c r="H30" s="703">
        <f t="shared" si="1"/>
        <v>373</v>
      </c>
      <c r="I30" s="434">
        <f>'Sch. F 2015'!P30</f>
        <v>1120540</v>
      </c>
      <c r="J30" s="434">
        <f t="shared" si="2"/>
        <v>-4837</v>
      </c>
      <c r="K30" s="434">
        <v>73338</v>
      </c>
      <c r="L30" s="434">
        <v>0</v>
      </c>
      <c r="M30" s="434">
        <v>-681.89</v>
      </c>
      <c r="N30" s="434">
        <v>0</v>
      </c>
      <c r="O30" s="434">
        <v>0</v>
      </c>
      <c r="P30" s="656">
        <f t="shared" si="3"/>
        <v>1188359.1100000001</v>
      </c>
      <c r="Q30" s="704"/>
    </row>
    <row r="31" spans="1:19" s="659" customFormat="1">
      <c r="A31" s="652">
        <v>380</v>
      </c>
      <c r="B31" s="434">
        <f>'Sch. F 2015'!G31</f>
        <v>320005</v>
      </c>
      <c r="C31" s="434">
        <v>0</v>
      </c>
      <c r="D31" s="434">
        <v>0</v>
      </c>
      <c r="E31" s="434">
        <v>0</v>
      </c>
      <c r="F31" s="435">
        <v>0</v>
      </c>
      <c r="G31" s="435">
        <f>SUM(B31:F31)</f>
        <v>320005</v>
      </c>
      <c r="H31" s="703">
        <f t="shared" si="1"/>
        <v>380</v>
      </c>
      <c r="I31" s="434">
        <f>'Sch. F 2015'!P31</f>
        <v>0</v>
      </c>
      <c r="J31" s="434">
        <f t="shared" si="2"/>
        <v>0</v>
      </c>
      <c r="K31" s="434">
        <v>0</v>
      </c>
      <c r="L31" s="434">
        <v>0</v>
      </c>
      <c r="M31" s="434">
        <v>0</v>
      </c>
      <c r="N31" s="434">
        <v>0</v>
      </c>
      <c r="O31" s="434">
        <v>0</v>
      </c>
      <c r="P31" s="656">
        <f t="shared" si="3"/>
        <v>0</v>
      </c>
      <c r="Q31" s="704"/>
    </row>
    <row r="32" spans="1:19" s="659" customFormat="1">
      <c r="A32" s="652">
        <v>389</v>
      </c>
      <c r="B32" s="434">
        <f>'Sch. F 2015'!G32</f>
        <v>864156</v>
      </c>
      <c r="C32" s="434">
        <v>0</v>
      </c>
      <c r="D32" s="434">
        <v>0</v>
      </c>
      <c r="E32" s="434">
        <v>0</v>
      </c>
      <c r="F32" s="435">
        <v>0</v>
      </c>
      <c r="G32" s="435">
        <f t="shared" si="0"/>
        <v>864156</v>
      </c>
      <c r="H32" s="703">
        <f t="shared" si="1"/>
        <v>389</v>
      </c>
      <c r="I32" s="434">
        <f>'Sch. F 2015'!P32</f>
        <v>6704</v>
      </c>
      <c r="J32" s="434">
        <f t="shared" si="2"/>
        <v>0</v>
      </c>
      <c r="K32" s="434">
        <v>0</v>
      </c>
      <c r="L32" s="434">
        <v>0</v>
      </c>
      <c r="M32" s="434">
        <v>0</v>
      </c>
      <c r="N32" s="434">
        <v>0</v>
      </c>
      <c r="O32" s="434">
        <v>0</v>
      </c>
      <c r="P32" s="656">
        <f t="shared" si="3"/>
        <v>6704</v>
      </c>
      <c r="Q32" s="704"/>
    </row>
    <row r="33" spans="1:17" s="659" customFormat="1">
      <c r="A33" s="652">
        <v>390</v>
      </c>
      <c r="B33" s="434">
        <f>'Sch. F 2015'!G33</f>
        <v>4010284</v>
      </c>
      <c r="C33" s="434">
        <v>0</v>
      </c>
      <c r="D33" s="434">
        <v>0</v>
      </c>
      <c r="E33" s="434">
        <v>0</v>
      </c>
      <c r="F33" s="435">
        <v>0</v>
      </c>
      <c r="G33" s="435">
        <f t="shared" si="0"/>
        <v>4010284</v>
      </c>
      <c r="H33" s="703">
        <f t="shared" si="1"/>
        <v>390</v>
      </c>
      <c r="I33" s="434">
        <f>'Sch. F 2015'!P33</f>
        <v>689061</v>
      </c>
      <c r="J33" s="434">
        <f t="shared" si="2"/>
        <v>0</v>
      </c>
      <c r="K33" s="663">
        <v>80205.72</v>
      </c>
      <c r="L33" s="434">
        <v>0</v>
      </c>
      <c r="M33" s="434">
        <v>0</v>
      </c>
      <c r="N33" s="434">
        <v>0</v>
      </c>
      <c r="O33" s="434">
        <v>0</v>
      </c>
      <c r="P33" s="656">
        <f t="shared" si="3"/>
        <v>769266.72</v>
      </c>
      <c r="Q33" s="704"/>
    </row>
    <row r="34" spans="1:17" s="659" customFormat="1">
      <c r="A34" s="652">
        <v>3910</v>
      </c>
      <c r="B34" s="434">
        <f>'Sch. F 2015'!G34</f>
        <v>381381</v>
      </c>
      <c r="C34" s="434">
        <v>0</v>
      </c>
      <c r="D34" s="434">
        <v>0</v>
      </c>
      <c r="E34" s="434">
        <v>0</v>
      </c>
      <c r="F34" s="435">
        <v>0</v>
      </c>
      <c r="G34" s="435">
        <f t="shared" si="0"/>
        <v>381381</v>
      </c>
      <c r="H34" s="703">
        <f t="shared" si="1"/>
        <v>3910</v>
      </c>
      <c r="I34" s="434">
        <f>'Sch. F 2015'!P34</f>
        <v>143737</v>
      </c>
      <c r="J34" s="434">
        <f t="shared" si="2"/>
        <v>0</v>
      </c>
      <c r="K34" s="663">
        <f>15258.12+36792.48</f>
        <v>52050.600000000006</v>
      </c>
      <c r="L34" s="434">
        <v>0</v>
      </c>
      <c r="M34" s="434">
        <v>0</v>
      </c>
      <c r="N34" s="434">
        <v>0</v>
      </c>
      <c r="O34" s="434">
        <v>0</v>
      </c>
      <c r="P34" s="656">
        <f t="shared" si="3"/>
        <v>195787.6</v>
      </c>
      <c r="Q34" s="704"/>
    </row>
    <row r="35" spans="1:17" s="659" customFormat="1">
      <c r="A35" s="652">
        <v>3911</v>
      </c>
      <c r="B35" s="434">
        <f>'Sch. F 2015'!G35</f>
        <v>10900</v>
      </c>
      <c r="C35" s="434">
        <v>0</v>
      </c>
      <c r="D35" s="434">
        <v>0</v>
      </c>
      <c r="E35" s="434">
        <v>0</v>
      </c>
      <c r="F35" s="435">
        <v>0</v>
      </c>
      <c r="G35" s="435">
        <f t="shared" si="0"/>
        <v>10900</v>
      </c>
      <c r="H35" s="703">
        <f t="shared" si="1"/>
        <v>3911</v>
      </c>
      <c r="I35" s="434">
        <f>'Sch. F 2015'!P35</f>
        <v>3114.4</v>
      </c>
      <c r="J35" s="434">
        <f t="shared" si="2"/>
        <v>0</v>
      </c>
      <c r="K35" s="434">
        <v>0</v>
      </c>
      <c r="L35" s="434">
        <v>0</v>
      </c>
      <c r="M35" s="434">
        <v>0</v>
      </c>
      <c r="N35" s="434">
        <v>0</v>
      </c>
      <c r="O35" s="434">
        <v>0</v>
      </c>
      <c r="P35" s="656">
        <f t="shared" si="3"/>
        <v>3114.4</v>
      </c>
      <c r="Q35" s="704"/>
    </row>
    <row r="36" spans="1:17" s="659" customFormat="1" ht="16.5" customHeight="1">
      <c r="A36" s="652">
        <v>3912</v>
      </c>
      <c r="B36" s="434">
        <f>'Sch. F 2015'!G36</f>
        <v>267818</v>
      </c>
      <c r="C36" s="434">
        <v>9049.4</v>
      </c>
      <c r="D36" s="434">
        <v>0</v>
      </c>
      <c r="E36" s="434">
        <v>0</v>
      </c>
      <c r="F36" s="435">
        <v>0</v>
      </c>
      <c r="G36" s="435">
        <f t="shared" si="0"/>
        <v>276867.40000000002</v>
      </c>
      <c r="H36" s="703">
        <f t="shared" si="1"/>
        <v>3912</v>
      </c>
      <c r="I36" s="434">
        <f>'Sch. F 2015'!P36</f>
        <v>260198</v>
      </c>
      <c r="J36" s="434">
        <f t="shared" si="2"/>
        <v>0</v>
      </c>
      <c r="K36" s="434">
        <v>14700.119999999999</v>
      </c>
      <c r="L36" s="434">
        <v>0</v>
      </c>
      <c r="M36" s="434">
        <v>0</v>
      </c>
      <c r="N36" s="434">
        <v>0</v>
      </c>
      <c r="O36" s="434">
        <v>0</v>
      </c>
      <c r="P36" s="656">
        <f t="shared" si="3"/>
        <v>274898.12</v>
      </c>
      <c r="Q36" s="704"/>
    </row>
    <row r="37" spans="1:17" s="659" customFormat="1">
      <c r="A37" s="652">
        <v>3913</v>
      </c>
      <c r="B37" s="434">
        <f>'Sch. F 2015'!G37</f>
        <v>6997</v>
      </c>
      <c r="C37" s="434">
        <v>0</v>
      </c>
      <c r="D37" s="434">
        <v>0</v>
      </c>
      <c r="E37" s="434">
        <v>0</v>
      </c>
      <c r="F37" s="435">
        <v>0</v>
      </c>
      <c r="G37" s="435">
        <f t="shared" si="0"/>
        <v>6997</v>
      </c>
      <c r="H37" s="703">
        <f t="shared" si="1"/>
        <v>3913</v>
      </c>
      <c r="I37" s="434">
        <f>'Sch. F 2015'!P37</f>
        <v>5625</v>
      </c>
      <c r="J37" s="434">
        <f t="shared" si="2"/>
        <v>0</v>
      </c>
      <c r="K37" s="434">
        <v>343.17</v>
      </c>
      <c r="L37" s="434">
        <v>0</v>
      </c>
      <c r="M37" s="434">
        <v>0</v>
      </c>
      <c r="N37" s="434">
        <v>0</v>
      </c>
      <c r="O37" s="434">
        <v>0</v>
      </c>
      <c r="P37" s="656">
        <f t="shared" si="3"/>
        <v>5968.17</v>
      </c>
      <c r="Q37" s="704"/>
    </row>
    <row r="38" spans="1:17" s="659" customFormat="1">
      <c r="A38" s="652">
        <v>3914</v>
      </c>
      <c r="B38" s="434">
        <f>'Sch. F 2015'!G38</f>
        <v>1123475</v>
      </c>
      <c r="C38" s="434">
        <v>13763.28</v>
      </c>
      <c r="D38" s="434">
        <v>0</v>
      </c>
      <c r="E38" s="434">
        <v>0</v>
      </c>
      <c r="F38" s="435">
        <v>0</v>
      </c>
      <c r="G38" s="435">
        <f t="shared" si="0"/>
        <v>1137238.28</v>
      </c>
      <c r="H38" s="703">
        <f t="shared" si="1"/>
        <v>3914</v>
      </c>
      <c r="I38" s="434">
        <f>'Sch. F 2015'!P38</f>
        <v>1019345</v>
      </c>
      <c r="J38" s="434">
        <f t="shared" si="2"/>
        <v>0</v>
      </c>
      <c r="K38" s="434">
        <v>11928.49</v>
      </c>
      <c r="L38" s="434">
        <v>0</v>
      </c>
      <c r="M38" s="434">
        <v>0</v>
      </c>
      <c r="N38" s="434">
        <v>0</v>
      </c>
      <c r="O38" s="434">
        <v>0</v>
      </c>
      <c r="P38" s="656">
        <f t="shared" si="3"/>
        <v>1031273.49</v>
      </c>
      <c r="Q38" s="704"/>
    </row>
    <row r="39" spans="1:17" s="659" customFormat="1">
      <c r="A39" s="652">
        <v>3921</v>
      </c>
      <c r="B39" s="434">
        <f>'Sch. F 2015'!G39</f>
        <v>39952</v>
      </c>
      <c r="C39" s="434">
        <v>308251.59999999998</v>
      </c>
      <c r="D39" s="434">
        <f>65720-65720</f>
        <v>0</v>
      </c>
      <c r="E39" s="434">
        <v>0</v>
      </c>
      <c r="F39" s="434">
        <f>0+65720</f>
        <v>65720</v>
      </c>
      <c r="G39" s="435">
        <f t="shared" si="0"/>
        <v>413923.6</v>
      </c>
      <c r="H39" s="703">
        <f t="shared" si="1"/>
        <v>3921</v>
      </c>
      <c r="I39" s="434">
        <f>'Sch. F 2015'!P39</f>
        <v>-5317</v>
      </c>
      <c r="J39" s="434">
        <f t="shared" si="2"/>
        <v>0</v>
      </c>
      <c r="K39" s="434">
        <v>15477.18</v>
      </c>
      <c r="L39" s="434">
        <v>0</v>
      </c>
      <c r="M39" s="434">
        <v>0</v>
      </c>
      <c r="N39" s="434">
        <v>0</v>
      </c>
      <c r="O39" s="434">
        <v>0</v>
      </c>
      <c r="P39" s="656">
        <f t="shared" si="3"/>
        <v>10160.18</v>
      </c>
      <c r="Q39" s="704"/>
    </row>
    <row r="40" spans="1:17" s="659" customFormat="1">
      <c r="A40" s="652">
        <v>3922</v>
      </c>
      <c r="B40" s="434">
        <f>'Sch. F 2015'!G40</f>
        <v>952457</v>
      </c>
      <c r="C40" s="434">
        <v>76268.399999999994</v>
      </c>
      <c r="D40" s="434">
        <v>25019.95</v>
      </c>
      <c r="E40" s="434">
        <v>0</v>
      </c>
      <c r="F40" s="434">
        <v>0</v>
      </c>
      <c r="G40" s="435">
        <f t="shared" si="0"/>
        <v>1053745.3500000001</v>
      </c>
      <c r="H40" s="703">
        <f t="shared" si="1"/>
        <v>3922</v>
      </c>
      <c r="I40" s="434">
        <f>'Sch. F 2015'!P40</f>
        <v>589136</v>
      </c>
      <c r="J40" s="434">
        <f t="shared" si="2"/>
        <v>0</v>
      </c>
      <c r="K40" s="434">
        <v>35374.71</v>
      </c>
      <c r="L40" s="434">
        <v>0</v>
      </c>
      <c r="M40" s="434">
        <v>0</v>
      </c>
      <c r="N40" s="434">
        <v>15687.54</v>
      </c>
      <c r="O40" s="434">
        <v>0</v>
      </c>
      <c r="P40" s="656">
        <f t="shared" si="3"/>
        <v>640198.25</v>
      </c>
      <c r="Q40" s="704"/>
    </row>
    <row r="41" spans="1:17">
      <c r="A41" s="652">
        <v>3923</v>
      </c>
      <c r="B41" s="434">
        <f>'Sch. F 2015'!G41</f>
        <v>3534619</v>
      </c>
      <c r="C41" s="434">
        <v>161017.54</v>
      </c>
      <c r="D41" s="434">
        <f>-65720+65720</f>
        <v>0</v>
      </c>
      <c r="E41" s="434">
        <v>0</v>
      </c>
      <c r="F41" s="434">
        <f>0-65720</f>
        <v>-65720</v>
      </c>
      <c r="G41" s="434">
        <f t="shared" si="0"/>
        <v>3629916.54</v>
      </c>
      <c r="H41" s="703">
        <f t="shared" si="1"/>
        <v>3923</v>
      </c>
      <c r="I41" s="434">
        <f>'Sch. F 2015'!P41</f>
        <v>1813599</v>
      </c>
      <c r="J41" s="434">
        <f t="shared" si="2"/>
        <v>0</v>
      </c>
      <c r="K41" s="434">
        <v>252315.14</v>
      </c>
      <c r="L41" s="434">
        <v>0</v>
      </c>
      <c r="M41" s="434">
        <v>0</v>
      </c>
      <c r="N41" s="434">
        <v>0</v>
      </c>
      <c r="O41" s="434">
        <v>0</v>
      </c>
      <c r="P41" s="656">
        <f t="shared" si="3"/>
        <v>2065914.1400000001</v>
      </c>
      <c r="Q41" s="704"/>
    </row>
    <row r="42" spans="1:17">
      <c r="A42" s="665">
        <v>3924</v>
      </c>
      <c r="B42" s="434">
        <f>'Sch. F 2015'!G42</f>
        <v>144084</v>
      </c>
      <c r="C42" s="434">
        <v>0</v>
      </c>
      <c r="D42" s="434">
        <v>0</v>
      </c>
      <c r="E42" s="434">
        <v>0</v>
      </c>
      <c r="F42" s="435">
        <v>0</v>
      </c>
      <c r="G42" s="434">
        <f t="shared" si="0"/>
        <v>144084</v>
      </c>
      <c r="H42" s="703">
        <f t="shared" si="1"/>
        <v>3924</v>
      </c>
      <c r="I42" s="434">
        <f>'Sch. F 2015'!P42</f>
        <v>67177</v>
      </c>
      <c r="J42" s="434">
        <f t="shared" si="2"/>
        <v>0</v>
      </c>
      <c r="K42" s="434">
        <v>5832.75</v>
      </c>
      <c r="L42" s="434">
        <v>0</v>
      </c>
      <c r="M42" s="434">
        <v>0</v>
      </c>
      <c r="N42" s="434">
        <v>0</v>
      </c>
      <c r="O42" s="434">
        <v>0</v>
      </c>
      <c r="P42" s="656">
        <f t="shared" si="3"/>
        <v>73009.75</v>
      </c>
      <c r="Q42" s="704"/>
    </row>
    <row r="43" spans="1:17">
      <c r="A43" s="665">
        <v>393</v>
      </c>
      <c r="B43" s="434">
        <f>'Sch. F 2015'!G43</f>
        <v>149712</v>
      </c>
      <c r="C43" s="434">
        <v>0</v>
      </c>
      <c r="D43" s="434">
        <v>0</v>
      </c>
      <c r="E43" s="444">
        <v>0</v>
      </c>
      <c r="F43" s="435">
        <v>0</v>
      </c>
      <c r="G43" s="435">
        <f t="shared" si="0"/>
        <v>149712</v>
      </c>
      <c r="H43" s="703">
        <f t="shared" si="1"/>
        <v>393</v>
      </c>
      <c r="I43" s="434">
        <f>'Sch. F 2015'!P43</f>
        <v>134851</v>
      </c>
      <c r="J43" s="434">
        <f t="shared" si="2"/>
        <v>0</v>
      </c>
      <c r="K43" s="434">
        <v>6303.96</v>
      </c>
      <c r="L43" s="434">
        <v>0</v>
      </c>
      <c r="M43" s="434">
        <v>0</v>
      </c>
      <c r="N43" s="434">
        <v>0</v>
      </c>
      <c r="O43" s="434">
        <v>0</v>
      </c>
      <c r="P43" s="656">
        <f t="shared" si="3"/>
        <v>141154.96</v>
      </c>
      <c r="Q43" s="704"/>
    </row>
    <row r="44" spans="1:17">
      <c r="A44" s="443">
        <v>394</v>
      </c>
      <c r="B44" s="434">
        <f>'Sch. F 2015'!G44</f>
        <v>373073</v>
      </c>
      <c r="C44" s="434">
        <v>40079.839999999997</v>
      </c>
      <c r="D44" s="434">
        <v>0</v>
      </c>
      <c r="E44" s="434">
        <v>0</v>
      </c>
      <c r="F44" s="435">
        <v>0</v>
      </c>
      <c r="G44" s="444">
        <f t="shared" si="0"/>
        <v>413152.83999999997</v>
      </c>
      <c r="H44" s="703">
        <f t="shared" si="1"/>
        <v>394</v>
      </c>
      <c r="I44" s="434">
        <f>'Sch. F 2015'!P44</f>
        <v>237046</v>
      </c>
      <c r="J44" s="434">
        <f t="shared" si="2"/>
        <v>0</v>
      </c>
      <c r="K44" s="434">
        <v>31630.92</v>
      </c>
      <c r="L44" s="444">
        <v>0</v>
      </c>
      <c r="M44" s="444">
        <v>0</v>
      </c>
      <c r="N44" s="444">
        <v>0</v>
      </c>
      <c r="O44" s="434">
        <v>0</v>
      </c>
      <c r="P44" s="656">
        <f t="shared" si="3"/>
        <v>268676.92</v>
      </c>
      <c r="Q44" s="704"/>
    </row>
    <row r="45" spans="1:17" s="659" customFormat="1">
      <c r="A45" s="652">
        <v>395</v>
      </c>
      <c r="B45" s="434">
        <f>'Sch. F 2015'!G45</f>
        <v>119512</v>
      </c>
      <c r="C45" s="434">
        <v>0</v>
      </c>
      <c r="D45" s="434">
        <v>0</v>
      </c>
      <c r="E45" s="434">
        <v>0</v>
      </c>
      <c r="F45" s="435">
        <v>0</v>
      </c>
      <c r="G45" s="435">
        <f t="shared" si="0"/>
        <v>119512</v>
      </c>
      <c r="H45" s="703">
        <f t="shared" si="1"/>
        <v>395</v>
      </c>
      <c r="I45" s="434">
        <f>'Sch. F 2015'!P45</f>
        <v>98290</v>
      </c>
      <c r="J45" s="434">
        <f t="shared" si="2"/>
        <v>0</v>
      </c>
      <c r="K45" s="434">
        <v>7018.5099999999993</v>
      </c>
      <c r="L45" s="434">
        <v>0</v>
      </c>
      <c r="M45" s="434">
        <v>0</v>
      </c>
      <c r="N45" s="434">
        <v>0</v>
      </c>
      <c r="O45" s="434">
        <v>0</v>
      </c>
      <c r="P45" s="656">
        <f t="shared" si="3"/>
        <v>105308.51</v>
      </c>
      <c r="Q45" s="704"/>
    </row>
    <row r="46" spans="1:17" s="659" customFormat="1">
      <c r="A46" s="652">
        <v>396</v>
      </c>
      <c r="B46" s="434">
        <f>'Sch. F 2015'!G46</f>
        <v>302981</v>
      </c>
      <c r="C46" s="434">
        <v>581723.44000000006</v>
      </c>
      <c r="D46" s="434">
        <v>0</v>
      </c>
      <c r="E46" s="434">
        <v>0</v>
      </c>
      <c r="F46" s="435">
        <v>0</v>
      </c>
      <c r="G46" s="435">
        <f t="shared" si="0"/>
        <v>884704.44000000006</v>
      </c>
      <c r="H46" s="703">
        <f t="shared" si="1"/>
        <v>396</v>
      </c>
      <c r="I46" s="434">
        <f>'Sch. F 2015'!P46</f>
        <v>207002</v>
      </c>
      <c r="J46" s="434">
        <f t="shared" si="2"/>
        <v>0</v>
      </c>
      <c r="K46" s="434">
        <v>11968.730000000001</v>
      </c>
      <c r="L46" s="434">
        <v>0</v>
      </c>
      <c r="M46" s="434">
        <v>0</v>
      </c>
      <c r="N46" s="434">
        <v>0</v>
      </c>
      <c r="O46" s="434">
        <v>0</v>
      </c>
      <c r="P46" s="656">
        <f t="shared" si="3"/>
        <v>218970.73</v>
      </c>
      <c r="Q46" s="704"/>
    </row>
    <row r="47" spans="1:17" s="707" customFormat="1">
      <c r="A47" s="652">
        <v>397</v>
      </c>
      <c r="B47" s="434">
        <f>'Sch. F 2015'!G47</f>
        <v>366628</v>
      </c>
      <c r="C47" s="434">
        <v>0</v>
      </c>
      <c r="D47" s="434">
        <v>0</v>
      </c>
      <c r="E47" s="434">
        <v>0</v>
      </c>
      <c r="F47" s="435">
        <v>0</v>
      </c>
      <c r="G47" s="435">
        <f t="shared" si="0"/>
        <v>366628</v>
      </c>
      <c r="H47" s="703">
        <f t="shared" si="1"/>
        <v>397</v>
      </c>
      <c r="I47" s="434">
        <f>'Sch. F 2015'!P47</f>
        <v>273371</v>
      </c>
      <c r="J47" s="434">
        <f t="shared" si="2"/>
        <v>0</v>
      </c>
      <c r="K47" s="434">
        <v>32719.199999999997</v>
      </c>
      <c r="L47" s="434">
        <v>0</v>
      </c>
      <c r="M47" s="434">
        <v>0</v>
      </c>
      <c r="N47" s="434">
        <v>0</v>
      </c>
      <c r="O47" s="434">
        <v>0</v>
      </c>
      <c r="P47" s="656">
        <f t="shared" si="3"/>
        <v>306090.2</v>
      </c>
      <c r="Q47" s="704"/>
    </row>
    <row r="48" spans="1:17" s="659" customFormat="1">
      <c r="A48" s="652">
        <v>398</v>
      </c>
      <c r="B48" s="434">
        <f>'Sch. F 2015'!G48</f>
        <v>56868</v>
      </c>
      <c r="C48" s="434">
        <v>0</v>
      </c>
      <c r="D48" s="434">
        <v>0</v>
      </c>
      <c r="E48" s="434">
        <v>0</v>
      </c>
      <c r="F48" s="435">
        <v>0</v>
      </c>
      <c r="G48" s="435">
        <f t="shared" si="0"/>
        <v>56868</v>
      </c>
      <c r="H48" s="703">
        <f t="shared" si="1"/>
        <v>398</v>
      </c>
      <c r="I48" s="434">
        <f>'Sch. F 2015'!P48</f>
        <v>27498</v>
      </c>
      <c r="J48" s="434">
        <f t="shared" si="2"/>
        <v>0</v>
      </c>
      <c r="K48" s="434">
        <v>5789.5</v>
      </c>
      <c r="L48" s="434">
        <v>0</v>
      </c>
      <c r="M48" s="434">
        <v>0</v>
      </c>
      <c r="N48" s="434">
        <v>0</v>
      </c>
      <c r="O48" s="434">
        <v>0</v>
      </c>
      <c r="P48" s="656">
        <f t="shared" si="3"/>
        <v>33287.5</v>
      </c>
      <c r="Q48" s="704"/>
    </row>
    <row r="49" spans="1:17" s="659" customFormat="1">
      <c r="A49" s="652">
        <v>399</v>
      </c>
      <c r="B49" s="434">
        <f>'Sch. F 2015'!G49</f>
        <v>10000</v>
      </c>
      <c r="C49" s="434">
        <v>0</v>
      </c>
      <c r="D49" s="434">
        <v>0</v>
      </c>
      <c r="E49" s="434">
        <v>0</v>
      </c>
      <c r="F49" s="435">
        <v>0</v>
      </c>
      <c r="G49" s="435">
        <f t="shared" si="0"/>
        <v>10000</v>
      </c>
      <c r="H49" s="703">
        <f t="shared" si="1"/>
        <v>399</v>
      </c>
      <c r="I49" s="434">
        <f>'Sch. F 2015'!P49</f>
        <v>10000</v>
      </c>
      <c r="J49" s="434">
        <f t="shared" si="2"/>
        <v>0</v>
      </c>
      <c r="K49" s="434">
        <v>0</v>
      </c>
      <c r="L49" s="434">
        <v>0</v>
      </c>
      <c r="M49" s="434">
        <v>0</v>
      </c>
      <c r="N49" s="434">
        <v>0</v>
      </c>
      <c r="O49" s="434">
        <v>0</v>
      </c>
      <c r="P49" s="656">
        <f t="shared" si="3"/>
        <v>10000</v>
      </c>
      <c r="Q49" s="704"/>
    </row>
    <row r="50" spans="1:17" ht="13.5" thickBot="1">
      <c r="A50" s="667" t="s">
        <v>98</v>
      </c>
      <c r="B50" s="668">
        <f t="shared" ref="B50:G50" si="4">SUM(B9:B49)</f>
        <v>112096320</v>
      </c>
      <c r="C50" s="668">
        <f t="shared" si="4"/>
        <v>13054660.18</v>
      </c>
      <c r="D50" s="668">
        <f t="shared" si="4"/>
        <v>25019.95</v>
      </c>
      <c r="E50" s="668">
        <f>SUM(E9:E49)</f>
        <v>-159379</v>
      </c>
      <c r="F50" s="668">
        <f t="shared" si="4"/>
        <v>-172054.24000000002</v>
      </c>
      <c r="G50" s="668">
        <f t="shared" si="4"/>
        <v>124844566.89</v>
      </c>
      <c r="H50" s="670"/>
      <c r="I50" s="668">
        <f t="shared" ref="I50:O50" si="5">SUM(I9:I49)</f>
        <v>56587761.399999999</v>
      </c>
      <c r="J50" s="668">
        <f t="shared" si="5"/>
        <v>-159379</v>
      </c>
      <c r="K50" s="668">
        <f t="shared" si="5"/>
        <v>3991235.9899999998</v>
      </c>
      <c r="L50" s="668">
        <f t="shared" si="5"/>
        <v>6403.35</v>
      </c>
      <c r="M50" s="668">
        <f t="shared" si="5"/>
        <v>-272478.99</v>
      </c>
      <c r="N50" s="668">
        <f t="shared" si="5"/>
        <v>15687.54</v>
      </c>
      <c r="O50" s="668">
        <f t="shared" si="5"/>
        <v>0</v>
      </c>
      <c r="P50" s="671">
        <f>SUM(P9:P49)-1</f>
        <v>60169229.289999999</v>
      </c>
    </row>
    <row r="51" spans="1:17" ht="13.5" thickTop="1">
      <c r="C51" s="673"/>
      <c r="G51" s="642"/>
      <c r="P51" s="673"/>
    </row>
    <row r="52" spans="1:17">
      <c r="G52" s="676"/>
    </row>
  </sheetData>
  <mergeCells count="5">
    <mergeCell ref="A1:P1"/>
    <mergeCell ref="A2:P2"/>
    <mergeCell ref="A3:P3"/>
    <mergeCell ref="A4:P4"/>
    <mergeCell ref="A6:G6"/>
  </mergeCells>
  <printOptions horizontalCentered="1"/>
  <pageMargins left="0.5" right="0.5" top="0.5" bottom="0.75" header="0.3" footer="0.3"/>
  <pageSetup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50"/>
    <pageSetUpPr fitToPage="1"/>
  </sheetPr>
  <dimension ref="A1:R32"/>
  <sheetViews>
    <sheetView topLeftCell="A11" workbookViewId="0">
      <selection sqref="A1:XFD3"/>
    </sheetView>
  </sheetViews>
  <sheetFormatPr defaultColWidth="8.7109375" defaultRowHeight="15"/>
  <cols>
    <col min="1" max="1" width="10.42578125" style="681" bestFit="1" customWidth="1"/>
    <col min="2" max="2" width="13.7109375" style="681" bestFit="1" customWidth="1"/>
    <col min="3" max="3" width="11.7109375" style="478" bestFit="1" customWidth="1"/>
    <col min="4" max="4" width="8.7109375" style="681" bestFit="1" customWidth="1"/>
    <col min="5" max="5" width="9.7109375" style="480" bestFit="1" customWidth="1"/>
    <col min="6" max="6" width="60.42578125" style="701" bestFit="1" customWidth="1"/>
    <col min="7" max="7" width="18.28515625" style="681" bestFit="1" customWidth="1"/>
    <col min="8" max="8" width="10.42578125" style="681" bestFit="1" customWidth="1"/>
    <col min="9" max="16384" width="8.7109375" style="681"/>
  </cols>
  <sheetData>
    <row r="1" spans="1:18" s="457" customFormat="1" ht="18">
      <c r="A1" s="766" t="s">
        <v>105</v>
      </c>
      <c r="B1" s="766"/>
      <c r="C1" s="766"/>
      <c r="D1" s="766"/>
      <c r="E1" s="766"/>
      <c r="F1" s="766"/>
      <c r="G1" s="456"/>
      <c r="H1" s="456"/>
      <c r="I1" s="456"/>
      <c r="J1" s="456"/>
      <c r="K1" s="456"/>
      <c r="L1" s="456"/>
      <c r="M1" s="456"/>
      <c r="N1" s="456"/>
      <c r="O1" s="456"/>
      <c r="P1" s="456"/>
      <c r="Q1" s="456"/>
      <c r="R1" s="456"/>
    </row>
    <row r="2" spans="1:18" s="459" customFormat="1">
      <c r="A2" s="767" t="s">
        <v>271</v>
      </c>
      <c r="B2" s="767"/>
      <c r="C2" s="767"/>
      <c r="D2" s="767"/>
      <c r="E2" s="767"/>
      <c r="F2" s="767"/>
      <c r="G2" s="458"/>
      <c r="H2" s="458"/>
      <c r="I2" s="458"/>
      <c r="J2" s="458"/>
      <c r="K2" s="458"/>
      <c r="L2" s="458"/>
      <c r="M2" s="458"/>
      <c r="N2" s="458"/>
      <c r="O2" s="458"/>
      <c r="P2" s="458"/>
      <c r="Q2" s="458"/>
      <c r="R2" s="458"/>
    </row>
    <row r="3" spans="1:18" s="459" customFormat="1" ht="15.75">
      <c r="A3" s="768" t="s">
        <v>222</v>
      </c>
      <c r="B3" s="768"/>
      <c r="C3" s="768"/>
      <c r="D3" s="768"/>
      <c r="E3" s="768"/>
      <c r="F3" s="768"/>
      <c r="G3" s="460"/>
      <c r="H3" s="460"/>
      <c r="I3" s="460"/>
      <c r="J3" s="460"/>
      <c r="K3" s="460"/>
      <c r="L3" s="460"/>
      <c r="M3" s="460"/>
      <c r="N3" s="460"/>
      <c r="O3" s="460"/>
      <c r="P3" s="460"/>
      <c r="Q3" s="460"/>
      <c r="R3" s="460"/>
    </row>
    <row r="4" spans="1:18" s="464" customFormat="1" ht="13.5" thickBot="1">
      <c r="A4" s="461"/>
      <c r="B4" s="462"/>
      <c r="C4" s="462"/>
      <c r="D4" s="462"/>
      <c r="E4" s="463"/>
      <c r="F4" s="462"/>
      <c r="G4" s="462"/>
      <c r="H4" s="462"/>
      <c r="I4" s="462"/>
      <c r="J4" s="462"/>
      <c r="K4" s="462"/>
      <c r="L4" s="462"/>
      <c r="M4" s="462"/>
      <c r="N4" s="462"/>
      <c r="O4" s="462"/>
      <c r="P4" s="462"/>
      <c r="Q4" s="462"/>
      <c r="R4" s="462"/>
    </row>
    <row r="5" spans="1:18" s="469" customFormat="1" ht="26.25" thickBot="1">
      <c r="A5" s="519" t="s">
        <v>124</v>
      </c>
      <c r="B5" s="520" t="s">
        <v>125</v>
      </c>
      <c r="C5" s="520" t="s">
        <v>126</v>
      </c>
      <c r="D5" s="520" t="s">
        <v>127</v>
      </c>
      <c r="E5" s="521" t="s">
        <v>128</v>
      </c>
      <c r="F5" s="522" t="s">
        <v>129</v>
      </c>
    </row>
    <row r="6" spans="1:18" ht="26.25">
      <c r="A6" s="677" t="s">
        <v>223</v>
      </c>
      <c r="B6" s="678" t="s">
        <v>131</v>
      </c>
      <c r="C6" s="678" t="s">
        <v>116</v>
      </c>
      <c r="D6" s="708">
        <v>364</v>
      </c>
      <c r="E6" s="526">
        <f>+'Sch. F 2016'!C22</f>
        <v>711383.20000000007</v>
      </c>
      <c r="F6" s="680" t="s">
        <v>224</v>
      </c>
    </row>
    <row r="7" spans="1:18" ht="26.25">
      <c r="A7" s="682" t="s">
        <v>223</v>
      </c>
      <c r="B7" s="683" t="s">
        <v>131</v>
      </c>
      <c r="C7" s="709" t="s">
        <v>117</v>
      </c>
      <c r="D7" s="684">
        <v>3921</v>
      </c>
      <c r="E7" s="474">
        <f>+'Sch. F 2016'!D39</f>
        <v>0</v>
      </c>
      <c r="F7" s="686" t="s">
        <v>225</v>
      </c>
    </row>
    <row r="8" spans="1:18" ht="26.25">
      <c r="A8" s="682" t="s">
        <v>223</v>
      </c>
      <c r="B8" s="683" t="s">
        <v>131</v>
      </c>
      <c r="C8" s="709" t="s">
        <v>117</v>
      </c>
      <c r="D8" s="684">
        <v>3923</v>
      </c>
      <c r="E8" s="474">
        <f>+'Sch. F 2016'!D41</f>
        <v>0</v>
      </c>
      <c r="F8" s="686" t="s">
        <v>226</v>
      </c>
    </row>
    <row r="9" spans="1:18" ht="39">
      <c r="A9" s="682" t="s">
        <v>223</v>
      </c>
      <c r="B9" s="683" t="s">
        <v>131</v>
      </c>
      <c r="C9" s="683" t="s">
        <v>118</v>
      </c>
      <c r="D9" s="684">
        <v>370</v>
      </c>
      <c r="E9" s="474">
        <f>+'Sch. F 2016'!E28</f>
        <v>-70375</v>
      </c>
      <c r="F9" s="686" t="s">
        <v>227</v>
      </c>
    </row>
    <row r="10" spans="1:18" ht="26.25">
      <c r="A10" s="682" t="s">
        <v>223</v>
      </c>
      <c r="B10" s="683" t="s">
        <v>131</v>
      </c>
      <c r="C10" s="683" t="s">
        <v>149</v>
      </c>
      <c r="D10" s="684">
        <v>364</v>
      </c>
      <c r="E10" s="474">
        <f>+'Sch. F 2016'!F22</f>
        <v>0</v>
      </c>
      <c r="F10" s="686" t="s">
        <v>228</v>
      </c>
    </row>
    <row r="11" spans="1:18" ht="26.25">
      <c r="A11" s="682" t="s">
        <v>223</v>
      </c>
      <c r="B11" s="683" t="s">
        <v>131</v>
      </c>
      <c r="C11" s="683" t="s">
        <v>149</v>
      </c>
      <c r="D11" s="684">
        <v>3921</v>
      </c>
      <c r="E11" s="474">
        <f>+'Sch. F 2016'!F39</f>
        <v>65720</v>
      </c>
      <c r="F11" s="686" t="s">
        <v>229</v>
      </c>
    </row>
    <row r="12" spans="1:18" ht="26.25">
      <c r="A12" s="682" t="s">
        <v>223</v>
      </c>
      <c r="B12" s="683" t="s">
        <v>131</v>
      </c>
      <c r="C12" s="683" t="s">
        <v>149</v>
      </c>
      <c r="D12" s="684">
        <v>3923</v>
      </c>
      <c r="E12" s="474">
        <f>+'Sch. F 2016'!F41</f>
        <v>-65720</v>
      </c>
      <c r="F12" s="686" t="s">
        <v>229</v>
      </c>
    </row>
    <row r="13" spans="1:18" ht="39">
      <c r="A13" s="682" t="s">
        <v>223</v>
      </c>
      <c r="B13" s="683" t="s">
        <v>137</v>
      </c>
      <c r="C13" s="683" t="s">
        <v>118</v>
      </c>
      <c r="D13" s="684">
        <v>370</v>
      </c>
      <c r="E13" s="474">
        <f>+'Sch. F 2016'!J28</f>
        <v>-70375</v>
      </c>
      <c r="F13" s="686" t="s">
        <v>227</v>
      </c>
    </row>
    <row r="14" spans="1:18" ht="26.25">
      <c r="A14" s="694" t="s">
        <v>223</v>
      </c>
      <c r="B14" s="689" t="s">
        <v>137</v>
      </c>
      <c r="C14" s="690" t="s">
        <v>120</v>
      </c>
      <c r="D14" s="691">
        <v>3910</v>
      </c>
      <c r="E14" s="692">
        <f>'Sch. F 2016'!K34</f>
        <v>52050.600000000006</v>
      </c>
      <c r="F14" s="693" t="s">
        <v>230</v>
      </c>
    </row>
    <row r="15" spans="1:18" ht="26.25">
      <c r="A15" s="694" t="s">
        <v>223</v>
      </c>
      <c r="B15" s="690" t="s">
        <v>137</v>
      </c>
      <c r="C15" s="690" t="s">
        <v>120</v>
      </c>
      <c r="D15" s="691">
        <v>3911</v>
      </c>
      <c r="E15" s="692">
        <f>'Sch. F 2016'!K35</f>
        <v>0</v>
      </c>
      <c r="F15" s="693" t="s">
        <v>231</v>
      </c>
    </row>
    <row r="16" spans="1:18">
      <c r="A16" s="682" t="s">
        <v>223</v>
      </c>
      <c r="B16" s="683" t="s">
        <v>137</v>
      </c>
      <c r="C16" s="683" t="s">
        <v>121</v>
      </c>
      <c r="D16" s="684">
        <v>365</v>
      </c>
      <c r="E16" s="474">
        <f>+'Sch. F 2016'!L23</f>
        <v>3921.56</v>
      </c>
      <c r="F16" s="686" t="s">
        <v>232</v>
      </c>
    </row>
    <row r="17" spans="1:7">
      <c r="A17" s="682" t="s">
        <v>223</v>
      </c>
      <c r="B17" s="683" t="s">
        <v>137</v>
      </c>
      <c r="C17" s="683" t="s">
        <v>121</v>
      </c>
      <c r="D17" s="684">
        <v>368</v>
      </c>
      <c r="E17" s="474">
        <f>+'Sch. F 2016'!L26</f>
        <v>229.14999999999998</v>
      </c>
      <c r="F17" s="686" t="s">
        <v>233</v>
      </c>
    </row>
    <row r="18" spans="1:7">
      <c r="A18" s="682" t="s">
        <v>223</v>
      </c>
      <c r="B18" s="683" t="s">
        <v>137</v>
      </c>
      <c r="C18" s="683" t="s">
        <v>121</v>
      </c>
      <c r="D18" s="684">
        <v>369</v>
      </c>
      <c r="E18" s="474">
        <f>+'Sch. F 2016'!L27</f>
        <v>980.39</v>
      </c>
      <c r="F18" s="686" t="s">
        <v>234</v>
      </c>
    </row>
    <row r="19" spans="1:7">
      <c r="A19" s="682" t="s">
        <v>223</v>
      </c>
      <c r="B19" s="683" t="s">
        <v>137</v>
      </c>
      <c r="C19" s="683" t="s">
        <v>121</v>
      </c>
      <c r="D19" s="684">
        <v>370</v>
      </c>
      <c r="E19" s="474">
        <f>+'Sch. F 2016'!L28</f>
        <v>1272.25</v>
      </c>
      <c r="F19" s="686" t="s">
        <v>235</v>
      </c>
    </row>
    <row r="20" spans="1:7">
      <c r="A20" s="682" t="s">
        <v>223</v>
      </c>
      <c r="B20" s="683" t="s">
        <v>137</v>
      </c>
      <c r="C20" s="683" t="s">
        <v>157</v>
      </c>
      <c r="D20" s="684">
        <v>365</v>
      </c>
      <c r="E20" s="474">
        <f>+'Sch. F 2016'!M23</f>
        <v>-35196.89</v>
      </c>
      <c r="F20" s="686" t="s">
        <v>236</v>
      </c>
    </row>
    <row r="21" spans="1:7">
      <c r="A21" s="682" t="s">
        <v>223</v>
      </c>
      <c r="B21" s="683" t="s">
        <v>137</v>
      </c>
      <c r="C21" s="683" t="s">
        <v>157</v>
      </c>
      <c r="D21" s="684">
        <v>368</v>
      </c>
      <c r="E21" s="474">
        <f>+'Sch. F 2016'!M26</f>
        <v>-26189.01</v>
      </c>
      <c r="F21" s="686" t="s">
        <v>237</v>
      </c>
    </row>
    <row r="22" spans="1:7">
      <c r="A22" s="682" t="s">
        <v>223</v>
      </c>
      <c r="B22" s="683" t="s">
        <v>137</v>
      </c>
      <c r="C22" s="683" t="s">
        <v>157</v>
      </c>
      <c r="D22" s="684">
        <v>369</v>
      </c>
      <c r="E22" s="474">
        <f>+'Sch. F 2016'!M27</f>
        <v>-19664.219999999998</v>
      </c>
      <c r="F22" s="685" t="s">
        <v>238</v>
      </c>
    </row>
    <row r="23" spans="1:7" ht="15.75" thickBot="1">
      <c r="A23" s="696" t="s">
        <v>223</v>
      </c>
      <c r="B23" s="697" t="s">
        <v>137</v>
      </c>
      <c r="C23" s="697" t="s">
        <v>157</v>
      </c>
      <c r="D23" s="698">
        <v>370</v>
      </c>
      <c r="E23" s="699">
        <f>+'Sch. F 2016'!M28</f>
        <v>-4424.82</v>
      </c>
      <c r="F23" s="700" t="s">
        <v>239</v>
      </c>
    </row>
    <row r="24" spans="1:7">
      <c r="C24" s="681"/>
      <c r="F24" s="710"/>
      <c r="G24" s="695"/>
    </row>
    <row r="25" spans="1:7">
      <c r="C25" s="681"/>
      <c r="F25" s="710"/>
    </row>
    <row r="26" spans="1:7">
      <c r="C26" s="681"/>
    </row>
    <row r="27" spans="1:7">
      <c r="C27" s="681"/>
      <c r="F27" s="710"/>
    </row>
    <row r="28" spans="1:7">
      <c r="C28" s="681"/>
      <c r="F28" s="710"/>
      <c r="G28" s="695"/>
    </row>
    <row r="29" spans="1:7">
      <c r="C29" s="681"/>
      <c r="D29" s="711"/>
      <c r="E29" s="712"/>
      <c r="F29" s="710"/>
    </row>
    <row r="30" spans="1:7">
      <c r="C30" s="681"/>
      <c r="F30" s="710"/>
    </row>
    <row r="32" spans="1:7">
      <c r="C32" s="681"/>
    </row>
  </sheetData>
  <mergeCells count="3">
    <mergeCell ref="A1:F1"/>
    <mergeCell ref="A2:F2"/>
    <mergeCell ref="A3:F3"/>
  </mergeCells>
  <pageMargins left="0.7" right="0.7" top="0.75" bottom="0.75" header="0.3" footer="0.3"/>
  <pageSetup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vt:i4>
      </vt:variant>
    </vt:vector>
  </HeadingPairs>
  <TitlesOfParts>
    <vt:vector size="39" baseType="lpstr">
      <vt:lpstr>Sch. 1</vt:lpstr>
      <vt:lpstr>Sch. 2</vt:lpstr>
      <vt:lpstr>Sch. 3</vt:lpstr>
      <vt:lpstr>Sch. 4</vt:lpstr>
      <vt:lpstr>Sch. 5</vt:lpstr>
      <vt:lpstr>Sch. F 2015</vt:lpstr>
      <vt:lpstr>Sch. F 2015 Notes</vt:lpstr>
      <vt:lpstr>Sch. F 2016</vt:lpstr>
      <vt:lpstr>Sch. F 2016 Notes</vt:lpstr>
      <vt:lpstr>Sch. F 2017</vt:lpstr>
      <vt:lpstr>Sch. F 2017 Notes</vt:lpstr>
      <vt:lpstr>Sch. F 2018</vt:lpstr>
      <vt:lpstr>Sch. F 2018 Notes</vt:lpstr>
      <vt:lpstr>Sch. F 2019</vt:lpstr>
      <vt:lpstr>Sch. F 2019 Notes</vt:lpstr>
      <vt:lpstr>Sch. J</vt:lpstr>
      <vt:lpstr>'Sch. J'!DEPRECIATION</vt:lpstr>
      <vt:lpstr>'Sch. F 2015'!PAGE1</vt:lpstr>
      <vt:lpstr>'Sch. F 2017'!PAGE1</vt:lpstr>
      <vt:lpstr>'Sch. F 2018'!PAGE1</vt:lpstr>
      <vt:lpstr>'Sch. F 2019'!PAGE1</vt:lpstr>
      <vt:lpstr>PAGE1</vt:lpstr>
      <vt:lpstr>'Sch. 1'!Print_Area</vt:lpstr>
      <vt:lpstr>'Sch. 2'!Print_Area</vt:lpstr>
      <vt:lpstr>'Sch. 3'!Print_Area</vt:lpstr>
      <vt:lpstr>'Sch. 4'!Print_Area</vt:lpstr>
      <vt:lpstr>'Sch. 5'!Print_Area</vt:lpstr>
      <vt:lpstr>'Sch. F 2015'!Print_Area</vt:lpstr>
      <vt:lpstr>'Sch. F 2015 Notes'!Print_Area</vt:lpstr>
      <vt:lpstr>'Sch. F 2016'!Print_Area</vt:lpstr>
      <vt:lpstr>'Sch. F 2016 Notes'!Print_Area</vt:lpstr>
      <vt:lpstr>'Sch. F 2017'!Print_Area</vt:lpstr>
      <vt:lpstr>'Sch. F 2017 Notes'!Print_Area</vt:lpstr>
      <vt:lpstr>'Sch. F 2018'!Print_Area</vt:lpstr>
      <vt:lpstr>'Sch. F 2018 Notes'!Print_Area</vt:lpstr>
      <vt:lpstr>'Sch. F 2019'!Print_Area</vt:lpstr>
      <vt:lpstr>'Sch. F 2019 Notes'!Print_Area</vt:lpstr>
      <vt:lpstr>'Sch. J'!Print_Area</vt:lpstr>
      <vt:lpstr>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