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Default Extension="bin" ContentType="application/vnd.openxmlformats-officedocument.spreadsheetml.printerSettings"/>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Default Extension="vml" ContentType="application/vnd.openxmlformats-officedocument.vmlDrawing"/>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dm-wdfs-01\Clients\OCLIENTS\037151\072993\"/>
    </mc:Choice>
  </mc:AlternateContent>
  <bookViews>
    <workbookView xWindow="0" yWindow="0" windowWidth="20700" windowHeight="7830" tabRatio="745" firstSheet="15" activeTab="20"/>
  </bookViews>
  <sheets>
    <sheet name="INFO" sheetId="7" r:id="rId2"/>
    <sheet name="LUSI NUUSum" sheetId="33" r:id="rId3"/>
    <sheet name="LUSI A 6" sheetId="1" r:id="rId4"/>
    <sheet name="LUSI A 10" sheetId="2" r:id="rId5"/>
    <sheet name="LUSI A 12-14" sheetId="31" r:id="rId6"/>
    <sheet name="LUSI B 14" sheetId="32" r:id="rId7"/>
    <sheet name="LUSI TB" sheetId="30" r:id="rId8"/>
    <sheet name="LUSI AnnDepr" sheetId="44" r:id="rId9"/>
    <sheet name="Marion NUUSum" sheetId="17" r:id="rId10"/>
    <sheet name="MARION A 6" sheetId="13" r:id="rId11"/>
    <sheet name="MARION A 10" sheetId="11" r:id="rId12"/>
    <sheet name="MARION A 12" sheetId="15" r:id="rId13"/>
    <sheet name="Marion B 14" sheetId="18" r:id="rId14"/>
    <sheet name="MAR AnnDepr" sheetId="45" r:id="rId15"/>
    <sheet name="Marion TB" sheetId="14" r:id="rId16"/>
    <sheet name="SAND NUUSum" sheetId="43" r:id="rId17"/>
    <sheet name="SAND A 6" sheetId="5" r:id="rId18"/>
    <sheet name="SAND A 10" sheetId="6" r:id="rId19"/>
    <sheet name="SAND A 12-14" sheetId="39" r:id="rId20"/>
    <sheet name="SAND B 14" sheetId="40" r:id="rId21"/>
    <sheet name="SAND TB" sheetId="41" r:id="rId22"/>
  </sheets>
  <externalReferences>
    <externalReference r:id="rId28"/>
    <externalReference r:id="rId29"/>
    <externalReference r:id="rId30"/>
    <externalReference r:id="rId31"/>
  </externalReferences>
  <definedNames>
    <definedName name="_pg1">'[1]Macros'!$B$23</definedName>
    <definedName name="NAME">'[2]INFO'!$D$14</definedName>
    <definedName name="pggg">'[3]A 7'!$C$4</definedName>
    <definedName name="pp">'[4]A 7'!$C$4</definedName>
    <definedName name="Preparer">'[1]Macros'!$E$10</definedName>
  </definedNames>
  <calcPr fullCalcOn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<sst xmlns="http://schemas.openxmlformats.org/spreadsheetml/2006/main" count="2266" uniqueCount="664">
  <si>
    <t>Schedule of Wastewater Plant in Service By Primary Account</t>
  </si>
  <si>
    <t>Florida Public Service Commission</t>
  </si>
  <si>
    <t>Test Year Average Balance</t>
  </si>
  <si>
    <t>Schedule: A-6</t>
  </si>
  <si>
    <t>Page 1 of 2</t>
  </si>
  <si>
    <t>Historic  [X] Projected [ ]</t>
  </si>
  <si>
    <t>Recap Schedules:     A-2, A-4</t>
  </si>
  <si>
    <t>(1)</t>
  </si>
  <si>
    <t>Test Year</t>
  </si>
  <si>
    <t>13 Month</t>
  </si>
  <si>
    <t>Adjusted</t>
  </si>
  <si>
    <t>Non-Used &amp;</t>
  </si>
  <si>
    <t>Account No. and Name</t>
  </si>
  <si>
    <t>Average Balance</t>
  </si>
  <si>
    <t>Average</t>
  </si>
  <si>
    <t>Useful %</t>
  </si>
  <si>
    <t>Amount</t>
  </si>
  <si>
    <t>INTANGIBLE PLANT</t>
  </si>
  <si>
    <t>351.1  Organization</t>
  </si>
  <si>
    <t>352.1  Franchises</t>
  </si>
  <si>
    <t>389.1  Other Plant &amp; Misc. Equipment</t>
  </si>
  <si>
    <t>COLLECTION PLANT</t>
  </si>
  <si>
    <t>353.2  Land &amp; Land Rights</t>
  </si>
  <si>
    <t>354.2  Structures &amp; Improvements</t>
  </si>
  <si>
    <t>355.2 Power Gen Equipment</t>
  </si>
  <si>
    <t>360.2  Collection Sewers - Force</t>
  </si>
  <si>
    <t>361.2  Collection Sewers - Gravity</t>
  </si>
  <si>
    <t>362.2  Special Collecting Structures</t>
  </si>
  <si>
    <t>363.2  Services to Customers</t>
  </si>
  <si>
    <t>364.2  Flow Measuring Devices</t>
  </si>
  <si>
    <t>365.2  Flow Measuring Installations</t>
  </si>
  <si>
    <t>389.2  Other Plant &amp; Misc. Equipment</t>
  </si>
  <si>
    <t>SYSTEM PUMPING PLANT</t>
  </si>
  <si>
    <t>353.3  Land &amp; Land Rights</t>
  </si>
  <si>
    <t>354.3  Structures &amp; Improvements</t>
  </si>
  <si>
    <t>370.3  Receiving Wells</t>
  </si>
  <si>
    <t>371.3  Pumping Equipment</t>
  </si>
  <si>
    <t>389.3  Other Plant &amp; Misc. Equipment</t>
  </si>
  <si>
    <t>TREATMENT AND DISPOSAL PLANT</t>
  </si>
  <si>
    <t>353.4  Land &amp; Land Rights</t>
  </si>
  <si>
    <t>354.4  Structures &amp; Improvements</t>
  </si>
  <si>
    <t xml:space="preserve">355.4 Power Gen Equip </t>
  </si>
  <si>
    <t>380.4  Treatment &amp; Disposal Equipment</t>
  </si>
  <si>
    <t>381.4  Plant Sewers</t>
  </si>
  <si>
    <t>382.4  Outfall Sewer Lines</t>
  </si>
  <si>
    <t>389.4  Other Plant &amp; Misc. Equipment</t>
  </si>
  <si>
    <t>RECLAIMED WATER DISTRIBUTION PLANT</t>
  </si>
  <si>
    <t>353.5  Land &amp; Land Rights</t>
  </si>
  <si>
    <t>354.3 Structure &amp; Improvements</t>
  </si>
  <si>
    <t>371.5 Pumping Equipment WTP</t>
  </si>
  <si>
    <t>371.6 Pumping Equipment Dist</t>
  </si>
  <si>
    <t>374.5 Reuse Distribution Reservoirs</t>
  </si>
  <si>
    <t>375.6 Reuse Transmission &amp; Distribution</t>
  </si>
  <si>
    <t>380.6 Treatment Equip Reclaim Wtr</t>
  </si>
  <si>
    <t>381.6  Plant Sewers Reclaim WTP</t>
  </si>
  <si>
    <t>389.5 Other Plant &amp; Misc Equipment</t>
  </si>
  <si>
    <t>366.6 Reuse Services</t>
  </si>
  <si>
    <t>367.6 Reuse Mtr Installations</t>
  </si>
  <si>
    <t>GENERAL PLANT</t>
  </si>
  <si>
    <t>353.7  Land &amp; Land Rights</t>
  </si>
  <si>
    <t>354.7  Structures &amp; Improvements</t>
  </si>
  <si>
    <t>389.7 Other Tangible Plant</t>
  </si>
  <si>
    <t>390.7  Office Furniture &amp; Equipment</t>
  </si>
  <si>
    <t>391.7  Transportation Equipment</t>
  </si>
  <si>
    <t>392.7 Stores Equipment</t>
  </si>
  <si>
    <t>393.7  Tools, Shop &amp; Garage Equipment</t>
  </si>
  <si>
    <t>394.7  Laboratory Equipment</t>
  </si>
  <si>
    <t>395.7 Power Operated Equipment</t>
  </si>
  <si>
    <t>396.7  Communication Equipment</t>
  </si>
  <si>
    <t>397.7  Miscellaneous Equipment</t>
  </si>
  <si>
    <t>398.7  Other Plant - Allocations</t>
  </si>
  <si>
    <t>Total</t>
  </si>
  <si>
    <t>Reconciliation to Annual Report:  Allocations between systems:</t>
  </si>
  <si>
    <t>304.5  Structures &amp; Improvements</t>
  </si>
  <si>
    <t>340.5  Office Furniture &amp; Equipment</t>
  </si>
  <si>
    <t>341.5  Transportation Equipment</t>
  </si>
  <si>
    <t>343.5  Tools, Shop &amp; Garage Equipment</t>
  </si>
  <si>
    <t>344.5  Laboratory Equipment</t>
  </si>
  <si>
    <t>345.5  Power Operated Equipment</t>
  </si>
  <si>
    <t>346.5  Communication Equipment</t>
  </si>
  <si>
    <t>347.5 Miscellaneous Equipment</t>
  </si>
  <si>
    <t>348.5  Other  Plant - Allocations</t>
  </si>
  <si>
    <t>Total Per Annual Report</t>
  </si>
  <si>
    <t>(1) Including Allocations between Systems.</t>
  </si>
  <si>
    <t>Company: Utilities, Inc. of Florida - Lake Utility Services</t>
  </si>
  <si>
    <t>Docket No.: 160101 - WS</t>
  </si>
  <si>
    <t>Preparer: Deborah Swain</t>
  </si>
  <si>
    <t>Schedule Year Ended: 12/31/2015</t>
  </si>
  <si>
    <t>Schedule of Wastewater Accumulated Depreciation By Primary Account</t>
  </si>
  <si>
    <t>Schedule: A-10</t>
  </si>
  <si>
    <t>Recap Schedules:     A-2, A-8</t>
  </si>
  <si>
    <t>Line</t>
  </si>
  <si>
    <t/>
  </si>
  <si>
    <t xml:space="preserve">13 Month </t>
  </si>
  <si>
    <t>No.</t>
  </si>
  <si>
    <t>Avg Balance</t>
  </si>
  <si>
    <t>355.4  Power Gen Equipment</t>
  </si>
  <si>
    <t>354.6 Structures &amp; Improvements  Reuse</t>
  </si>
  <si>
    <t>375.6 Reuse Transmission &amp; Dist</t>
  </si>
  <si>
    <t>392.7  Stores Equipment</t>
  </si>
  <si>
    <t>395.7  Power Operated Equipment</t>
  </si>
  <si>
    <t>Reconciliation to Annual Report</t>
  </si>
  <si>
    <t>Annual Allocations between Systems:</t>
  </si>
  <si>
    <t>Rounding</t>
  </si>
  <si>
    <t>(1)  Including Allocations between Systems.</t>
  </si>
  <si>
    <t>Adjustments</t>
  </si>
  <si>
    <t>354.5 Structure &amp; Improvements</t>
  </si>
  <si>
    <t>348.7  Other Plant - Allocations</t>
  </si>
  <si>
    <t>Adjustments (A-3)</t>
  </si>
  <si>
    <t>374.6 Reuse Distribution Reservoirs</t>
  </si>
  <si>
    <t>380.5 Treat/Disp Equip RCL WTP</t>
  </si>
  <si>
    <t>Company: Utilities, Inc. of Florida - Sandalhaven</t>
  </si>
  <si>
    <t>Preparer:  Deborah Swain</t>
  </si>
  <si>
    <t>Schedule Year Ended: December 31, 2015</t>
  </si>
  <si>
    <t>Beginning and End of Year Average</t>
  </si>
  <si>
    <t>Explanation: Provide month ending balances for each month of the test year and the ending balance for the prior year.</t>
  </si>
  <si>
    <t>Retirement</t>
  </si>
  <si>
    <t>13 mo average</t>
  </si>
  <si>
    <t>355.4 Gen Equipment</t>
  </si>
  <si>
    <t xml:space="preserve">354.6 Structure &amp; Improvements </t>
  </si>
  <si>
    <t>ORDER NO. PSC-2019-0363-PAA-WS - 42.24% UU</t>
  </si>
  <si>
    <t>ORDER NO. PSC-2019-0363-PAA-WS - 53.54% UU</t>
  </si>
  <si>
    <t>ORDERED by the Florida Public Service Commission that the revised used and useful values for LUSI’s wastewater treatment plant and Sandalhaven’s Englewood Water District  capacity shall be 53.54 percent and 42.24 percent, respectively. To reflect the revised U&amp;U percentages, wastewater rate base shall be decreased by $476,060, net depreciation expense shall be decreased by $24,888, and Taxes Other Than Income shall be decreased by $13,426. Additionally, ADITs shall be reduced by $6,853. It is further</t>
  </si>
  <si>
    <t>Historic [X] Projected [  ]</t>
  </si>
  <si>
    <t>(3)</t>
  </si>
  <si>
    <t>NU&amp;U Final</t>
  </si>
  <si>
    <t>NU&amp;U Test Year</t>
  </si>
  <si>
    <t>Average Bal.</t>
  </si>
  <si>
    <t>355.2 Power Generation Equipment - Collection Plt</t>
  </si>
  <si>
    <t>355.3 Power Generation Equipment - Pumping Plt</t>
  </si>
  <si>
    <t>355.4 Power Generation Equipment - Treatment Plt</t>
  </si>
  <si>
    <t>RECLAIMED WATER TREATMENT PLANT</t>
  </si>
  <si>
    <t>353.5 Land &amp; Land Rights</t>
  </si>
  <si>
    <t>354.5 Structures &amp; Improvements</t>
  </si>
  <si>
    <t>355.5 Power Generation Equipment</t>
  </si>
  <si>
    <t>371.5 Pumping Equipment</t>
  </si>
  <si>
    <t>374.5 Reuse Distribution Revervoirs</t>
  </si>
  <si>
    <t>380.5 Treatment &amp; Disposal Equipment</t>
  </si>
  <si>
    <t>381.5 Plant Sewers</t>
  </si>
  <si>
    <t>389.5 Other Plant &amp; Misc. Equipment</t>
  </si>
  <si>
    <t>352.6  Franchises</t>
  </si>
  <si>
    <t>353.6 Land &amp; Land Rights</t>
  </si>
  <si>
    <t>354.6  Structures &amp; Improvements</t>
  </si>
  <si>
    <t>355.6 Power Generation Equipment</t>
  </si>
  <si>
    <t>367.6 Reuse Meters &amp; Meter Installations</t>
  </si>
  <si>
    <t>371.6 Pumping Equipment</t>
  </si>
  <si>
    <t>375.6 Reuse Transmission &amp; Distribution System</t>
  </si>
  <si>
    <t>389.6 Other Plant &amp; Miscellaneous Equipment</t>
  </si>
  <si>
    <t>354.7  Structures &amp; Improvements - Common</t>
  </si>
  <si>
    <t>398.7  Other Tangible Plant</t>
  </si>
  <si>
    <t>interim</t>
  </si>
  <si>
    <t>TOTAL</t>
  </si>
  <si>
    <t>N/A</t>
  </si>
  <si>
    <t>(11)</t>
  </si>
  <si>
    <t>(12)</t>
  </si>
  <si>
    <t>Interim</t>
  </si>
  <si>
    <t xml:space="preserve">       TOTAL </t>
  </si>
  <si>
    <t>Preparer: Deborah D. Swain</t>
  </si>
  <si>
    <t>Test Year Ended: December 31, 2015</t>
  </si>
  <si>
    <t>Proforma and retimement</t>
  </si>
  <si>
    <t xml:space="preserve">Proforma </t>
  </si>
  <si>
    <t>FINAL</t>
  </si>
  <si>
    <t>ORDER</t>
  </si>
  <si>
    <t>ALLOWED NUU CIAC</t>
  </si>
  <si>
    <t>WASTEWATER</t>
  </si>
  <si>
    <t>Composite</t>
  </si>
  <si>
    <t>CIAC per</t>
  </si>
  <si>
    <t>Staff</t>
  </si>
  <si>
    <t>Amort Rates</t>
  </si>
  <si>
    <t>AA CIAC/</t>
  </si>
  <si>
    <t>Classification</t>
  </si>
  <si>
    <t>'MFRs Sch</t>
  </si>
  <si>
    <t>Recom.</t>
  </si>
  <si>
    <t>NON-U/U</t>
  </si>
  <si>
    <t>MFR Sch</t>
  </si>
  <si>
    <t>MFRs Sch</t>
  </si>
  <si>
    <t>A-12</t>
  </si>
  <si>
    <t>Balance</t>
  </si>
  <si>
    <t>%-CIAC</t>
  </si>
  <si>
    <t>CIAC</t>
  </si>
  <si>
    <t>B-14</t>
  </si>
  <si>
    <t>A-14</t>
  </si>
  <si>
    <t>%-AA/CIAC</t>
  </si>
  <si>
    <t>AA/CIAC</t>
  </si>
  <si>
    <t>Plant Capacity Fees</t>
  </si>
  <si>
    <t>Line/Main Extensions</t>
  </si>
  <si>
    <t>Contributed LInes</t>
  </si>
  <si>
    <t>Other - Tap Fees</t>
  </si>
  <si>
    <t>Other - Contributed Property/Connection Fees</t>
  </si>
  <si>
    <t>TIES TO STAFF WORKPAPERS</t>
  </si>
  <si>
    <t>Amort</t>
  </si>
  <si>
    <t>Per MFR Sch</t>
  </si>
  <si>
    <t>B-14 p 3</t>
  </si>
  <si>
    <t>A-14 p1 Col 9</t>
  </si>
  <si>
    <t>%-AA</t>
  </si>
  <si>
    <t>AA</t>
  </si>
  <si>
    <t>B-14 p2 Col 6</t>
  </si>
  <si>
    <t>Meter Installation Fees</t>
  </si>
  <si>
    <t>Contributed Prop. Other than Lines</t>
  </si>
  <si>
    <t>Cash Contributions</t>
  </si>
  <si>
    <t>Service Installation Fees</t>
  </si>
  <si>
    <t>Plant</t>
  </si>
  <si>
    <t>AD</t>
  </si>
  <si>
    <t>FPSC</t>
  </si>
  <si>
    <t>Difference</t>
  </si>
  <si>
    <t>Prepaid</t>
  </si>
  <si>
    <t>%-Amort</t>
  </si>
  <si>
    <t>Contributed Property</t>
  </si>
  <si>
    <t>Other Contributed Property</t>
  </si>
  <si>
    <t>Reuse System Fees</t>
  </si>
  <si>
    <t>Confirned</t>
  </si>
  <si>
    <t>R5512001</t>
  </si>
  <si>
    <t>Utilities Inc</t>
  </si>
  <si>
    <t>UTIL0002</t>
  </si>
  <si>
    <t>Fixed Assets by Business Unit for Calendar report</t>
  </si>
  <si>
    <t>Page -</t>
  </si>
  <si>
    <t>Year</t>
  </si>
  <si>
    <t>Asset Business Unit:</t>
  </si>
  <si>
    <t>Account</t>
  </si>
  <si>
    <t>Description</t>
  </si>
  <si>
    <t>December</t>
  </si>
  <si>
    <t>January</t>
  </si>
  <si>
    <t>February</t>
  </si>
  <si>
    <t>March</t>
  </si>
  <si>
    <t>April</t>
  </si>
  <si>
    <t>May</t>
  </si>
  <si>
    <t>June</t>
  </si>
  <si>
    <t>July</t>
  </si>
  <si>
    <t>August</t>
  </si>
  <si>
    <t>September</t>
  </si>
  <si>
    <t>October</t>
  </si>
  <si>
    <t>November</t>
  </si>
  <si>
    <t>13 mo</t>
  </si>
  <si>
    <t>LAND &amp; LAND RIGHTS TRTMNT PLT</t>
  </si>
  <si>
    <t>LAND &amp; LAND RIGHTS GEN PLT</t>
  </si>
  <si>
    <t>STRUCT/IMPRV PUMP PLT LS</t>
  </si>
  <si>
    <t>STRUCT/IMPRV TREAT PLT</t>
  </si>
  <si>
    <t>STRUCT/IMPRV GEN PLT</t>
  </si>
  <si>
    <t>SEWER FORCE MAIN</t>
  </si>
  <si>
    <t>SEWER GRAVITY MAIN</t>
  </si>
  <si>
    <t>MANHOLES</t>
  </si>
  <si>
    <t>SERVICES TO CUSTOMERS</t>
  </si>
  <si>
    <t>FLOW MEASURE DEVICES</t>
  </si>
  <si>
    <t>PUMPING EQUIPMENT PUMP PLT</t>
  </si>
  <si>
    <t>TREAT/DISP EQUIP LAGOON</t>
  </si>
  <si>
    <t>TREAT/DISP EQUIP TRT PLT</t>
  </si>
  <si>
    <t>OUTFALL LINES</t>
  </si>
  <si>
    <t>OFFICE STRUCT &amp; IMPRV</t>
  </si>
  <si>
    <t>OFFICE FURN &amp; EQPT</t>
  </si>
  <si>
    <t>POWER OPERATED EQUIP</t>
  </si>
  <si>
    <t>MISC EQUIP SEWER</t>
  </si>
  <si>
    <t>OTHER TANGIBLE PLT SEWER</t>
  </si>
  <si>
    <t>Subtotal</t>
  </si>
  <si>
    <t>REUSE DIST RESERVOIRS</t>
  </si>
  <si>
    <t>REUSE TRANMISSION &amp; DIST SYS</t>
  </si>
  <si>
    <t>DEF CHGS-OTHER WTR &amp; SWR</t>
  </si>
  <si>
    <t>CIAC-SEWER-TAP</t>
  </si>
  <si>
    <t>ACC DEPR-ORGANIZATION</t>
  </si>
  <si>
    <t>ACC DEPR-STRUCT/IMPRV PUMP PLT</t>
  </si>
  <si>
    <t>ACC DEPR-STRUCT/IMPRV TREAT PL</t>
  </si>
  <si>
    <t>ACC DEPR-STRUCT/IMPRV GEN PLT</t>
  </si>
  <si>
    <t>ACC DEPR-SEWER FORCE MAIN</t>
  </si>
  <si>
    <t>ACC DEPR-SEWER GRAVITY MAIN</t>
  </si>
  <si>
    <t>ACC DEPR-MANHOLES</t>
  </si>
  <si>
    <t>ACC DEPR-SERVICES TO CUSTOMERS</t>
  </si>
  <si>
    <t>ACC DEPR-FLOW MEASURE DEVICES</t>
  </si>
  <si>
    <t>ACC DEPR-PUMP EQP PUMP PLT</t>
  </si>
  <si>
    <t>ACC DEPR-TREAT/DISP EQP LAGOON</t>
  </si>
  <si>
    <t>ACC DEPR-TREAT/DISP EQP TRT PL</t>
  </si>
  <si>
    <t>ACC DEPR-OUTFALL LINES</t>
  </si>
  <si>
    <t>ACC DEPR-OFFICE STRUCTURE</t>
  </si>
  <si>
    <t>ACC DEPR-OFFICE FURN/EQPT</t>
  </si>
  <si>
    <t>ACC DEPR-POWER OPERATED EQUIP</t>
  </si>
  <si>
    <t>ACC DEPR-MISC EQUIP SEWER</t>
  </si>
  <si>
    <t>ACC DEPR-OTHER TANG PLT SEWER</t>
  </si>
  <si>
    <t>ACC DEPR-REUSE DIST RESERVOIRS</t>
  </si>
  <si>
    <t>ACC DEPR-REUSE TRANS/DIST SYS</t>
  </si>
  <si>
    <t>AMORT - OTHER WTR &amp; SWR</t>
  </si>
  <si>
    <t>ACC AMORT OTHER TANG PLT SEWER</t>
  </si>
  <si>
    <t>ACC AMORT SEWER-TAP</t>
  </si>
  <si>
    <t>Grand Total</t>
  </si>
  <si>
    <t>APYC</t>
  </si>
  <si>
    <t>Sub Total</t>
  </si>
  <si>
    <t xml:space="preserve">       DEPREC-STRUCT/IMPRV PUM</t>
  </si>
  <si>
    <t xml:space="preserve">       DEPREC-TREAT/DISP EQUIP</t>
  </si>
  <si>
    <t xml:space="preserve">       DEPREC-TREAT/DISP EQ TR</t>
  </si>
  <si>
    <t xml:space="preserve">       AMORT-SEWER-TAP</t>
  </si>
  <si>
    <t>check</t>
  </si>
  <si>
    <t>Schedule of Contributions in Aid of Construction By Classification</t>
  </si>
  <si>
    <t>Schedule: A-12</t>
  </si>
  <si>
    <t>Historic [X] or Projected [  ]</t>
  </si>
  <si>
    <t>Recap Schedules:  A-1, A-2</t>
  </si>
  <si>
    <t>Explanation: Provide the average CIAC balance by account.  If a projected year is employed, provide breakdown for average and projected test year.</t>
  </si>
  <si>
    <t>(2)</t>
  </si>
  <si>
    <t>Average Bal</t>
  </si>
  <si>
    <t>Final</t>
  </si>
  <si>
    <t>WATER</t>
  </si>
  <si>
    <t>Line/Main Extension Fees</t>
  </si>
  <si>
    <t>Tapping &amp; Meter Installation Fees</t>
  </si>
  <si>
    <t>Contributed Lines</t>
  </si>
  <si>
    <t xml:space="preserve">    Total</t>
  </si>
  <si>
    <t>Schedule of Accumulated Amortization of CIAC</t>
  </si>
  <si>
    <t>Test  Year Average Balance - Water and Wastewater</t>
  </si>
  <si>
    <t>Schedule: A-14</t>
  </si>
  <si>
    <t>Explanation: Provide the average amortization of CIAC balance by account.  If a projected year is employed, provide breakdown for average projected year.</t>
  </si>
  <si>
    <t>Other - Contributed Property</t>
  </si>
  <si>
    <t>Sched A-7</t>
  </si>
  <si>
    <t>NON-USED AND USEFUL SUMMARY</t>
  </si>
  <si>
    <t>AMOUNT</t>
  </si>
  <si>
    <t>ADJUST</t>
  </si>
  <si>
    <t>PER</t>
  </si>
  <si>
    <t>PLANT</t>
  </si>
  <si>
    <t>LAND</t>
  </si>
  <si>
    <t>ACCUMULATED DEPRECIATION</t>
  </si>
  <si>
    <t>ACCUMULATED AMORT CIAC</t>
  </si>
  <si>
    <t>ADVANCES FOR CONSTRUCTION</t>
  </si>
  <si>
    <t>OTHER</t>
  </si>
  <si>
    <t>TOTAL NON-USED AND USEFUL</t>
  </si>
  <si>
    <t>NET ADJUSTMENT-WATER</t>
  </si>
  <si>
    <t>PROPERTY TAX EXPENSE-GROSS (Sch B-15)</t>
  </si>
  <si>
    <t xml:space="preserve">  Per Allocation</t>
  </si>
  <si>
    <t>Ratio of non-used plant to total (per staff)</t>
  </si>
  <si>
    <t>Non-used property tax</t>
  </si>
  <si>
    <t>Sched. A-7</t>
  </si>
  <si>
    <t>NON-USED AND USEFUL DEPR EXP</t>
  </si>
  <si>
    <t>NON-USED AND USEFUL AMORT EXP</t>
  </si>
  <si>
    <t>Page 1 of 1</t>
  </si>
  <si>
    <t>Explanation: Provide a summary of the items included in non-used and useful plant for the test year.  Provide additional support schedules, if necessary.</t>
  </si>
  <si>
    <t>(4)</t>
  </si>
  <si>
    <t>Average Amount</t>
  </si>
  <si>
    <t>Utility</t>
  </si>
  <si>
    <t>Per Books</t>
  </si>
  <si>
    <t>Per Utility</t>
  </si>
  <si>
    <t>Plant in Service</t>
  </si>
  <si>
    <t>Land</t>
  </si>
  <si>
    <t>Accumulated Depreciation</t>
  </si>
  <si>
    <t>Accumulated Amortization of CIAC</t>
  </si>
  <si>
    <t>Advances for Construction</t>
  </si>
  <si>
    <t>Other (Explain)</t>
  </si>
  <si>
    <t>Note:  Water Plant is 100% Used &amp; Useful as per Schedules F5 and F7.</t>
  </si>
  <si>
    <t>Supporting Schedules:     A-5, A-6, A-9, A-10, A-12, A-14, A16</t>
  </si>
  <si>
    <t>Recap Schedules:     A-1, A-2</t>
  </si>
  <si>
    <t>Net Depreciation Expense - Wastewater</t>
  </si>
  <si>
    <t>ERCs</t>
  </si>
  <si>
    <t>SEWER</t>
  </si>
  <si>
    <t>Schedule: B-14</t>
  </si>
  <si>
    <t>Recap Schedules:     B-2</t>
  </si>
  <si>
    <t>Explanation:  Provide a schedule of test year non-used and useful depreciation expense by primary account</t>
  </si>
  <si>
    <t>OBJECT</t>
  </si>
  <si>
    <t>NU&amp;U</t>
  </si>
  <si>
    <t>(HIDE)</t>
  </si>
  <si>
    <t>Expense</t>
  </si>
  <si>
    <t>Need to breakdown between FM and Svc</t>
  </si>
  <si>
    <t>6715, 6717</t>
  </si>
  <si>
    <t>Deprec included with FM - Need to breakdown between FM and Svc</t>
  </si>
  <si>
    <t>6760 &amp; 6765</t>
  </si>
  <si>
    <t>Structures &amp; Imp Object Accounts - Sewer</t>
  </si>
  <si>
    <t>Acc Dep</t>
  </si>
  <si>
    <t>354.7  Structures &amp; Improvements - Sewer</t>
  </si>
  <si>
    <t>W</t>
  </si>
  <si>
    <t>total adj</t>
  </si>
  <si>
    <t xml:space="preserve">SUB-TOTAL </t>
  </si>
  <si>
    <t>See note in col K</t>
  </si>
  <si>
    <t>LESS: AMORTIZATION OF CIAC</t>
  </si>
  <si>
    <t>NET DEPRECIATION EXPENSE - SEWER</t>
  </si>
  <si>
    <t>Total per Income Statement</t>
  </si>
  <si>
    <t>NET ADJUSTMENT-WASTEWATER</t>
  </si>
  <si>
    <t>NUU Net Plant</t>
  </si>
  <si>
    <t>NUU %</t>
  </si>
  <si>
    <t>Milage Rate</t>
  </si>
  <si>
    <t>Property and Real Estate Taxes 2019</t>
  </si>
  <si>
    <t>% NUU 2015 rate case per staff workpapers</t>
  </si>
  <si>
    <t>Allocation per 2015 rate case:</t>
  </si>
  <si>
    <t xml:space="preserve">Water </t>
  </si>
  <si>
    <t>Wastewater</t>
  </si>
  <si>
    <t>Per MFRs</t>
  </si>
  <si>
    <t xml:space="preserve">Final </t>
  </si>
  <si>
    <t>Staff Adjustment (excl NUU)</t>
  </si>
  <si>
    <t>Total 2015</t>
  </si>
  <si>
    <t>Water</t>
  </si>
  <si>
    <t>Sewer</t>
  </si>
  <si>
    <t>STRUCT/IMPRV RECLAIM WTR DIST</t>
  </si>
  <si>
    <t>POWER GEN EQUIP COLL PLT</t>
  </si>
  <si>
    <t>POWER GEN EQUIP TREAT PLT</t>
  </si>
  <si>
    <t>PLANT SEWERS TRTMT PLT</t>
  </si>
  <si>
    <t>OTHER PLT PUMP</t>
  </si>
  <si>
    <t>OTHER PLT TREATMENT</t>
  </si>
  <si>
    <t>TOOL SHOP &amp; MISC EQPT</t>
  </si>
  <si>
    <t>LABORATORY EQPT</t>
  </si>
  <si>
    <t>COMMUNICATION EQPT</t>
  </si>
  <si>
    <t>REG EXP BEING AMORT</t>
  </si>
  <si>
    <t>RATE CASE BEING AMORT</t>
  </si>
  <si>
    <t>DEF CHGS-OTHER</t>
  </si>
  <si>
    <t>CIAC-STRUCT/IMPRV PUMP PLT LS</t>
  </si>
  <si>
    <t>CIAC-SEWER FORCE MAIN</t>
  </si>
  <si>
    <t>CIAC-SEWER GRAVITY MAIN</t>
  </si>
  <si>
    <t>CIAC-MANHOLES</t>
  </si>
  <si>
    <t>CIAC-SERVICES TO CUSTOMERS</t>
  </si>
  <si>
    <t>CIAC-TREAT/DISP EQUIP LAGOON</t>
  </si>
  <si>
    <t>CIAC-TREAT/DISP EQUIP TRT PLT</t>
  </si>
  <si>
    <t>CIAC-SWR RES CAP FEE</t>
  </si>
  <si>
    <t>CIAC-SWR PLT MOD FEE</t>
  </si>
  <si>
    <t>ACC DEPR-STRUCT/IMPRV RCLM DST</t>
  </si>
  <si>
    <t>ACC DEPR-PWR GEN EQP COLL PLT</t>
  </si>
  <si>
    <t>ACC DEPR-PWR GEN EQP TRT PLT</t>
  </si>
  <si>
    <t>ACC DEPR-TREAT/DISP EQP RWTP</t>
  </si>
  <si>
    <t>ACC DEPR-PLANT SEWERS TRT PLT</t>
  </si>
  <si>
    <t>ACC DEPR-OTHER PLT PUMP</t>
  </si>
  <si>
    <t>ACC DEPR-OTHER PLT TREATMENT</t>
  </si>
  <si>
    <t>ACC DEPR-TOOL SHOP &amp; MISC EQPT</t>
  </si>
  <si>
    <t>ACC DEPR-LABORATORY EQPT</t>
  </si>
  <si>
    <t>ACC DEPR-COMMUNICATION EQPT</t>
  </si>
  <si>
    <t>RATE CASE ACCUM AMORT</t>
  </si>
  <si>
    <t>AMORT - OTHER</t>
  </si>
  <si>
    <t>ACC AMORT ORGANIZATION</t>
  </si>
  <si>
    <t>ACC AMORTSTRUCT/IMPRV PUMP PLT</t>
  </si>
  <si>
    <t>ACC AMORTSTRUCT/IMPRV GEN PLT</t>
  </si>
  <si>
    <t>ACC AMORT SEWER FORCE MAIN</t>
  </si>
  <si>
    <t>ACC AMORT SEWER GRAVITY MAIN</t>
  </si>
  <si>
    <t>ACC AMORT MANHOLES</t>
  </si>
  <si>
    <t>ACC AMORT SERVICES TO CUSTOMER</t>
  </si>
  <si>
    <t>ACC AMORT TREAT/DISP EQUIP LAG</t>
  </si>
  <si>
    <t>ACC AMORT TREAT/DISP EQUIP TRT</t>
  </si>
  <si>
    <t>ACC AMORT SWR RES CAP FEE-NC</t>
  </si>
  <si>
    <t>ACC AMORT SWR PLT MOD FEE-NC</t>
  </si>
  <si>
    <t xml:space="preserve">       DEPREC-STRUCT/IMPRV TRE</t>
  </si>
  <si>
    <t xml:space="preserve">       DEPREC-STRUCT/IMPRV RCL</t>
  </si>
  <si>
    <t xml:space="preserve">       DEPREC-STRUCT/IMPRV GEN</t>
  </si>
  <si>
    <t xml:space="preserve">       DEPREC-POWER GEN EQUIP </t>
  </si>
  <si>
    <t xml:space="preserve">       DEPREC-SEWER FORCE MAIN</t>
  </si>
  <si>
    <t xml:space="preserve">       DEPREC-SEWER GRAVITY MA</t>
  </si>
  <si>
    <t xml:space="preserve">       DEPREC-MANHOLES</t>
  </si>
  <si>
    <t xml:space="preserve">       DEPREC-SERVICES TO CUST</t>
  </si>
  <si>
    <t xml:space="preserve">       DEPREC-PUMP EQP PUMP PL</t>
  </si>
  <si>
    <t xml:space="preserve">       DEPREC-PLANT SEWERS TRT</t>
  </si>
  <si>
    <t xml:space="preserve">       DEPREC-OUTFALL LINES</t>
  </si>
  <si>
    <t xml:space="preserve">       DEPREC-OTHER PLT PUMP</t>
  </si>
  <si>
    <t xml:space="preserve">       DEPREC-OTHER PLT TREATM</t>
  </si>
  <si>
    <t xml:space="preserve">       DEPREC-OFFICE STRUCTURE</t>
  </si>
  <si>
    <t xml:space="preserve">       DEPREC-OFFICE FURN/EQPT</t>
  </si>
  <si>
    <t xml:space="preserve">       DEPREC-TOOL SHOP &amp; MISC</t>
  </si>
  <si>
    <t xml:space="preserve">       DEPREC-LABORATORY EQPT</t>
  </si>
  <si>
    <t xml:space="preserve">       DEPREC-COMMUNICATION EQ</t>
  </si>
  <si>
    <t xml:space="preserve">       DEPREC-REUSE TRANSM / D</t>
  </si>
  <si>
    <t xml:space="preserve">       AMORT-STRUCT/IMPRV PUMP</t>
  </si>
  <si>
    <t xml:space="preserve">       AMORT-SEWER FORCE MAIN/</t>
  </si>
  <si>
    <t xml:space="preserve">       AMORT-SEWER GRAVITY MAI</t>
  </si>
  <si>
    <t xml:space="preserve">       AMORT-MANHOLES</t>
  </si>
  <si>
    <t xml:space="preserve">       AMORT-SERVICES TO CUSTO</t>
  </si>
  <si>
    <t xml:space="preserve">       AMORT-TREAT/DISP EQUIP </t>
  </si>
  <si>
    <t xml:space="preserve">       AMORT-SWR RES CAP FEE</t>
  </si>
  <si>
    <t xml:space="preserve">       AMORT-SWR PLT MOD FEE</t>
  </si>
  <si>
    <t xml:space="preserve">       GROSS RECEIPTS TAX</t>
  </si>
  <si>
    <t xml:space="preserve">       PERSONAL PROPERTY/ICT T</t>
  </si>
  <si>
    <t xml:space="preserve">       PROPERTY/OTHER GENERAL </t>
  </si>
  <si>
    <t xml:space="preserve">       REAL ESTATE TAX</t>
  </si>
  <si>
    <t xml:space="preserve">Company:  Utilities, Inc. of Florida </t>
  </si>
  <si>
    <t>Docket No.:</t>
  </si>
  <si>
    <t>Test Year Ended: December 31, 2019</t>
  </si>
  <si>
    <t>Non-Used</t>
  </si>
  <si>
    <t>Meters &amp; Meter Installation Fees</t>
  </si>
  <si>
    <t>Explanation: Provide the average CIAC balance by account.  If a projected year is employed, provide breakdown for average projected year.</t>
  </si>
  <si>
    <t xml:space="preserve">Adjusted </t>
  </si>
  <si>
    <t>355.2 Power Generation Equipment</t>
  </si>
  <si>
    <t xml:space="preserve">354.4  Structures &amp; Improvements </t>
  </si>
  <si>
    <t>355.4 Power Generation Equipment</t>
  </si>
  <si>
    <t>367.6  Reuse Mtr/Installations</t>
  </si>
  <si>
    <t>374.5 Reuse Dist Reservoirs</t>
  </si>
  <si>
    <t>375.6 Reuse Trans. And Dist. System</t>
  </si>
  <si>
    <t>371.6 Pumping Equp RCLM Dist</t>
  </si>
  <si>
    <t>UTILITY</t>
  </si>
  <si>
    <t>STAFF</t>
  </si>
  <si>
    <t xml:space="preserve">NON-USED &amp; USEFUL DEPR EXP </t>
  </si>
  <si>
    <t>NON-USED &amp; USEFUL AMORT EXP</t>
  </si>
  <si>
    <t>Mid-County</t>
  </si>
  <si>
    <t>6680 &amp; 6820</t>
  </si>
  <si>
    <t>Labrador</t>
  </si>
  <si>
    <t>A-3</t>
  </si>
  <si>
    <t>Capacity Fees</t>
  </si>
  <si>
    <t>Contributed Meters &amp; Hydrants</t>
  </si>
  <si>
    <t>Contributed Property - WWTP</t>
  </si>
  <si>
    <t>CIAC-STRUCT/IMPRV TREAT PLT</t>
  </si>
  <si>
    <t>ACC AMORTSTRUCT/IMPRV TREAT PL</t>
  </si>
  <si>
    <t>ACC AMORT PWR GEN EQP TREAT</t>
  </si>
  <si>
    <t xml:space="preserve">       AMORT-STRUCT/IMPRV TREA</t>
  </si>
  <si>
    <t>CIAC-PUMP EQP RCLM WTP</t>
  </si>
  <si>
    <t>CIAC-OUTFALL LINES</t>
  </si>
  <si>
    <t>CIAC-SWR LINE EXT FEE</t>
  </si>
  <si>
    <t>CIAC-SWR PLT MTR FEE</t>
  </si>
  <si>
    <t xml:space="preserve">       AMORT-PUMP EQP RCLM WTP</t>
  </si>
  <si>
    <t xml:space="preserve">       AMORT-OUTFALL LINES</t>
  </si>
  <si>
    <t xml:space="preserve">       AMORT-SWR LINE EXT FEE</t>
  </si>
  <si>
    <t xml:space="preserve">       AMORT-SWR PLT MTR FEE</t>
  </si>
  <si>
    <t>ACC AMORT PWR GEN EQP COLL</t>
  </si>
  <si>
    <t>ACC AMORT PWR GEN EQP PUMP</t>
  </si>
  <si>
    <t>ACC AMORT PUMP EQP RCLM WTP</t>
  </si>
  <si>
    <t>ACC AMORT OUTFALL LINES</t>
  </si>
  <si>
    <t>ACC AMORT SWR LINE EXT FEE</t>
  </si>
  <si>
    <t>ACC AMORT SWR PLT MTR FEE-NC</t>
  </si>
  <si>
    <t>380.5 Treat/ Disp Equip Reclaim</t>
  </si>
  <si>
    <t>LESS: AMORTIZATION OF CIAC - WWTP</t>
  </si>
  <si>
    <t>Schedule Year Ended:  December 31, 2019</t>
  </si>
  <si>
    <t>Test Year Ended:  12/31/2015</t>
  </si>
  <si>
    <t>CIAC-REUSE SERVICES</t>
  </si>
  <si>
    <t>CIAC-REUSE DIST RESERVOIRS</t>
  </si>
  <si>
    <t>CIAC-REUSE TRANMISSION &amp; DIST</t>
  </si>
  <si>
    <t>CIAC-REUSE-TAP</t>
  </si>
  <si>
    <t>CIAC-REUSE MGMT FEE</t>
  </si>
  <si>
    <t>CIAC-REUSE PLT MTR FEE</t>
  </si>
  <si>
    <t>Reuse System</t>
  </si>
  <si>
    <t>Contributed Collection System</t>
  </si>
  <si>
    <t>Tap Fees</t>
  </si>
  <si>
    <t>ACC AMORT-REUSE SERVICES</t>
  </si>
  <si>
    <t>ACC AMORT-REUSE DIST RESERVOIR</t>
  </si>
  <si>
    <t>ACC AMORT-REUSE TRANS DIST SYS</t>
  </si>
  <si>
    <t>ACC AMORT REUSE-TAP</t>
  </si>
  <si>
    <t>ACC AMORT REUSE MGMT FEE-NC</t>
  </si>
  <si>
    <t>ACC AMORT REUSE PLT MTR FEE-NC</t>
  </si>
  <si>
    <t>WWTP</t>
  </si>
  <si>
    <t>LUSI</t>
  </si>
  <si>
    <t>PLANT (Including Land)</t>
  </si>
  <si>
    <t>Lake Placid</t>
  </si>
  <si>
    <t>3550 - Force Mains</t>
  </si>
  <si>
    <t>3555 - Gravity Mains</t>
  </si>
  <si>
    <t>3565 - Services to Customers</t>
  </si>
  <si>
    <t>Contributed Other</t>
  </si>
  <si>
    <t>3500 - Struct - Pumping Plant</t>
  </si>
  <si>
    <t>3505 - Structures - Treatment Plant</t>
  </si>
  <si>
    <t>3600 - Lagoons</t>
  </si>
  <si>
    <t>3605 - Treatment Equip</t>
  </si>
  <si>
    <t>3705 - Sewer Taps</t>
  </si>
  <si>
    <t>3715 - Sewer Res Cap Fee</t>
  </si>
  <si>
    <t>4100 - Force Mains</t>
  </si>
  <si>
    <t>4105 - Gravity Mains</t>
  </si>
  <si>
    <t>4115 - Services to Customers</t>
  </si>
  <si>
    <t>4030 - Organization</t>
  </si>
  <si>
    <t>4050 - Struct - Pumping Plant</t>
  </si>
  <si>
    <t>4055 - Structures, Treatment Plant</t>
  </si>
  <si>
    <t>4110 - Special Coll.  Struct. Manholes</t>
  </si>
  <si>
    <t>4150 - Lagoons</t>
  </si>
  <si>
    <t>4265 - Sewer Taps</t>
  </si>
  <si>
    <t>4275 - Sewer Res Cap Fee</t>
  </si>
  <si>
    <t>FRANCHISES INTANG PLT</t>
  </si>
  <si>
    <t>STRUCT/IMPRV COLL PLT</t>
  </si>
  <si>
    <t>RECEIVING WELLS</t>
  </si>
  <si>
    <t>OTHER PLT TANGIBLE</t>
  </si>
  <si>
    <t>UTILITY PAA SWR PLANT AMORT</t>
  </si>
  <si>
    <t>MISC REGULATORY COMM EXP</t>
  </si>
  <si>
    <t>DEF CHGS-ATTORNEY FEE</t>
  </si>
  <si>
    <t>CIAC-SPECIAL COLL STRUCTURES</t>
  </si>
  <si>
    <t>ACC DEPR FRANCHISES INTANG PLT</t>
  </si>
  <si>
    <t>ACC DEPR-STRUCT/IMPRV COLL PLT</t>
  </si>
  <si>
    <t>ACC DEPR-RECEIVING WELLS</t>
  </si>
  <si>
    <t>ACC DEPR-OTHER PLT TANGIBLE</t>
  </si>
  <si>
    <t>ACC AMORT UTIL PAA-SEWER</t>
  </si>
  <si>
    <t>AMORT - ATTORNEY FEE</t>
  </si>
  <si>
    <t>ACC AMORT SPCL COLL STRUCTURES</t>
  </si>
  <si>
    <t xml:space="preserve">       DEPREC-FRANCHISES INTAN</t>
  </si>
  <si>
    <t xml:space="preserve">       DEPREC-STRUCT/IMPRV COL</t>
  </si>
  <si>
    <t xml:space="preserve">       DEPREC-RECEIVING WELLS</t>
  </si>
  <si>
    <t xml:space="preserve">       DEPREC-OTHER PLT TANGIB</t>
  </si>
  <si>
    <t xml:space="preserve">       AMORT-SPECIAL COLL STRU</t>
  </si>
  <si>
    <t xml:space="preserve">Jan </t>
  </si>
  <si>
    <t>Feb</t>
  </si>
  <si>
    <t>Mar</t>
  </si>
  <si>
    <t>Apr</t>
  </si>
  <si>
    <t>Jun</t>
  </si>
  <si>
    <t>Jul</t>
  </si>
  <si>
    <t>Aug</t>
  </si>
  <si>
    <t>Sep</t>
  </si>
  <si>
    <t>Oct</t>
  </si>
  <si>
    <t>Nov</t>
  </si>
  <si>
    <t>Dec</t>
  </si>
  <si>
    <t>S/b amortized over 40 years, not 10</t>
  </si>
  <si>
    <t>4155 - Treatment/Disposal Equip</t>
  </si>
  <si>
    <t>Adjustments (B-3)</t>
  </si>
  <si>
    <t>380.5  Treatment &amp; Disposal Equipment</t>
  </si>
  <si>
    <t>deprec s/b 40 years, not 10</t>
  </si>
  <si>
    <t>7430 - Sewer Taps</t>
  </si>
  <si>
    <t>7440 - Sewer Res Cap Fee</t>
  </si>
  <si>
    <t>Schedule: A-7</t>
  </si>
  <si>
    <t xml:space="preserve"> </t>
  </si>
  <si>
    <t>Cannot tie to B-15</t>
  </si>
  <si>
    <t>Sandalhaven</t>
  </si>
  <si>
    <t>S</t>
  </si>
  <si>
    <t>Company:  Utilities, Inc. of Florida - Marion County</t>
  </si>
  <si>
    <t>Docket No.: 20200139-WS</t>
  </si>
  <si>
    <t>UIF-Marion</t>
  </si>
  <si>
    <t>Non-Used and Useful Plant - Summary</t>
  </si>
  <si>
    <t>Revise for new NUU</t>
  </si>
  <si>
    <t>REVISE FOR NEW NUU</t>
  </si>
  <si>
    <t>2019 Utilities, Inc. of Florida 2019 TY Rate Case</t>
  </si>
  <si>
    <t>Exhibit (FS-2)____________</t>
  </si>
  <si>
    <t>Docket No. 20200139-WS</t>
  </si>
  <si>
    <t>Summary of Used and Useful, Excess Unaccounted for Water (EUW) and Excess I&amp;I Percentages Requested by UIF</t>
  </si>
  <si>
    <t>Witness: Frank Seidman</t>
  </si>
  <si>
    <t>U&amp;U</t>
  </si>
  <si>
    <t>COUNTY</t>
  </si>
  <si>
    <t>Type</t>
  </si>
  <si>
    <t>W Plant</t>
  </si>
  <si>
    <t>Stotage</t>
  </si>
  <si>
    <t>WW Plant</t>
  </si>
  <si>
    <t>Dist &amp; Col.</t>
  </si>
  <si>
    <t>EUW</t>
  </si>
  <si>
    <t>Excess</t>
  </si>
  <si>
    <t>Pct</t>
  </si>
  <si>
    <t>%</t>
  </si>
  <si>
    <t>% I&amp;I</t>
  </si>
  <si>
    <t>SYSTEM</t>
  </si>
  <si>
    <t>Cypress Lakes</t>
  </si>
  <si>
    <t>Polk</t>
  </si>
  <si>
    <t>W/S</t>
  </si>
  <si>
    <t>-</t>
  </si>
  <si>
    <t>Eagle Ridge</t>
  </si>
  <si>
    <t>Lee</t>
  </si>
  <si>
    <t>2a</t>
  </si>
  <si>
    <t xml:space="preserve">   Cross Creek</t>
  </si>
  <si>
    <t>Pasco</t>
  </si>
  <si>
    <t>Highland</t>
  </si>
  <si>
    <t>Lake Utility Services (LUSI)</t>
  </si>
  <si>
    <t>Lake</t>
  </si>
  <si>
    <t>5a</t>
  </si>
  <si>
    <t xml:space="preserve">          LUSI (Four Lakes)</t>
  </si>
  <si>
    <t>5b</t>
  </si>
  <si>
    <t xml:space="preserve">          LUSI (Lake Saunders)</t>
  </si>
  <si>
    <t>5c</t>
  </si>
  <si>
    <t xml:space="preserve">          Barrington WW</t>
  </si>
  <si>
    <t>Golden Hills/Crownwood</t>
  </si>
  <si>
    <t>Marion</t>
  </si>
  <si>
    <t>78.44%</t>
  </si>
  <si>
    <t>Pinellas</t>
  </si>
  <si>
    <t>Crescent Heights</t>
  </si>
  <si>
    <t>Orange</t>
  </si>
  <si>
    <t xml:space="preserve">Purchased Treatment - Not appl. </t>
  </si>
  <si>
    <t>Davis Shores</t>
  </si>
  <si>
    <t>Summertree</t>
  </si>
  <si>
    <t>Orangewood (incl. Wis-Bar, Buena Vista MHP)</t>
  </si>
  <si>
    <t>Pennbrooke</t>
  </si>
  <si>
    <t>Lake Tarpon</t>
  </si>
  <si>
    <t>Tierra Verde</t>
  </si>
  <si>
    <t>Sandalhaven - EWD Capacity</t>
  </si>
  <si>
    <t>Charlotte</t>
  </si>
  <si>
    <t>15a</t>
  </si>
  <si>
    <t>Sandalhaven - Transmission</t>
  </si>
  <si>
    <t>Sanlando Utilities Corp. (incl. Knollwood, DesPinar, Longwood)</t>
  </si>
  <si>
    <t>Seminole</t>
  </si>
  <si>
    <t>Bear Lake</t>
  </si>
  <si>
    <t>Ravenna Park (incl. Crystal Lake, Phillips)/ Lincoln Heights</t>
  </si>
  <si>
    <t>Jansen</t>
  </si>
  <si>
    <t>Little Wekiva</t>
  </si>
  <si>
    <t>Oakland Shores</t>
  </si>
  <si>
    <t>Park Ridge</t>
  </si>
  <si>
    <t>Weathersfield</t>
  </si>
  <si>
    <t>`</t>
  </si>
  <si>
    <t>Addition</t>
  </si>
  <si>
    <t>Months to annualize</t>
  </si>
  <si>
    <t>Annualized</t>
  </si>
  <si>
    <t>Depr</t>
  </si>
  <si>
    <t>Annualized Dep</t>
  </si>
  <si>
    <t>TY Plant Adds</t>
  </si>
  <si>
    <t>Proforma</t>
  </si>
  <si>
    <t>Plant Adds</t>
  </si>
  <si>
    <t>Adds</t>
  </si>
  <si>
    <t>3560 - Special Coll.  Struct. Manholes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</si>
</sst>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0\)"/>
    <numFmt numFmtId="165" formatCode="_(* #,##0_);_(* \(#,##0\);_(* &quot;-&quot;??_);_(@_)"/>
    <numFmt numFmtId="166" formatCode="0.00_);\(0.00\)"/>
    <numFmt numFmtId="167" formatCode="_(&quot;$&quot;* #,##0_);_(&quot;$&quot;* \(#,##0\);_(&quot;$&quot;* &quot;-&quot;??_);_(@_)"/>
    <numFmt numFmtId="168" formatCode="[$$-409]#,##0"/>
    <numFmt numFmtId="169" formatCode="hh:mm:ss\ AM/PM_)"/>
    <numFmt numFmtId="170" formatCode="mm/dd/yy"/>
    <numFmt numFmtId="171" formatCode="_(* #,##0.0_);_(* \(#,##0.0\);_(* &quot;-&quot;_);_(@_)"/>
    <numFmt numFmtId="172" formatCode="_(* #,##0.000000000_);_(* \(#,##0.000000000\);_(* &quot;-&quot;_);_(@_)"/>
    <numFmt numFmtId="173" formatCode="0.000%"/>
    <numFmt numFmtId="174" formatCode="0.0"/>
    <numFmt numFmtId="175" formatCode="_(* #,##0.000_);_(* \(#,##0.000\);_(* &quot;-&quot;???_);_(@_)"/>
  </numFmts>
  <fonts count="102">
    <font>
      <sz val="11"/>
      <color theme="1"/>
      <name val="Calibri"/>
      <family val="2"/>
      <scheme val="minor"/>
    </font>
    <font>
      <sz val="10"/>
      <color theme="1"/>
      <name val="Arial"/>
      <family val="2"/>
    </font>
    <font>
      <b/>
      <sz val="9"/>
      <name val="Calibri"/>
      <family val="2"/>
    </font>
    <font>
      <sz val="9"/>
      <name val="Calibri"/>
      <family val="2"/>
    </font>
    <font>
      <sz val="8"/>
      <name val="Arial"/>
      <family val="2"/>
    </font>
    <font>
      <b/>
      <sz val="9"/>
      <color indexed="12"/>
      <name val="Calibri"/>
      <family val="2"/>
    </font>
    <font>
      <b/>
      <sz val="8"/>
      <name val="Arial"/>
      <family val="2"/>
    </font>
    <font>
      <u val="single"/>
      <sz val="8"/>
      <name val="Calibri"/>
      <family val="2"/>
    </font>
    <font>
      <sz val="8"/>
      <name val="Calibri"/>
      <family val="2"/>
    </font>
    <font>
      <sz val="8"/>
      <name val="Calibri"/>
      <family val="2"/>
      <scheme val="minor"/>
    </font>
    <font>
      <sz val="9"/>
      <color indexed="12"/>
      <name val="Calibri"/>
      <family val="2"/>
    </font>
    <font>
      <sz val="9"/>
      <name val="Arial"/>
      <family val="2"/>
    </font>
    <font>
      <sz val="10"/>
      <name val="Arial"/>
      <family val="2"/>
    </font>
    <font>
      <b/>
      <sz val="8"/>
      <color indexed="12"/>
      <name val="Arial"/>
      <family val="2"/>
    </font>
    <font>
      <b/>
      <u val="singleAccounting"/>
      <sz val="8"/>
      <name val="Arial"/>
      <family val="2"/>
    </font>
    <font>
      <sz val="9"/>
      <name val="Calibri"/>
      <family val="2"/>
      <scheme val="minor"/>
    </font>
    <font>
      <sz val="10"/>
      <color rgb="FFFF0000"/>
      <name val="Arial"/>
      <family val="2"/>
    </font>
    <font>
      <sz val="7.5"/>
      <name val="Arial"/>
      <family val="2"/>
    </font>
    <font>
      <sz val="10"/>
      <color rgb="FFFFFF66"/>
      <name val="Arial"/>
      <family val="2"/>
    </font>
    <font>
      <sz val="8"/>
      <color rgb="FFFFFF66"/>
      <name val="Arial"/>
      <family val="2"/>
    </font>
    <font>
      <sz val="8"/>
      <color indexed="12"/>
      <name val="Arial"/>
      <family val="2"/>
    </font>
    <font>
      <b/>
      <sz val="9"/>
      <name val="Calibri"/>
      <family val="2"/>
      <scheme val="minor"/>
    </font>
    <font>
      <b/>
      <sz val="9"/>
      <color indexed="12"/>
      <name val="Calibri"/>
      <family val="2"/>
      <scheme val="minor"/>
    </font>
    <font>
      <b/>
      <u val="singleAccounting"/>
      <sz val="9"/>
      <name val="Calibri"/>
      <family val="2"/>
      <scheme val="minor"/>
    </font>
    <font>
      <sz val="9"/>
      <color rgb="FFFFFF66"/>
      <name val="Calibri"/>
      <family val="2"/>
      <scheme val="minor"/>
    </font>
    <font>
      <u val="doubleAccounting"/>
      <sz val="9"/>
      <name val="Calibri"/>
      <family val="2"/>
      <scheme val="minor"/>
    </font>
    <font>
      <sz val="9"/>
      <color indexed="12"/>
      <name val="Calibri"/>
      <family val="2"/>
      <scheme val="minor"/>
    </font>
    <font>
      <sz val="12"/>
      <name val="Arial"/>
      <family val="2"/>
    </font>
    <font>
      <b/>
      <u val="single"/>
      <sz val="12"/>
      <color indexed="8"/>
      <name val="Arial"/>
      <family val="2"/>
    </font>
    <font>
      <b/>
      <sz val="12"/>
      <color indexed="8"/>
      <name val="Arial"/>
      <family val="2"/>
    </font>
    <font>
      <sz val="12"/>
      <color indexed="8"/>
      <name val="Arial"/>
      <family val="2"/>
    </font>
    <font>
      <sz val="12"/>
      <color indexed="8"/>
      <name val="Courier New"/>
      <family val="3"/>
    </font>
    <font>
      <sz val="9"/>
      <color rgb="FFFF0000"/>
      <name val="Calibri"/>
      <family val="2"/>
    </font>
    <font>
      <u val="singleAccounting"/>
      <sz val="8"/>
      <name val="Arial"/>
      <family val="2"/>
    </font>
    <font>
      <b/>
      <u val="single"/>
      <sz val="10"/>
      <color indexed="8"/>
      <name val="Arial"/>
      <family val="2"/>
    </font>
    <font>
      <b/>
      <sz val="10"/>
      <color indexed="8"/>
      <name val="Arial"/>
      <family val="2"/>
    </font>
    <font>
      <sz val="10"/>
      <color indexed="8"/>
      <name val="Arial"/>
      <family val="2"/>
    </font>
    <font>
      <sz val="10"/>
      <color indexed="8"/>
      <name val="Courier New"/>
      <family val="3"/>
    </font>
    <font>
      <b/>
      <u val="single"/>
      <sz val="9"/>
      <color indexed="8"/>
      <name val="Arial"/>
      <family val="2"/>
    </font>
    <font>
      <b/>
      <sz val="9"/>
      <color indexed="8"/>
      <name val="Arial"/>
      <family val="2"/>
    </font>
    <font>
      <sz val="9"/>
      <color indexed="8"/>
      <name val="Arial"/>
      <family val="2"/>
    </font>
    <font>
      <sz val="11"/>
      <color rgb="FFFF0000"/>
      <name val="Calibri"/>
      <family val="2"/>
      <scheme val="minor"/>
    </font>
    <font>
      <i/>
      <sz val="11"/>
      <color rgb="FFFF0000"/>
      <name val="Calibri"/>
      <family val="2"/>
      <scheme val="minor"/>
    </font>
    <font>
      <b/>
      <sz val="9"/>
      <name val="Tahoma"/>
      <family val="2"/>
    </font>
    <font>
      <sz val="9"/>
      <name val="Tahoma"/>
      <family val="2"/>
    </font>
    <font>
      <b/>
      <sz val="9"/>
      <color indexed="8"/>
      <name val="Calibri"/>
      <family val="2"/>
      <scheme val="minor"/>
    </font>
    <font>
      <b/>
      <u val="single"/>
      <sz val="9"/>
      <name val="Calibri"/>
      <family val="2"/>
      <scheme val="minor"/>
    </font>
    <font>
      <sz val="10"/>
      <name val="Calibri"/>
      <family val="2"/>
      <scheme val="minor"/>
    </font>
    <font>
      <sz val="9"/>
      <color indexed="8"/>
      <name val="Calibri"/>
      <family val="2"/>
      <scheme val="minor"/>
    </font>
    <font>
      <sz val="9"/>
      <color rgb="FFFFFF00"/>
      <name val="Calibri"/>
      <family val="2"/>
      <scheme val="minor"/>
    </font>
    <font>
      <b/>
      <sz val="8"/>
      <name val="Tahoma"/>
      <family val="2"/>
    </font>
    <font>
      <sz val="8"/>
      <name val="Tahoma"/>
      <family val="2"/>
    </font>
    <font>
      <sz val="10"/>
      <color indexed="8"/>
      <name val="Calibri"/>
      <family val="2"/>
    </font>
    <font>
      <b/>
      <sz val="12"/>
      <name val="Calibri"/>
      <family val="2"/>
    </font>
    <font>
      <u val="single"/>
      <sz val="12"/>
      <name val="Calibri"/>
      <family val="2"/>
    </font>
    <font>
      <sz val="12"/>
      <name val="Calibri"/>
      <family val="2"/>
    </font>
    <font>
      <b/>
      <u val="single"/>
      <sz val="12"/>
      <name val="Calibri"/>
      <family val="2"/>
    </font>
    <font>
      <sz val="12"/>
      <color indexed="8"/>
      <name val="Calibri"/>
      <family val="2"/>
    </font>
    <font>
      <u val="double"/>
      <sz val="12"/>
      <name val="Calibri"/>
      <family val="2"/>
    </font>
    <font>
      <b/>
      <u val="singleAccounting"/>
      <sz val="9"/>
      <name val="Calibri"/>
      <family val="2"/>
    </font>
    <font>
      <sz val="11"/>
      <name val="Calibri"/>
      <family val="2"/>
    </font>
    <font>
      <sz val="11"/>
      <color indexed="8"/>
      <name val="Calibri"/>
      <family val="2"/>
    </font>
    <font>
      <b/>
      <sz val="11"/>
      <name val="Calibri"/>
      <family val="2"/>
    </font>
    <font>
      <u val="single"/>
      <sz val="9"/>
      <name val="Calibri"/>
      <family val="2"/>
    </font>
    <font>
      <u val="double"/>
      <sz val="9"/>
      <name val="Calibri"/>
      <family val="2"/>
    </font>
    <font>
      <sz val="9"/>
      <color indexed="8"/>
      <name val="Calibri"/>
      <family val="2"/>
    </font>
    <font>
      <sz val="10"/>
      <name val="Calibri"/>
      <family val="2"/>
    </font>
    <font>
      <b/>
      <sz val="10"/>
      <name val="Calibr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9"/>
      <color indexed="8"/>
      <name val="Calibri"/>
      <family val="2"/>
    </font>
    <font>
      <b/>
      <sz val="12"/>
      <name val="Arial"/>
      <family val="2"/>
    </font>
    <font>
      <u val="single"/>
      <sz val="12"/>
      <name val="Arial"/>
      <family val="2"/>
    </font>
    <font>
      <u val="double"/>
      <sz val="12"/>
      <name val="Arial"/>
      <family val="2"/>
    </font>
    <font>
      <b/>
      <u val="single"/>
      <sz val="12"/>
      <name val="Arial"/>
      <family val="2"/>
    </font>
    <font>
      <sz val="9"/>
      <color theme="1"/>
      <name val="Calibri"/>
      <family val="2"/>
      <scheme val="minor"/>
    </font>
    <font>
      <sz val="9"/>
      <color rgb="FFFF0000"/>
      <name val="Calibri"/>
      <family val="2"/>
      <scheme val="minor"/>
    </font>
    <font>
      <b/>
      <sz val="11"/>
      <name val="Arial"/>
      <family val="2"/>
    </font>
    <font>
      <u val="single"/>
      <sz val="11"/>
      <name val="Arial"/>
      <family val="2"/>
    </font>
    <font>
      <sz val="11"/>
      <name val="Arial"/>
      <family val="2"/>
    </font>
    <font>
      <sz val="11"/>
      <color indexed="8"/>
      <name val="Courier New"/>
      <family val="3"/>
    </font>
    <font>
      <sz val="11"/>
      <color indexed="8"/>
      <name val="Arial"/>
      <family val="2"/>
    </font>
    <font>
      <u val="double"/>
      <sz val="11"/>
      <name val="Arial"/>
      <family val="2"/>
    </font>
    <font>
      <b/>
      <u val="single"/>
      <sz val="11"/>
      <name val="Arial"/>
      <family val="2"/>
    </font>
    <font>
      <u val="singleAccounting"/>
      <sz val="9"/>
      <name val="Calibri"/>
      <family val="2"/>
    </font>
    <font>
      <b/>
      <sz val="10"/>
      <name val="Arial"/>
      <family val="2"/>
    </font>
    <font>
      <b/>
      <sz val="10"/>
      <color rgb="FFFF0000"/>
      <name val="Arial"/>
      <family val="2"/>
    </font>
    <font>
      <sz val="10"/>
      <color theme="1"/>
      <name val="Calibri"/>
      <family val="2"/>
      <scheme val="minor"/>
    </font>
    <font>
      <b/>
      <sz val="9"/>
      <color theme="1"/>
      <name val="Calibri"/>
      <family val="2"/>
      <scheme val="minor"/>
    </font>
  </fonts>
  <fills count="44">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4" tint="0.39998"/>
        <bgColor indexed="64"/>
      </patternFill>
    </fill>
    <fill>
      <patternFill patternType="solid">
        <fgColor theme="5"/>
        <bgColor indexed="64"/>
      </patternFill>
    </fill>
    <fill>
      <patternFill patternType="solid">
        <fgColor theme="5" tint="0.79998"/>
        <bgColor indexed="64"/>
      </patternFill>
    </fill>
    <fill>
      <patternFill patternType="solid">
        <fgColor theme="5" tint="0.59999"/>
        <bgColor indexed="64"/>
      </patternFill>
    </fill>
    <fill>
      <patternFill patternType="solid">
        <fgColor theme="5" tint="0.39998"/>
        <bgColor indexed="64"/>
      </patternFill>
    </fill>
    <fill>
      <patternFill patternType="solid">
        <fgColor theme="6"/>
        <bgColor indexed="64"/>
      </patternFill>
    </fill>
    <fill>
      <patternFill patternType="solid">
        <fgColor theme="6" tint="0.79998"/>
        <bgColor indexed="64"/>
      </patternFill>
    </fill>
    <fill>
      <patternFill patternType="solid">
        <fgColor theme="6" tint="0.59999"/>
        <bgColor indexed="64"/>
      </patternFill>
    </fill>
    <fill>
      <patternFill patternType="solid">
        <fgColor theme="6" tint="0.39998"/>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7" tint="0.39998"/>
        <bgColor indexed="64"/>
      </patternFill>
    </fill>
    <fill>
      <patternFill patternType="solid">
        <fgColor theme="8"/>
        <bgColor indexed="64"/>
      </patternFill>
    </fill>
    <fill>
      <patternFill patternType="solid">
        <fgColor theme="8" tint="0.7999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79998"/>
        <bgColor indexed="64"/>
      </patternFill>
    </fill>
    <fill>
      <patternFill patternType="solid">
        <fgColor theme="9" tint="0.59999"/>
        <bgColor indexed="64"/>
      </patternFill>
    </fill>
    <fill>
      <patternFill patternType="solid">
        <fgColor theme="9" tint="0.39998"/>
        <bgColor indexed="64"/>
      </patternFill>
    </fill>
    <fill>
      <patternFill patternType="solid">
        <fgColor rgb="FFFFFF00"/>
        <bgColor indexed="64"/>
      </patternFill>
    </fill>
    <fill>
      <patternFill patternType="solid">
        <fgColor rgb="FF00B0F0"/>
        <bgColor indexed="64"/>
      </patternFill>
    </fill>
    <fill>
      <patternFill patternType="solid">
        <fgColor indexed="43"/>
        <bgColor indexed="64"/>
      </patternFill>
    </fill>
    <fill>
      <patternFill patternType="solid">
        <fgColor rgb="FF92D050"/>
        <bgColor indexed="64"/>
      </patternFill>
    </fill>
    <fill>
      <patternFill patternType="solid">
        <fgColor indexed="13"/>
        <bgColor indexed="64"/>
      </patternFill>
    </fill>
    <fill>
      <patternFill patternType="solid">
        <fgColor theme="0" tint="-0.14999"/>
        <bgColor indexed="64"/>
      </patternFill>
    </fill>
    <fill>
      <patternFill patternType="solid">
        <fgColor indexed="26"/>
        <bgColor indexed="64"/>
      </patternFill>
    </fill>
    <fill>
      <patternFill patternType="solid">
        <fgColor indexed="26"/>
        <bgColor indexed="64"/>
      </patternFill>
    </fill>
    <fill>
      <patternFill patternType="solid">
        <fgColor rgb="FF66FFFF"/>
        <bgColor indexed="64"/>
      </patternFill>
    </fill>
    <fill>
      <patternFill patternType="solid">
        <fgColor rgb="FFFFC000"/>
        <bgColor indexed="64"/>
      </patternFill>
    </fill>
    <fill>
      <patternFill patternType="solid">
        <fgColor rgb="FF2DC8FF"/>
        <bgColor indexed="64"/>
      </patternFill>
    </fill>
  </fills>
  <borders count="41">
    <border>
      <left/>
      <right/>
      <top/>
      <bottom/>
      <diagonal/>
    </border>
    <border>
      <left/>
      <right/>
      <top/>
      <bottom style="thick">
        <color theme="4"/>
      </bottom>
    </border>
    <border>
      <left/>
      <right/>
      <top/>
      <bottom style="thick">
        <color theme="4" tint="0.49998"/>
      </bottom>
    </border>
    <border>
      <left/>
      <right/>
      <top/>
      <bottom style="medium">
        <color theme="4" tint="0.39998"/>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top/>
      <bottom style="medium">
        <color indexed="8"/>
      </bottom>
    </border>
    <border>
      <left/>
      <right/>
      <top/>
      <bottom style="thin">
        <color indexed="8"/>
      </bottom>
    </border>
    <border>
      <left/>
      <right/>
      <top style="thin">
        <color auto="1"/>
      </top>
      <bottom style="thin">
        <color auto="1"/>
      </bottom>
    </border>
    <border>
      <left/>
      <right/>
      <top/>
      <bottom style="medium">
        <color auto="1"/>
      </bottom>
    </border>
    <border>
      <left/>
      <right/>
      <top style="medium">
        <color auto="1"/>
      </top>
      <bottom/>
    </border>
    <border>
      <left/>
      <right/>
      <top style="thin">
        <color indexed="8"/>
      </top>
      <bottom style="thin">
        <color indexed="8"/>
      </bottom>
    </border>
    <border>
      <left/>
      <right/>
      <top style="thin">
        <color auto="1"/>
      </top>
      <bottom style="double">
        <color auto="1"/>
      </bottom>
    </border>
    <border>
      <left/>
      <right/>
      <top/>
      <bottom style="thin">
        <color auto="1"/>
      </bottom>
    </border>
    <border>
      <left/>
      <right/>
      <top style="thin">
        <color indexed="8"/>
      </top>
      <bottom/>
    </border>
    <border>
      <left style="medium">
        <color auto="1"/>
      </left>
      <right/>
      <top style="medium">
        <color auto="1"/>
      </top>
      <bottom/>
    </border>
    <border>
      <left/>
      <right style="medium">
        <color auto="1"/>
      </right>
      <top style="medium">
        <color auto="1"/>
      </top>
      <bottom/>
    </border>
    <border>
      <left style="medium">
        <color auto="1"/>
      </left>
      <right/>
      <top/>
      <bottom/>
    </border>
    <border>
      <left/>
      <right style="medium">
        <color auto="1"/>
      </right>
      <top/>
      <bottom/>
    </border>
    <border>
      <left/>
      <right style="medium">
        <color auto="1"/>
      </right>
      <top/>
      <bottom style="thin">
        <color auto="1"/>
      </bottom>
    </border>
    <border>
      <left style="medium">
        <color auto="1"/>
      </left>
      <right/>
      <top/>
      <bottom style="medium">
        <color auto="1"/>
      </bottom>
    </border>
    <border>
      <left/>
      <right style="medium">
        <color auto="1"/>
      </right>
      <top/>
      <bottom style="medium">
        <color auto="1"/>
      </bottom>
    </border>
    <border>
      <left style="thin">
        <color indexed="8"/>
      </left>
      <right/>
      <top/>
      <bottom/>
    </border>
    <border>
      <left/>
      <right/>
      <top/>
      <bottom style="double">
        <color auto="1"/>
      </bottom>
    </border>
    <border>
      <left/>
      <right/>
      <top/>
      <bottom style="double">
        <color indexed="8"/>
      </bottom>
    </border>
    <border>
      <left style="thin">
        <color auto="1"/>
      </left>
      <right/>
      <top style="thin">
        <color auto="1"/>
      </top>
      <bottom/>
    </border>
    <border>
      <left/>
      <right/>
      <top style="thin">
        <color auto="1"/>
      </top>
      <bottom/>
    </border>
    <border>
      <left/>
      <right style="thin">
        <color auto="1"/>
      </right>
      <top style="thin">
        <color auto="1"/>
      </top>
      <bottom/>
    </border>
    <border>
      <left style="thin">
        <color auto="1"/>
      </left>
      <right/>
      <top/>
      <bottom/>
    </border>
    <border>
      <left/>
      <right style="thin">
        <color auto="1"/>
      </right>
      <top/>
      <bottom/>
    </border>
    <border>
      <left style="thin">
        <color auto="1"/>
      </left>
      <right/>
      <top/>
      <bottom style="thin">
        <color auto="1"/>
      </bottom>
    </border>
    <border>
      <left/>
      <right style="thin">
        <color auto="1"/>
      </right>
      <top/>
      <bottom style="thin">
        <color auto="1"/>
      </bottom>
    </border>
    <border>
      <left style="thin">
        <color indexed="8"/>
      </left>
      <right/>
      <top style="thin">
        <color indexed="8"/>
      </top>
      <bottom/>
    </border>
    <border>
      <left/>
      <right/>
      <top style="thin">
        <color auto="1"/>
      </top>
      <bottom style="double">
        <color indexed="8"/>
      </bottom>
    </border>
    <border>
      <left/>
      <right/>
      <top style="thin">
        <color indexed="8"/>
      </top>
      <bottom style="double">
        <color indexed="8"/>
      </bottom>
    </border>
    <border>
      <left/>
      <right/>
      <top style="thin">
        <color theme="1"/>
      </top>
      <bottom style="double">
        <color theme="1"/>
      </bottom>
    </border>
    <border>
      <left style="thin">
        <color auto="1"/>
      </left>
      <right style="thin">
        <color auto="1"/>
      </right>
      <top style="thin">
        <color auto="1"/>
      </top>
      <bottom style="thin">
        <color auto="1"/>
      </bottom>
    </border>
  </borders>
  <cellStyleXfs count="7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1" fillId="0" borderId="0" applyFont="0" applyFill="0" applyBorder="0" applyAlignment="0" applyProtection="0"/>
    <xf numFmtId="43" fontId="0" fillId="0" borderId="0" applyFont="0" applyFill="0" applyBorder="0" applyAlignment="0" applyProtection="0"/>
    <xf numFmtId="41" fontId="1" fillId="0" borderId="0" applyFont="0" applyFill="0" applyBorder="0" applyAlignment="0" applyProtection="0"/>
    <xf numFmtId="0" fontId="12" fillId="0" borderId="0">
      <alignment/>
      <protection/>
    </xf>
    <xf numFmtId="0" fontId="12" fillId="0" borderId="0">
      <alignment/>
      <protection/>
    </xf>
    <xf numFmtId="0" fontId="27" fillId="0" borderId="0">
      <alignment/>
      <protection/>
    </xf>
    <xf numFmtId="0" fontId="27" fillId="0" borderId="0">
      <alignment/>
      <protection/>
    </xf>
    <xf numFmtId="0" fontId="12" fillId="0" borderId="0">
      <alignment/>
      <protection/>
    </xf>
    <xf numFmtId="0" fontId="68" fillId="0" borderId="0" applyNumberFormat="0" applyFill="0" applyBorder="0" applyAlignment="0" applyProtection="0"/>
    <xf numFmtId="0" fontId="69" fillId="0" borderId="1" applyNumberFormat="0" applyFill="0" applyAlignment="0" applyProtection="0"/>
    <xf numFmtId="0" fontId="70" fillId="0" borderId="2" applyNumberFormat="0" applyFill="0" applyAlignment="0" applyProtection="0"/>
    <xf numFmtId="0" fontId="71" fillId="0" borderId="3" applyNumberFormat="0" applyFill="0" applyAlignment="0" applyProtection="0"/>
    <xf numFmtId="0" fontId="71" fillId="0" borderId="0" applyNumberFormat="0" applyFill="0" applyBorder="0" applyAlignment="0" applyProtection="0"/>
    <xf numFmtId="0" fontId="72" fillId="2" borderId="0" applyNumberFormat="0" applyBorder="0" applyAlignment="0" applyProtection="0"/>
    <xf numFmtId="0" fontId="73" fillId="3" borderId="0" applyNumberFormat="0" applyBorder="0" applyAlignment="0" applyProtection="0"/>
    <xf numFmtId="0" fontId="74" fillId="4" borderId="0" applyNumberFormat="0" applyBorder="0" applyAlignment="0" applyProtection="0"/>
    <xf numFmtId="0" fontId="75" fillId="5" borderId="4" applyNumberFormat="0" applyAlignment="0" applyProtection="0"/>
    <xf numFmtId="0" fontId="76" fillId="6" borderId="5" applyNumberFormat="0" applyAlignment="0" applyProtection="0"/>
    <xf numFmtId="0" fontId="77" fillId="6" borderId="4" applyNumberFormat="0" applyAlignment="0" applyProtection="0"/>
    <xf numFmtId="0" fontId="78" fillId="0" borderId="6" applyNumberFormat="0" applyFill="0" applyAlignment="0" applyProtection="0"/>
    <xf numFmtId="0" fontId="79" fillId="7" borderId="7" applyNumberFormat="0" applyAlignment="0" applyProtection="0"/>
    <xf numFmtId="0" fontId="41" fillId="0" borderId="0" applyNumberFormat="0" applyFill="0" applyBorder="0" applyAlignment="0" applyProtection="0"/>
    <xf numFmtId="0" fontId="0" fillId="8" borderId="8" applyNumberFormat="0" applyFont="0" applyAlignment="0" applyProtection="0"/>
    <xf numFmtId="0" fontId="80" fillId="0" borderId="0" applyNumberFormat="0" applyFill="0" applyBorder="0" applyAlignment="0" applyProtection="0"/>
    <xf numFmtId="0" fontId="81" fillId="0" borderId="9" applyNumberFormat="0" applyFill="0" applyAlignment="0" applyProtection="0"/>
    <xf numFmtId="0" fontId="82"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82"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82"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0" fillId="20" borderId="0" applyNumberFormat="0" applyBorder="0" applyAlignment="0" applyProtection="0"/>
    <xf numFmtId="0" fontId="82"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0" fillId="24" borderId="0" applyNumberFormat="0" applyBorder="0" applyAlignment="0" applyProtection="0"/>
    <xf numFmtId="0" fontId="82"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0" fillId="28" borderId="0" applyNumberFormat="0" applyBorder="0" applyAlignment="0" applyProtection="0"/>
    <xf numFmtId="0" fontId="82"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9" fontId="12" fillId="0" borderId="0" applyFont="0" applyFill="0" applyBorder="0" applyAlignment="0" applyProtection="0"/>
    <xf numFmtId="0" fontId="0" fillId="0" borderId="0">
      <alignment/>
      <protection/>
    </xf>
    <xf numFmtId="43" fontId="0" fillId="0" borderId="0" applyFont="0" applyFill="0" applyBorder="0" applyAlignment="0" applyProtection="0"/>
    <xf numFmtId="9" fontId="0" fillId="0" borderId="0" applyFont="0" applyFill="0" applyBorder="0" applyAlignment="0" applyProtection="0"/>
  </cellStyleXfs>
  <cellXfs count="737">
    <xf numFmtId="0" fontId="0" fillId="0" borderId="0" xfId="0"/>
    <xf numFmtId="0" fontId="2" fillId="0" borderId="0" xfId="0" applyFont="1"/>
    <xf numFmtId="0" fontId="3" fillId="0" borderId="0" xfId="0" applyFont="1"/>
    <xf numFmtId="0" fontId="2" fillId="0" borderId="0" xfId="0" applyFont="1" applyAlignment="1">
      <alignment horizontal="left" indent="2"/>
    </xf>
    <xf numFmtId="0" fontId="4" fillId="0" borderId="0" xfId="0" applyFont="1"/>
    <xf numFmtId="10" fontId="2" fillId="0" borderId="0" xfId="0" applyNumberFormat="1" applyFont="1"/>
    <xf numFmtId="0" fontId="2" fillId="0" borderId="0" xfId="0" applyFont="1" applyAlignment="1" quotePrefix="1">
      <alignment horizontal="justify"/>
    </xf>
    <xf numFmtId="0" fontId="2" fillId="0" borderId="0" xfId="0" applyFont="1" applyAlignment="1">
      <alignment horizontal="justify"/>
    </xf>
    <xf numFmtId="0" fontId="2" fillId="0" borderId="0" xfId="0" applyFont="1" applyAlignment="1" quotePrefix="1">
      <alignment horizontal="left"/>
    </xf>
    <xf numFmtId="0" fontId="5" fillId="0" borderId="0" xfId="0" applyFont="1" applyProtection="1">
      <protection locked="0"/>
    </xf>
    <xf numFmtId="0" fontId="2" fillId="0" borderId="10" xfId="0" applyFont="1" applyBorder="1"/>
    <xf numFmtId="37" fontId="2" fillId="0" borderId="10" xfId="0" applyNumberFormat="1" applyFont="1" applyBorder="1"/>
    <xf numFmtId="10" fontId="2" fillId="0" borderId="10" xfId="0" applyNumberFormat="1" applyFont="1" applyBorder="1"/>
    <xf numFmtId="164" fontId="2" fillId="0" borderId="0" xfId="0" applyNumberFormat="1" applyFont="1"/>
    <xf numFmtId="164" fontId="2" fillId="0" borderId="0" xfId="0" applyNumberFormat="1" applyFont="1" applyAlignment="1">
      <alignment horizontal="centerContinuous"/>
    </xf>
    <xf numFmtId="164" fontId="2" fillId="0" borderId="0" xfId="0" applyNumberFormat="1" applyFont="1" applyAlignment="1">
      <alignment horizontal="center"/>
    </xf>
    <xf numFmtId="164" fontId="2" fillId="0" borderId="0" xfId="0" applyNumberFormat="1" applyFont="1" applyAlignment="1" quotePrefix="1">
      <alignment horizontal="center"/>
    </xf>
    <xf numFmtId="164" fontId="3" fillId="0" borderId="0" xfId="0" applyNumberFormat="1" applyFont="1"/>
    <xf numFmtId="164" fontId="4" fillId="0" borderId="0" xfId="0" applyNumberFormat="1" applyFont="1"/>
    <xf numFmtId="0" fontId="2" fillId="0" borderId="0" xfId="0" applyFont="1" applyAlignment="1">
      <alignment horizontal="centerContinuous"/>
    </xf>
    <xf numFmtId="0" fontId="2" fillId="0" borderId="0" xfId="0" applyFont="1" applyAlignment="1" quotePrefix="1">
      <alignment horizontal="center"/>
    </xf>
    <xf numFmtId="0" fontId="2" fillId="0" borderId="0" xfId="0" applyFont="1" applyAlignment="1">
      <alignment horizontal="center"/>
    </xf>
    <xf numFmtId="10" fontId="2" fillId="0" borderId="0" xfId="0" applyNumberFormat="1" applyFont="1" applyAlignment="1">
      <alignment horizontal="centerContinuous"/>
    </xf>
    <xf numFmtId="43" fontId="2" fillId="0" borderId="11" xfId="18" applyFont="1" applyFill="1" applyBorder="1" applyAlignment="1">
      <alignment horizontal="centerContinuous" wrapText="1"/>
    </xf>
    <xf numFmtId="43" fontId="2" fillId="0" borderId="11" xfId="18" applyFont="1" applyFill="1" applyBorder="1" applyAlignment="1">
      <alignment horizontal="centerContinuous"/>
    </xf>
    <xf numFmtId="43" fontId="2" fillId="0" borderId="11" xfId="18" applyFont="1" applyFill="1" applyBorder="1" applyAlignment="1">
      <alignment horizontal="center"/>
    </xf>
    <xf numFmtId="43" fontId="2" fillId="0" borderId="11" xfId="18" applyFont="1" applyFill="1" applyBorder="1" applyAlignment="1" quotePrefix="1">
      <alignment horizontal="center"/>
    </xf>
    <xf numFmtId="10" fontId="2" fillId="0" borderId="11" xfId="18" applyNumberFormat="1" applyFont="1" applyFill="1" applyBorder="1" applyAlignment="1">
      <alignment horizontal="centerContinuous"/>
    </xf>
    <xf numFmtId="0" fontId="3" fillId="0" borderId="0" xfId="0" applyFont="1" applyAlignment="1">
      <alignment horizontal="centerContinuous"/>
    </xf>
    <xf numFmtId="43" fontId="3" fillId="0" borderId="0" xfId="18" applyFont="1" applyFill="1" applyAlignment="1">
      <alignment/>
    </xf>
    <xf numFmtId="10" fontId="3" fillId="0" borderId="0" xfId="0" applyNumberFormat="1" applyFont="1"/>
    <xf numFmtId="0" fontId="3" fillId="0" borderId="0" xfId="0" applyFont="1" applyAlignment="1">
      <alignment horizontal="centerContinuous" vertical="top"/>
    </xf>
    <xf numFmtId="42" fontId="3" fillId="0" borderId="0" xfId="0" applyNumberFormat="1" applyFont="1"/>
    <xf numFmtId="44" fontId="3" fillId="0" borderId="0" xfId="16" applyFont="1" applyFill="1" applyAlignment="1">
      <alignment/>
    </xf>
    <xf numFmtId="41" fontId="3" fillId="0" borderId="0" xfId="0" applyNumberFormat="1" applyFont="1"/>
    <xf numFmtId="0" fontId="3" fillId="0" borderId="0" xfId="0" applyFont="1" applyAlignment="1">
      <alignment horizontal="center"/>
    </xf>
    <xf numFmtId="0" fontId="3" fillId="0" borderId="0" xfId="0" applyFont="1" quotePrefix="1"/>
    <xf numFmtId="0" fontId="3" fillId="0" borderId="0" xfId="0" applyFont="1" applyAlignment="1" quotePrefix="1">
      <alignment horizontal="left"/>
    </xf>
    <xf numFmtId="37" fontId="4" fillId="0" borderId="0" xfId="0" applyNumberFormat="1" applyFont="1"/>
    <xf numFmtId="165" fontId="3" fillId="0" borderId="0" xfId="18" applyNumberFormat="1" applyFont="1" applyFill="1" applyAlignment="1">
      <alignment/>
    </xf>
    <xf numFmtId="43" fontId="4" fillId="0" borderId="0" xfId="18" applyFont="1" applyFill="1" applyAlignment="1">
      <alignment/>
    </xf>
    <xf numFmtId="10" fontId="4" fillId="0" borderId="0" xfId="0" applyNumberFormat="1" applyFont="1"/>
    <xf numFmtId="0" fontId="6" fillId="0" borderId="0" xfId="0" applyFont="1" applyAlignment="1">
      <alignment horizontal="centerContinuous"/>
    </xf>
    <xf numFmtId="0" fontId="6" fillId="0" borderId="0" xfId="0" applyFont="1" applyAlignment="1" quotePrefix="1">
      <alignment horizontal="left"/>
    </xf>
    <xf numFmtId="41" fontId="4" fillId="0" borderId="0" xfId="0" applyNumberFormat="1" applyFont="1"/>
    <xf numFmtId="0" fontId="7" fillId="0" borderId="0" xfId="0" applyFont="1"/>
    <xf numFmtId="37" fontId="3" fillId="0" borderId="0" xfId="0" applyNumberFormat="1" applyFont="1"/>
    <xf numFmtId="0" fontId="8" fillId="0" borderId="0" xfId="0" applyFont="1" applyAlignment="1">
      <alignment horizontal="left" indent="1"/>
    </xf>
    <xf numFmtId="41" fontId="8" fillId="0" borderId="0" xfId="0" applyNumberFormat="1" applyFont="1"/>
    <xf numFmtId="0" fontId="9" fillId="0" borderId="0" xfId="0" applyFont="1" applyAlignment="1" quotePrefix="1">
      <alignment horizontal="left" indent="1"/>
    </xf>
    <xf numFmtId="0" fontId="8" fillId="0" borderId="0" xfId="0" applyFont="1" applyAlignment="1" quotePrefix="1">
      <alignment horizontal="left" indent="1"/>
    </xf>
    <xf numFmtId="0" fontId="8" fillId="0" borderId="0" xfId="0" applyFont="1" applyAlignment="1">
      <alignment horizontal="right"/>
    </xf>
    <xf numFmtId="41" fontId="8" fillId="0" borderId="12" xfId="0" applyNumberFormat="1" applyFont="1" applyBorder="1"/>
    <xf numFmtId="0" fontId="10" fillId="0" borderId="0" xfId="0" applyFont="1" applyProtection="1">
      <protection locked="0"/>
    </xf>
    <xf numFmtId="0" fontId="11" fillId="0" borderId="0" xfId="0" applyFont="1"/>
    <xf numFmtId="0" fontId="0" fillId="0" borderId="13" xfId="0" applyBorder="1"/>
    <xf numFmtId="164" fontId="2" fillId="0" borderId="14" xfId="0" applyNumberFormat="1" applyFont="1" applyBorder="1"/>
    <xf numFmtId="164" fontId="2" fillId="0" borderId="14" xfId="0" applyNumberFormat="1" applyFont="1" applyBorder="1" applyAlignment="1">
      <alignment horizontal="centerContinuous"/>
    </xf>
    <xf numFmtId="164" fontId="2" fillId="0" borderId="14" xfId="0" applyNumberFormat="1" applyFont="1" applyBorder="1" applyAlignment="1">
      <alignment horizontal="center"/>
    </xf>
    <xf numFmtId="164" fontId="11" fillId="0" borderId="0" xfId="0" applyNumberFormat="1" applyFont="1"/>
    <xf numFmtId="0" fontId="2" fillId="0" borderId="0" xfId="0" applyFont="1" applyAlignment="1" quotePrefix="1">
      <alignment horizontal="centerContinuous"/>
    </xf>
    <xf numFmtId="41" fontId="3" fillId="0" borderId="0" xfId="16" applyNumberFormat="1" applyFont="1" applyFill="1" applyAlignment="1">
      <alignment/>
    </xf>
    <xf numFmtId="9" fontId="3" fillId="0" borderId="0" xfId="15" applyFont="1" applyFill="1"/>
    <xf numFmtId="42" fontId="3" fillId="0" borderId="0" xfId="18" applyNumberFormat="1" applyFont="1" applyFill="1" applyAlignment="1">
      <alignment/>
    </xf>
    <xf numFmtId="42" fontId="11" fillId="0" borderId="0" xfId="0" applyNumberFormat="1" applyFont="1"/>
    <xf numFmtId="41" fontId="3" fillId="0" borderId="0" xfId="18" applyNumberFormat="1" applyFont="1" applyFill="1" applyAlignment="1">
      <alignment/>
    </xf>
    <xf numFmtId="41" fontId="11" fillId="0" borderId="0" xfId="0" applyNumberFormat="1" applyFont="1"/>
    <xf numFmtId="166" fontId="3" fillId="0" borderId="0" xfId="0" applyNumberFormat="1" applyFont="1" applyAlignment="1" quotePrefix="1">
      <alignment horizontal="left"/>
    </xf>
    <xf numFmtId="0" fontId="8" fillId="0" borderId="0" xfId="0" applyFont="1"/>
    <xf numFmtId="42" fontId="8" fillId="0" borderId="12" xfId="0" applyNumberFormat="1" applyFont="1" applyBorder="1"/>
    <xf numFmtId="10" fontId="11" fillId="0" borderId="0" xfId="0" applyNumberFormat="1" applyFont="1"/>
    <xf numFmtId="10" fontId="3" fillId="0" borderId="0" xfId="15" applyNumberFormat="1" applyFont="1" applyFill="1"/>
    <xf numFmtId="10" fontId="3" fillId="0" borderId="0" xfId="0" applyNumberFormat="1" applyFont="1" applyAlignment="1">
      <alignment horizontal="centerContinuous"/>
    </xf>
    <xf numFmtId="44" fontId="3" fillId="0" borderId="0" xfId="16" applyFont="1" applyFill="1" applyBorder="1" applyAlignment="1">
      <alignment/>
    </xf>
    <xf numFmtId="42" fontId="3" fillId="0" borderId="0" xfId="16" applyNumberFormat="1" applyFont="1" applyFill="1" applyAlignment="1">
      <alignment/>
    </xf>
    <xf numFmtId="0" fontId="2" fillId="0" borderId="0" xfId="0" applyFont="1" applyAlignment="1" quotePrefix="1">
      <alignment wrapText="1"/>
    </xf>
    <xf numFmtId="0" fontId="3" fillId="0" borderId="0" xfId="0" applyFont="1" applyAlignment="1">
      <alignment wrapText="1"/>
    </xf>
    <xf numFmtId="0" fontId="2" fillId="0" borderId="0" xfId="0" applyFont="1" applyAlignment="1">
      <alignment wrapText="1"/>
    </xf>
    <xf numFmtId="43" fontId="2" fillId="0" borderId="11" xfId="18" applyFont="1" applyFill="1" applyBorder="1" applyAlignment="1">
      <alignment horizontal="center" wrapText="1"/>
    </xf>
    <xf numFmtId="43" fontId="2" fillId="0" borderId="0" xfId="18" applyFont="1" applyFill="1" applyBorder="1" applyAlignment="1">
      <alignment horizontal="center"/>
    </xf>
    <xf numFmtId="43" fontId="3" fillId="0" borderId="0" xfId="18" applyFont="1" applyBorder="1" applyAlignment="1">
      <alignment/>
    </xf>
    <xf numFmtId="39" fontId="4" fillId="0" borderId="0" xfId="20" applyNumberFormat="1" applyFont="1" quotePrefix="1">
      <alignment/>
      <protection/>
    </xf>
    <xf numFmtId="44" fontId="3" fillId="0" borderId="15" xfId="16" applyFont="1" applyFill="1" applyBorder="1" applyAlignment="1">
      <alignment/>
    </xf>
    <xf numFmtId="0" fontId="2" fillId="0" borderId="13" xfId="0" applyFont="1" applyBorder="1" applyAlignment="1" quotePrefix="1">
      <alignment wrapText="1"/>
    </xf>
    <xf numFmtId="43" fontId="3" fillId="0" borderId="0" xfId="18" applyFont="1" applyAlignment="1">
      <alignment/>
    </xf>
    <xf numFmtId="167" fontId="3" fillId="0" borderId="15" xfId="16" applyNumberFormat="1" applyFont="1" applyFill="1" applyBorder="1" applyAlignment="1">
      <alignment/>
    </xf>
    <xf numFmtId="0" fontId="6" fillId="0" borderId="0" xfId="0" applyFont="1"/>
    <xf numFmtId="0" fontId="6" fillId="0" borderId="0" xfId="0" applyFont="1" applyAlignment="1">
      <alignment horizontal="right"/>
    </xf>
    <xf numFmtId="0" fontId="6" fillId="0" borderId="0" xfId="0" applyFont="1" applyAlignment="1">
      <alignment horizontal="left" indent="2"/>
    </xf>
    <xf numFmtId="10" fontId="6" fillId="0" borderId="0" xfId="0" applyNumberFormat="1" applyFont="1" applyAlignment="1">
      <alignment horizontal="right"/>
    </xf>
    <xf numFmtId="0" fontId="6" fillId="0" borderId="0" xfId="0" applyFont="1" applyAlignment="1" quotePrefix="1">
      <alignment horizontal="right"/>
    </xf>
    <xf numFmtId="0" fontId="13" fillId="0" borderId="0" xfId="0" applyFont="1" applyProtection="1">
      <protection locked="0"/>
    </xf>
    <xf numFmtId="0" fontId="6" fillId="0" borderId="10" xfId="0" applyFont="1" applyBorder="1"/>
    <xf numFmtId="37" fontId="6" fillId="0" borderId="10" xfId="0" applyNumberFormat="1" applyFont="1" applyBorder="1"/>
    <xf numFmtId="10" fontId="6" fillId="0" borderId="10" xfId="0" applyNumberFormat="1" applyFont="1" applyBorder="1"/>
    <xf numFmtId="37" fontId="6" fillId="0" borderId="0" xfId="0" applyNumberFormat="1" applyFont="1" applyAlignment="1">
      <alignment horizontal="center"/>
    </xf>
    <xf numFmtId="41" fontId="6" fillId="0" borderId="0" xfId="0" applyNumberFormat="1" applyFont="1" applyAlignment="1" quotePrefix="1">
      <alignment horizontal="center"/>
    </xf>
    <xf numFmtId="37" fontId="6" fillId="0" borderId="0" xfId="0" applyNumberFormat="1" applyFont="1" applyAlignment="1" quotePrefix="1">
      <alignment horizontal="center"/>
    </xf>
    <xf numFmtId="164" fontId="6" fillId="0" borderId="0" xfId="0" applyNumberFormat="1" applyFont="1" applyAlignment="1" quotePrefix="1">
      <alignment horizontal="center"/>
    </xf>
    <xf numFmtId="0" fontId="6" fillId="0" borderId="0" xfId="0" applyFont="1" applyAlignment="1">
      <alignment horizontal="center"/>
    </xf>
    <xf numFmtId="41" fontId="14" fillId="0" borderId="0" xfId="18" applyNumberFormat="1" applyFont="1" applyFill="1" applyAlignment="1">
      <alignment/>
    </xf>
    <xf numFmtId="10" fontId="6" fillId="0" borderId="0" xfId="0" applyNumberFormat="1" applyFont="1" applyAlignment="1">
      <alignment horizontal="centerContinuous"/>
    </xf>
    <xf numFmtId="43" fontId="6" fillId="0" borderId="13" xfId="18" applyFont="1" applyBorder="1" applyAlignment="1">
      <alignment horizontal="centerContinuous"/>
    </xf>
    <xf numFmtId="43" fontId="6" fillId="0" borderId="13" xfId="18" applyFont="1" applyBorder="1" applyAlignment="1">
      <alignment horizontal="center"/>
    </xf>
    <xf numFmtId="41" fontId="6" fillId="0" borderId="13" xfId="18" applyNumberFormat="1" applyFont="1" applyFill="1" applyBorder="1" applyAlignment="1">
      <alignment/>
    </xf>
    <xf numFmtId="43" fontId="6" fillId="0" borderId="13" xfId="18" applyFont="1" applyBorder="1" applyAlignment="1" quotePrefix="1">
      <alignment horizontal="center"/>
    </xf>
    <xf numFmtId="10" fontId="6" fillId="0" borderId="13" xfId="18" applyNumberFormat="1" applyFont="1" applyBorder="1" applyAlignment="1">
      <alignment horizontal="centerContinuous"/>
    </xf>
    <xf numFmtId="0" fontId="4" fillId="0" borderId="0" xfId="0" applyFont="1" applyAlignment="1">
      <alignment horizontal="center"/>
    </xf>
    <xf numFmtId="0" fontId="4" fillId="0" borderId="0" xfId="0" applyFont="1" applyAlignment="1">
      <alignment horizontal="centerContinuous"/>
    </xf>
    <xf numFmtId="41" fontId="4" fillId="0" borderId="0" xfId="18" applyNumberFormat="1" applyFont="1" applyAlignment="1">
      <alignment/>
    </xf>
    <xf numFmtId="41" fontId="4" fillId="0" borderId="0" xfId="18" applyNumberFormat="1" applyFont="1" applyFill="1" applyAlignment="1">
      <alignment/>
    </xf>
    <xf numFmtId="9" fontId="4" fillId="0" borderId="0" xfId="15" applyFont="1"/>
    <xf numFmtId="0" fontId="12" fillId="0" borderId="0" xfId="0" applyFont="1" applyAlignment="1">
      <alignment horizontal="centerContinuous"/>
    </xf>
    <xf numFmtId="41" fontId="4" fillId="0" borderId="0" xfId="18" applyNumberFormat="1" applyFont="1" applyBorder="1" applyAlignment="1">
      <alignment/>
    </xf>
    <xf numFmtId="0" fontId="4" fillId="0" borderId="0" xfId="0" applyFont="1" quotePrefix="1"/>
    <xf numFmtId="0" fontId="15" fillId="0" borderId="0" xfId="0" applyFont="1"/>
    <xf numFmtId="43" fontId="4" fillId="0" borderId="0" xfId="18" applyFont="1" applyAlignment="1">
      <alignment horizontal="centerContinuous"/>
    </xf>
    <xf numFmtId="43" fontId="4" fillId="0" borderId="0" xfId="18" applyFont="1" applyAlignment="1">
      <alignment/>
    </xf>
    <xf numFmtId="10" fontId="4" fillId="0" borderId="0" xfId="15" applyNumberFormat="1" applyFont="1" applyFill="1"/>
    <xf numFmtId="41" fontId="4" fillId="0" borderId="0" xfId="18" applyNumberFormat="1" applyFont="1" applyFill="1" applyBorder="1" applyAlignment="1">
      <alignment/>
    </xf>
    <xf numFmtId="0" fontId="16" fillId="0" borderId="0" xfId="0" applyFont="1" applyAlignment="1">
      <alignment horizontal="left"/>
    </xf>
    <xf numFmtId="165" fontId="4" fillId="0" borderId="0" xfId="0" applyNumberFormat="1" applyFont="1"/>
    <xf numFmtId="9" fontId="4" fillId="0" borderId="0" xfId="15" applyFont="1" applyProtection="1">
      <protection/>
    </xf>
    <xf numFmtId="0" fontId="4" fillId="0" borderId="0" xfId="0" applyFont="1" applyAlignment="1" quotePrefix="1">
      <alignment horizontal="left"/>
    </xf>
    <xf numFmtId="10" fontId="17" fillId="0" borderId="0" xfId="15" applyNumberFormat="1" applyFont="1" applyFill="1"/>
    <xf numFmtId="41" fontId="17" fillId="0" borderId="0" xfId="18" applyNumberFormat="1" applyFont="1" applyFill="1" applyBorder="1" applyAlignment="1">
      <alignment/>
    </xf>
    <xf numFmtId="39" fontId="4" fillId="0" borderId="0" xfId="21" applyNumberFormat="1" applyFont="1">
      <alignment/>
      <protection/>
    </xf>
    <xf numFmtId="41" fontId="18" fillId="0" borderId="0" xfId="0" applyNumberFormat="1" applyFont="1" applyAlignment="1">
      <alignment horizontal="centerContinuous"/>
    </xf>
    <xf numFmtId="41" fontId="4" fillId="0" borderId="16" xfId="16" applyNumberFormat="1" applyFont="1" applyBorder="1" applyAlignment="1">
      <alignment/>
    </xf>
    <xf numFmtId="41" fontId="4" fillId="0" borderId="16" xfId="16" applyNumberFormat="1" applyFont="1" applyFill="1" applyBorder="1" applyAlignment="1">
      <alignment/>
    </xf>
    <xf numFmtId="9" fontId="4" fillId="0" borderId="0" xfId="15" applyFont="1" applyBorder="1" applyAlignment="1">
      <alignment horizontal="center"/>
    </xf>
    <xf numFmtId="41" fontId="4" fillId="0" borderId="0" xfId="0" applyNumberFormat="1" applyFont="1" applyAlignment="1">
      <alignment horizontal="centerContinuous"/>
    </xf>
    <xf numFmtId="41" fontId="19" fillId="0" borderId="0" xfId="0" applyNumberFormat="1" applyFont="1"/>
    <xf numFmtId="41" fontId="4" fillId="33" borderId="0" xfId="0" applyNumberFormat="1" applyFont="1" applyFill="1"/>
    <xf numFmtId="9" fontId="4" fillId="0" borderId="0" xfId="15" applyFont="1" applyBorder="1"/>
    <xf numFmtId="41" fontId="19" fillId="33" borderId="0" xfId="0" applyNumberFormat="1" applyFont="1" applyFill="1"/>
    <xf numFmtId="0" fontId="20" fillId="0" borderId="0" xfId="0" applyFont="1" applyProtection="1">
      <protection locked="0"/>
    </xf>
    <xf numFmtId="0" fontId="21" fillId="0" borderId="0" xfId="0" applyFont="1"/>
    <xf numFmtId="0" fontId="21" fillId="0" borderId="0" xfId="0" applyFont="1" applyAlignment="1">
      <alignment horizontal="right"/>
    </xf>
    <xf numFmtId="0" fontId="22" fillId="0" borderId="0" xfId="0" applyFont="1" applyProtection="1">
      <protection locked="0"/>
    </xf>
    <xf numFmtId="0" fontId="21" fillId="0" borderId="0" xfId="0" applyFont="1" applyAlignment="1" quotePrefix="1">
      <alignment horizontal="right"/>
    </xf>
    <xf numFmtId="0" fontId="21" fillId="0" borderId="0" xfId="0" applyFont="1" applyAlignment="1" quotePrefix="1">
      <alignment horizontal="left"/>
    </xf>
    <xf numFmtId="0" fontId="15" fillId="0" borderId="0" xfId="0" applyFont="1" applyAlignment="1">
      <alignment wrapText="1"/>
    </xf>
    <xf numFmtId="0" fontId="21" fillId="0" borderId="10" xfId="0" applyFont="1" applyBorder="1"/>
    <xf numFmtId="0" fontId="21" fillId="0" borderId="0" xfId="0" applyFont="1" applyAlignment="1">
      <alignment horizontal="centerContinuous"/>
    </xf>
    <xf numFmtId="37" fontId="21" fillId="0" borderId="0" xfId="0" applyNumberFormat="1" applyFont="1" applyAlignment="1">
      <alignment horizontal="center"/>
    </xf>
    <xf numFmtId="41" fontId="21" fillId="0" borderId="0" xfId="0" applyNumberFormat="1" applyFont="1" applyAlignment="1" quotePrefix="1">
      <alignment horizontal="center"/>
    </xf>
    <xf numFmtId="0" fontId="21" fillId="0" borderId="0" xfId="0" applyFont="1" applyAlignment="1" quotePrefix="1">
      <alignment horizontal="center"/>
    </xf>
    <xf numFmtId="0" fontId="21" fillId="0" borderId="0" xfId="0" applyFont="1" applyAlignment="1">
      <alignment horizontal="center"/>
    </xf>
    <xf numFmtId="41" fontId="23" fillId="0" borderId="0" xfId="18" applyNumberFormat="1" applyFont="1" applyFill="1" applyAlignment="1">
      <alignment/>
    </xf>
    <xf numFmtId="10" fontId="21" fillId="0" borderId="0" xfId="0" applyNumberFormat="1" applyFont="1" applyAlignment="1">
      <alignment horizontal="centerContinuous"/>
    </xf>
    <xf numFmtId="43" fontId="23" fillId="0" borderId="0" xfId="18" applyFont="1" applyAlignment="1">
      <alignment horizontal="centerContinuous"/>
    </xf>
    <xf numFmtId="43" fontId="23" fillId="0" borderId="0" xfId="18" applyFont="1" applyAlignment="1">
      <alignment horizontal="center"/>
    </xf>
    <xf numFmtId="43" fontId="23" fillId="0" borderId="0" xfId="18" applyFont="1" applyAlignment="1" quotePrefix="1">
      <alignment horizontal="center"/>
    </xf>
    <xf numFmtId="10" fontId="23" fillId="0" borderId="0" xfId="18" applyNumberFormat="1" applyFont="1" applyAlignment="1">
      <alignment horizontal="centerContinuous"/>
    </xf>
    <xf numFmtId="0" fontId="15" fillId="0" borderId="0" xfId="0" applyFont="1" applyAlignment="1">
      <alignment horizontal="centerContinuous"/>
    </xf>
    <xf numFmtId="41" fontId="15" fillId="0" borderId="0" xfId="18" applyNumberFormat="1" applyFont="1" applyAlignment="1">
      <alignment/>
    </xf>
    <xf numFmtId="41" fontId="15" fillId="0" borderId="0" xfId="18" applyNumberFormat="1" applyFont="1" applyFill="1" applyAlignment="1">
      <alignment/>
    </xf>
    <xf numFmtId="9" fontId="15" fillId="0" borderId="0" xfId="15" applyFont="1"/>
    <xf numFmtId="41" fontId="15" fillId="0" borderId="0" xfId="18" applyNumberFormat="1" applyFont="1" applyAlignment="1">
      <alignment horizontal="right"/>
    </xf>
    <xf numFmtId="41" fontId="15" fillId="0" borderId="0" xfId="18" applyNumberFormat="1" applyFont="1" applyBorder="1" applyAlignment="1">
      <alignment/>
    </xf>
    <xf numFmtId="0" fontId="15" fillId="0" borderId="0" xfId="0" applyFont="1" quotePrefix="1"/>
    <xf numFmtId="9" fontId="15" fillId="0" borderId="0" xfId="15" applyFont="1" applyFill="1"/>
    <xf numFmtId="41" fontId="15" fillId="0" borderId="0" xfId="18" applyNumberFormat="1" applyFont="1" applyFill="1" applyBorder="1" applyAlignment="1">
      <alignment/>
    </xf>
    <xf numFmtId="10" fontId="15" fillId="0" borderId="0" xfId="15" applyNumberFormat="1" applyFont="1" applyFill="1"/>
    <xf numFmtId="165" fontId="15" fillId="0" borderId="0" xfId="0" applyNumberFormat="1" applyFont="1"/>
    <xf numFmtId="0" fontId="15" fillId="0" borderId="0" xfId="0" applyFont="1" applyAlignment="1" quotePrefix="1">
      <alignment horizontal="left"/>
    </xf>
    <xf numFmtId="39" fontId="15" fillId="0" borderId="0" xfId="21" applyNumberFormat="1" applyFont="1">
      <alignment/>
      <protection/>
    </xf>
    <xf numFmtId="9" fontId="15" fillId="0" borderId="0" xfId="15" applyFont="1" applyBorder="1" applyAlignment="1">
      <alignment/>
    </xf>
    <xf numFmtId="41" fontId="15" fillId="0" borderId="16" xfId="16" applyNumberFormat="1" applyFont="1" applyBorder="1" applyAlignment="1">
      <alignment/>
    </xf>
    <xf numFmtId="41" fontId="15" fillId="0" borderId="16" xfId="16" applyNumberFormat="1" applyFont="1" applyFill="1" applyBorder="1" applyAlignment="1">
      <alignment/>
    </xf>
    <xf numFmtId="9" fontId="15" fillId="0" borderId="0" xfId="15" applyFont="1" applyBorder="1" applyAlignment="1">
      <alignment horizontal="center"/>
    </xf>
    <xf numFmtId="41" fontId="24" fillId="0" borderId="0" xfId="0" applyNumberFormat="1" applyFont="1"/>
    <xf numFmtId="41" fontId="25" fillId="0" borderId="0" xfId="16" applyNumberFormat="1" applyFont="1" applyAlignment="1">
      <alignment/>
    </xf>
    <xf numFmtId="41" fontId="25" fillId="0" borderId="0" xfId="16" applyNumberFormat="1" applyFont="1" applyFill="1" applyAlignment="1">
      <alignment/>
    </xf>
    <xf numFmtId="41" fontId="25" fillId="33" borderId="0" xfId="16" applyNumberFormat="1" applyFont="1" applyFill="1" applyAlignment="1">
      <alignment/>
    </xf>
    <xf numFmtId="41" fontId="15" fillId="0" borderId="0" xfId="0" applyNumberFormat="1" applyFont="1"/>
    <xf numFmtId="41" fontId="15" fillId="0" borderId="0" xfId="0" applyNumberFormat="1" applyFont="1" applyAlignment="1">
      <alignment horizontal="centerContinuous"/>
    </xf>
    <xf numFmtId="9" fontId="15" fillId="0" borderId="0" xfId="15" applyFont="1" applyAlignment="1">
      <alignment horizontal="centerContinuous"/>
    </xf>
    <xf numFmtId="41" fontId="21" fillId="0" borderId="0" xfId="0" applyNumberFormat="1" applyFont="1" applyAlignment="1">
      <alignment horizontal="centerContinuous"/>
    </xf>
    <xf numFmtId="9" fontId="21" fillId="0" borderId="0" xfId="15" applyFont="1" applyAlignment="1">
      <alignment horizontal="centerContinuous"/>
    </xf>
    <xf numFmtId="0" fontId="26" fillId="0" borderId="0" xfId="0" applyFont="1" applyProtection="1">
      <protection locked="0"/>
    </xf>
    <xf numFmtId="10" fontId="15" fillId="0" borderId="0" xfId="0" applyNumberFormat="1" applyFont="1"/>
    <xf numFmtId="41" fontId="4" fillId="0" borderId="0" xfId="16" applyNumberFormat="1" applyFont="1" applyBorder="1" applyAlignment="1">
      <alignment/>
    </xf>
    <xf numFmtId="0" fontId="6" fillId="33" borderId="0" xfId="0" applyFont="1" applyFill="1" applyAlignment="1">
      <alignment horizontal="center"/>
    </xf>
    <xf numFmtId="43" fontId="6" fillId="33" borderId="13" xfId="18" applyFont="1" applyFill="1" applyBorder="1" applyAlignment="1" quotePrefix="1">
      <alignment horizontal="center"/>
    </xf>
    <xf numFmtId="0" fontId="6" fillId="34" borderId="0" xfId="0" applyFont="1" applyFill="1"/>
    <xf numFmtId="10" fontId="30" fillId="0" borderId="17" xfId="22" applyNumberFormat="1" applyFont="1" applyBorder="1">
      <alignment/>
      <protection/>
    </xf>
    <xf numFmtId="168" fontId="30" fillId="0" borderId="17" xfId="22" applyNumberFormat="1" applyFont="1" applyBorder="1">
      <alignment/>
      <protection/>
    </xf>
    <xf numFmtId="10" fontId="30" fillId="35" borderId="17" xfId="22" applyNumberFormat="1" applyFont="1" applyFill="1" applyBorder="1" applyProtection="1">
      <alignment/>
      <protection locked="0"/>
    </xf>
    <xf numFmtId="0" fontId="30" fillId="0" borderId="18" xfId="22" applyFont="1" applyBorder="1">
      <alignment/>
      <protection/>
    </xf>
    <xf numFmtId="0" fontId="28" fillId="0" borderId="19" xfId="22" applyFont="1" applyBorder="1" applyAlignment="1">
      <alignment horizontal="center"/>
      <protection/>
    </xf>
    <xf numFmtId="0" fontId="29" fillId="0" borderId="14" xfId="22" applyFont="1" applyBorder="1" applyAlignment="1">
      <alignment horizontal="center"/>
      <protection/>
    </xf>
    <xf numFmtId="0" fontId="30" fillId="0" borderId="14" xfId="22" applyFont="1" applyBorder="1">
      <alignment/>
      <protection/>
    </xf>
    <xf numFmtId="0" fontId="30" fillId="0" borderId="20" xfId="22" applyFont="1" applyBorder="1">
      <alignment/>
      <protection/>
    </xf>
    <xf numFmtId="0" fontId="30" fillId="0" borderId="21" xfId="22" applyFont="1" applyBorder="1">
      <alignment/>
      <protection/>
    </xf>
    <xf numFmtId="0" fontId="29" fillId="0" borderId="0" xfId="22" applyFont="1" applyBorder="1" applyAlignment="1">
      <alignment horizontal="center"/>
      <protection/>
    </xf>
    <xf numFmtId="0" fontId="30" fillId="0" borderId="0" xfId="22" applyFont="1" applyBorder="1">
      <alignment/>
      <protection/>
    </xf>
    <xf numFmtId="0" fontId="30" fillId="0" borderId="22" xfId="22" applyFont="1" applyBorder="1">
      <alignment/>
      <protection/>
    </xf>
    <xf numFmtId="0" fontId="28" fillId="0" borderId="21" xfId="22" applyFont="1" applyBorder="1" applyAlignment="1">
      <alignment horizontal="center"/>
      <protection/>
    </xf>
    <xf numFmtId="0" fontId="29" fillId="0" borderId="22" xfId="22" applyFont="1" applyBorder="1" applyAlignment="1">
      <alignment horizontal="center"/>
      <protection/>
    </xf>
    <xf numFmtId="0" fontId="28" fillId="0" borderId="0" xfId="22" applyFont="1" applyBorder="1" applyAlignment="1">
      <alignment horizontal="center"/>
      <protection/>
    </xf>
    <xf numFmtId="0" fontId="28" fillId="0" borderId="0" xfId="22" applyFont="1" applyBorder="1">
      <alignment/>
      <protection/>
    </xf>
    <xf numFmtId="0" fontId="28" fillId="0" borderId="22" xfId="22" applyFont="1" applyBorder="1" applyAlignment="1">
      <alignment horizontal="center"/>
      <protection/>
    </xf>
    <xf numFmtId="3" fontId="30" fillId="35" borderId="0" xfId="22" applyNumberFormat="1" applyFont="1" applyFill="1" applyBorder="1" applyProtection="1">
      <alignment/>
      <protection locked="0"/>
    </xf>
    <xf numFmtId="168" fontId="30" fillId="0" borderId="0" xfId="22" applyNumberFormat="1" applyFont="1" applyBorder="1" applyProtection="1">
      <alignment/>
      <protection locked="0"/>
    </xf>
    <xf numFmtId="168" fontId="30" fillId="0" borderId="0" xfId="22" applyNumberFormat="1" applyFont="1" applyBorder="1">
      <alignment/>
      <protection/>
    </xf>
    <xf numFmtId="10" fontId="30" fillId="0" borderId="0" xfId="22" applyNumberFormat="1" applyFont="1" applyBorder="1">
      <alignment/>
      <protection/>
    </xf>
    <xf numFmtId="10" fontId="30" fillId="0" borderId="0" xfId="22" applyNumberFormat="1" applyFont="1" applyBorder="1" applyProtection="1">
      <alignment/>
      <protection locked="0"/>
    </xf>
    <xf numFmtId="168" fontId="30" fillId="0" borderId="22" xfId="22" applyNumberFormat="1" applyFont="1" applyBorder="1">
      <alignment/>
      <protection/>
    </xf>
    <xf numFmtId="3" fontId="30" fillId="0" borderId="0" xfId="22" applyNumberFormat="1" applyFont="1" applyBorder="1" applyProtection="1">
      <alignment/>
      <protection locked="0"/>
    </xf>
    <xf numFmtId="3" fontId="30" fillId="0" borderId="0" xfId="22" applyNumberFormat="1" applyFont="1" applyBorder="1">
      <alignment/>
      <protection/>
    </xf>
    <xf numFmtId="168" fontId="31" fillId="0" borderId="0" xfId="22" applyNumberFormat="1" applyFont="1" applyBorder="1">
      <alignment/>
      <protection/>
    </xf>
    <xf numFmtId="10" fontId="30" fillId="35" borderId="0" xfId="22" applyNumberFormat="1" applyFont="1" applyFill="1" applyBorder="1" applyProtection="1">
      <alignment/>
      <protection locked="0"/>
    </xf>
    <xf numFmtId="0" fontId="27" fillId="0" borderId="21" xfId="23" applyBorder="1">
      <alignment/>
      <protection/>
    </xf>
    <xf numFmtId="168" fontId="30" fillId="0" borderId="23" xfId="22" applyNumberFormat="1" applyFont="1" applyBorder="1">
      <alignment/>
      <protection/>
    </xf>
    <xf numFmtId="0" fontId="31" fillId="0" borderId="24" xfId="22" applyFont="1" applyBorder="1">
      <alignment/>
      <protection/>
    </xf>
    <xf numFmtId="168" fontId="31" fillId="33" borderId="13" xfId="22" applyNumberFormat="1" applyFont="1" applyFill="1" applyBorder="1">
      <alignment/>
      <protection/>
    </xf>
    <xf numFmtId="168" fontId="31" fillId="0" borderId="13" xfId="22" applyNumberFormat="1" applyFont="1" applyBorder="1">
      <alignment/>
      <protection/>
    </xf>
    <xf numFmtId="0" fontId="31" fillId="0" borderId="13" xfId="22" applyFont="1" applyBorder="1">
      <alignment/>
      <protection/>
    </xf>
    <xf numFmtId="0" fontId="30" fillId="0" borderId="13" xfId="22" applyFont="1" applyBorder="1">
      <alignment/>
      <protection/>
    </xf>
    <xf numFmtId="168" fontId="31" fillId="0" borderId="25" xfId="22" applyNumberFormat="1" applyFont="1" applyBorder="1">
      <alignment/>
      <protection/>
    </xf>
    <xf numFmtId="0" fontId="32" fillId="34" borderId="0" xfId="0" applyFont="1" applyFill="1"/>
    <xf numFmtId="41" fontId="33" fillId="0" borderId="0" xfId="0" applyNumberFormat="1" applyFont="1"/>
    <xf numFmtId="0" fontId="34" fillId="0" borderId="26" xfId="23" applyFont="1" applyBorder="1" applyAlignment="1">
      <alignment horizontal="center"/>
      <protection/>
    </xf>
    <xf numFmtId="0" fontId="35" fillId="0" borderId="0" xfId="23" applyFont="1" applyAlignment="1">
      <alignment horizontal="center"/>
      <protection/>
    </xf>
    <xf numFmtId="0" fontId="36" fillId="0" borderId="0" xfId="23" applyFont="1">
      <alignment/>
      <protection/>
    </xf>
    <xf numFmtId="0" fontId="36" fillId="0" borderId="26" xfId="23" applyFont="1" applyBorder="1">
      <alignment/>
      <protection/>
    </xf>
    <xf numFmtId="0" fontId="35" fillId="0" borderId="0" xfId="22" applyFont="1" applyAlignment="1">
      <alignment horizontal="center"/>
      <protection/>
    </xf>
    <xf numFmtId="0" fontId="34" fillId="0" borderId="0" xfId="23" applyFont="1" applyAlignment="1">
      <alignment horizontal="center"/>
      <protection/>
    </xf>
    <xf numFmtId="0" fontId="34" fillId="0" borderId="0" xfId="23" applyFont="1">
      <alignment/>
      <protection/>
    </xf>
    <xf numFmtId="0" fontId="34" fillId="0" borderId="0" xfId="22" applyFont="1" applyAlignment="1">
      <alignment horizontal="center"/>
      <protection/>
    </xf>
    <xf numFmtId="3" fontId="36" fillId="35" borderId="0" xfId="23" applyNumberFormat="1" applyFont="1" applyFill="1" applyProtection="1">
      <alignment/>
      <protection locked="0"/>
    </xf>
    <xf numFmtId="168" fontId="36" fillId="0" borderId="0" xfId="23" applyNumberFormat="1" applyFont="1" applyProtection="1">
      <alignment/>
      <protection locked="0"/>
    </xf>
    <xf numFmtId="168" fontId="36" fillId="0" borderId="0" xfId="23" applyNumberFormat="1" applyFont="1">
      <alignment/>
      <protection/>
    </xf>
    <xf numFmtId="10" fontId="36" fillId="0" borderId="0" xfId="23" applyNumberFormat="1" applyFont="1">
      <alignment/>
      <protection/>
    </xf>
    <xf numFmtId="10" fontId="36" fillId="0" borderId="0" xfId="23" applyNumberFormat="1" applyFont="1" applyProtection="1">
      <alignment/>
      <protection locked="0"/>
    </xf>
    <xf numFmtId="3" fontId="36" fillId="0" borderId="0" xfId="23" applyNumberFormat="1" applyFont="1" applyProtection="1">
      <alignment/>
      <protection locked="0"/>
    </xf>
    <xf numFmtId="3" fontId="36" fillId="0" borderId="0" xfId="23" applyNumberFormat="1" applyFont="1">
      <alignment/>
      <protection/>
    </xf>
    <xf numFmtId="168" fontId="37" fillId="0" borderId="0" xfId="23" applyNumberFormat="1" applyFont="1">
      <alignment/>
      <protection/>
    </xf>
    <xf numFmtId="10" fontId="36" fillId="35" borderId="0" xfId="23" applyNumberFormat="1" applyFont="1" applyFill="1" applyProtection="1">
      <alignment/>
      <protection locked="0"/>
    </xf>
    <xf numFmtId="0" fontId="36" fillId="36" borderId="26" xfId="23" applyFont="1" applyFill="1" applyBorder="1">
      <alignment/>
      <protection/>
    </xf>
    <xf numFmtId="3" fontId="36" fillId="36" borderId="0" xfId="23" applyNumberFormat="1" applyFont="1" applyFill="1" applyProtection="1">
      <alignment/>
      <protection locked="0"/>
    </xf>
    <xf numFmtId="3" fontId="36" fillId="36" borderId="0" xfId="23" applyNumberFormat="1" applyFont="1" applyFill="1">
      <alignment/>
      <protection/>
    </xf>
    <xf numFmtId="10" fontId="36" fillId="36" borderId="0" xfId="23" applyNumberFormat="1" applyFont="1" applyFill="1">
      <alignment/>
      <protection/>
    </xf>
    <xf numFmtId="10" fontId="36" fillId="36" borderId="0" xfId="23" applyNumberFormat="1" applyFont="1" applyFill="1" applyProtection="1">
      <alignment/>
      <protection locked="0"/>
    </xf>
    <xf numFmtId="3" fontId="36" fillId="0" borderId="17" xfId="23" applyNumberFormat="1" applyFont="1" applyBorder="1">
      <alignment/>
      <protection/>
    </xf>
    <xf numFmtId="0" fontId="36" fillId="0" borderId="18" xfId="23" applyFont="1" applyBorder="1">
      <alignment/>
      <protection/>
    </xf>
    <xf numFmtId="0" fontId="37" fillId="0" borderId="26" xfId="23" applyFont="1" applyBorder="1">
      <alignment/>
      <protection/>
    </xf>
    <xf numFmtId="0" fontId="37" fillId="0" borderId="0" xfId="23" applyFont="1">
      <alignment/>
      <protection/>
    </xf>
    <xf numFmtId="167" fontId="3" fillId="0" borderId="0" xfId="16" applyNumberFormat="1" applyFont="1" applyFill="1" applyAlignment="1">
      <alignment/>
    </xf>
    <xf numFmtId="167" fontId="3" fillId="0" borderId="0" xfId="18" applyNumberFormat="1" applyFont="1" applyFill="1" applyAlignment="1">
      <alignment/>
    </xf>
    <xf numFmtId="165" fontId="3" fillId="0" borderId="0" xfId="18" applyNumberFormat="1" applyFont="1"/>
    <xf numFmtId="41" fontId="4" fillId="34" borderId="0" xfId="0" applyNumberFormat="1" applyFont="1" applyFill="1"/>
    <xf numFmtId="0" fontId="4" fillId="34" borderId="0" xfId="0" applyFont="1" applyFill="1"/>
    <xf numFmtId="0" fontId="38" fillId="0" borderId="26" xfId="0" applyFont="1" applyBorder="1" applyAlignment="1">
      <alignment horizontal="center"/>
    </xf>
    <xf numFmtId="0" fontId="39" fillId="0" borderId="0" xfId="0" applyFont="1" applyAlignment="1">
      <alignment horizontal="center"/>
    </xf>
    <xf numFmtId="0" fontId="40" fillId="0" borderId="0" xfId="0" applyFont="1"/>
    <xf numFmtId="0" fontId="40" fillId="0" borderId="26" xfId="0" applyFont="1" applyBorder="1"/>
    <xf numFmtId="0" fontId="38" fillId="0" borderId="0" xfId="0" applyFont="1" applyAlignment="1">
      <alignment horizontal="center"/>
    </xf>
    <xf numFmtId="0" fontId="38" fillId="0" borderId="0" xfId="0" applyFont="1"/>
    <xf numFmtId="3" fontId="40" fillId="35" borderId="0" xfId="0" applyNumberFormat="1" applyFont="1" applyFill="1" applyProtection="1">
      <protection locked="0"/>
    </xf>
    <xf numFmtId="168" fontId="40" fillId="0" borderId="0" xfId="0" applyNumberFormat="1" applyFont="1" applyProtection="1">
      <protection locked="0"/>
    </xf>
    <xf numFmtId="168" fontId="40" fillId="0" borderId="0" xfId="0" applyNumberFormat="1" applyFont="1"/>
    <xf numFmtId="10" fontId="40" fillId="0" borderId="0" xfId="0" applyNumberFormat="1" applyFont="1"/>
    <xf numFmtId="10" fontId="40" fillId="0" borderId="0" xfId="0" applyNumberFormat="1" applyFont="1" applyProtection="1">
      <protection locked="0"/>
    </xf>
    <xf numFmtId="3" fontId="40" fillId="0" borderId="0" xfId="0" applyNumberFormat="1" applyFont="1" applyProtection="1">
      <protection locked="0"/>
    </xf>
    <xf numFmtId="3" fontId="40" fillId="0" borderId="0" xfId="0" applyNumberFormat="1" applyFont="1"/>
    <xf numFmtId="10" fontId="40" fillId="35" borderId="0" xfId="0" applyNumberFormat="1" applyFont="1" applyFill="1" applyProtection="1">
      <protection locked="0"/>
    </xf>
    <xf numFmtId="3" fontId="40" fillId="0" borderId="17" xfId="0" applyNumberFormat="1" applyFont="1" applyBorder="1"/>
    <xf numFmtId="10" fontId="40" fillId="0" borderId="17" xfId="0" applyNumberFormat="1" applyFont="1" applyBorder="1"/>
    <xf numFmtId="168" fontId="40" fillId="0" borderId="17" xfId="0" applyNumberFormat="1" applyFont="1" applyBorder="1"/>
    <xf numFmtId="10" fontId="40" fillId="35" borderId="17" xfId="0" applyNumberFormat="1" applyFont="1" applyFill="1" applyBorder="1" applyProtection="1">
      <protection locked="0"/>
    </xf>
    <xf numFmtId="3" fontId="40" fillId="35" borderId="17" xfId="0" applyNumberFormat="1" applyFont="1" applyFill="1" applyBorder="1" applyProtection="1">
      <protection locked="0"/>
    </xf>
    <xf numFmtId="3" fontId="40" fillId="0" borderId="17" xfId="0" applyNumberFormat="1" applyFont="1" applyBorder="1" applyProtection="1">
      <protection locked="0"/>
    </xf>
    <xf numFmtId="0" fontId="11" fillId="0" borderId="17" xfId="0" applyFont="1" applyBorder="1"/>
    <xf numFmtId="0" fontId="40" fillId="0" borderId="18" xfId="0" applyFont="1" applyBorder="1"/>
    <xf numFmtId="168" fontId="40" fillId="0" borderId="27" xfId="0" applyNumberFormat="1" applyFont="1" applyBorder="1"/>
    <xf numFmtId="10" fontId="40" fillId="0" borderId="27" xfId="0" applyNumberFormat="1" applyFont="1" applyBorder="1"/>
    <xf numFmtId="0" fontId="40" fillId="0" borderId="27" xfId="0" applyFont="1" applyBorder="1"/>
    <xf numFmtId="14" fontId="0" fillId="0" borderId="0" xfId="0" applyNumberFormat="1"/>
    <xf numFmtId="21" fontId="0" fillId="0" borderId="0" xfId="0" applyNumberFormat="1"/>
    <xf numFmtId="0" fontId="0" fillId="22" borderId="0" xfId="0" applyFill="1"/>
    <xf numFmtId="43" fontId="0" fillId="0" borderId="0" xfId="18" applyFont="1"/>
    <xf numFmtId="43" fontId="0" fillId="0" borderId="0" xfId="0" applyNumberFormat="1"/>
    <xf numFmtId="43" fontId="0" fillId="33" borderId="0" xfId="18" applyFont="1" applyFill="1"/>
    <xf numFmtId="0" fontId="12" fillId="0" borderId="0" xfId="24" applyAlignment="1">
      <alignment horizontal="center"/>
      <protection/>
    </xf>
    <xf numFmtId="49" fontId="0" fillId="0" borderId="0" xfId="0" applyNumberFormat="1"/>
    <xf numFmtId="0" fontId="42" fillId="0" borderId="0" xfId="0" applyFont="1"/>
    <xf numFmtId="165" fontId="41" fillId="0" borderId="0" xfId="18" applyNumberFormat="1" applyFont="1"/>
    <xf numFmtId="165" fontId="41" fillId="33" borderId="0" xfId="18" applyNumberFormat="1" applyFont="1" applyFill="1"/>
    <xf numFmtId="165" fontId="0" fillId="0" borderId="0" xfId="18" applyNumberFormat="1" applyFont="1"/>
    <xf numFmtId="169" fontId="21" fillId="0" borderId="0" xfId="0" applyNumberFormat="1" applyFont="1" applyAlignment="1">
      <alignment horizontal="right"/>
    </xf>
    <xf numFmtId="169" fontId="21" fillId="0" borderId="0" xfId="0" applyNumberFormat="1" applyFont="1"/>
    <xf numFmtId="169" fontId="21" fillId="0" borderId="0" xfId="0" applyNumberFormat="1" applyFont="1" applyAlignment="1" quotePrefix="1">
      <alignment horizontal="right"/>
    </xf>
    <xf numFmtId="169" fontId="21" fillId="0" borderId="0" xfId="0" applyNumberFormat="1" applyFont="1" applyAlignment="1" quotePrefix="1">
      <alignment horizontal="left"/>
    </xf>
    <xf numFmtId="0" fontId="21" fillId="0" borderId="10" xfId="0" applyFont="1" applyBorder="1" applyAlignment="1">
      <alignment horizontal="centerContinuous"/>
    </xf>
    <xf numFmtId="164" fontId="21" fillId="0" borderId="0" xfId="0" applyNumberFormat="1" applyFont="1" applyAlignment="1">
      <alignment horizontal="center"/>
    </xf>
    <xf numFmtId="164" fontId="21" fillId="0" borderId="0" xfId="0" applyNumberFormat="1" applyFont="1" applyAlignment="1" quotePrefix="1">
      <alignment horizontal="center"/>
    </xf>
    <xf numFmtId="0" fontId="45" fillId="0" borderId="0" xfId="0" applyFont="1" applyAlignment="1" applyProtection="1">
      <alignment horizontal="center"/>
      <protection locked="0"/>
    </xf>
    <xf numFmtId="170" fontId="21" fillId="0" borderId="0" xfId="18" applyNumberFormat="1" applyFont="1" applyAlignment="1">
      <alignment/>
    </xf>
    <xf numFmtId="170" fontId="21" fillId="0" borderId="0" xfId="18" applyNumberFormat="1" applyFont="1" applyFill="1" applyAlignment="1">
      <alignment horizontal="center"/>
    </xf>
    <xf numFmtId="170" fontId="23" fillId="0" borderId="0" xfId="18" applyNumberFormat="1" applyFont="1" applyAlignment="1">
      <alignment horizontal="center"/>
    </xf>
    <xf numFmtId="170" fontId="46" fillId="0" borderId="0" xfId="18" applyNumberFormat="1" applyFont="1" applyAlignment="1">
      <alignment horizontal="center"/>
    </xf>
    <xf numFmtId="170" fontId="23" fillId="0" borderId="0" xfId="18" applyNumberFormat="1" applyFont="1" applyFill="1" applyAlignment="1">
      <alignment horizontal="center"/>
    </xf>
    <xf numFmtId="0" fontId="15" fillId="0" borderId="0" xfId="0" applyFont="1" applyAlignment="1">
      <alignment horizontal="center"/>
    </xf>
    <xf numFmtId="9" fontId="15" fillId="0" borderId="0" xfId="15" applyFont="1" applyFill="1" applyAlignment="1">
      <alignment horizontal="center"/>
    </xf>
    <xf numFmtId="9" fontId="15" fillId="0" borderId="0" xfId="15" applyFont="1" applyFill="1" applyAlignment="1">
      <alignment horizontal="centerContinuous"/>
    </xf>
    <xf numFmtId="41" fontId="15" fillId="0" borderId="0" xfId="16" applyNumberFormat="1" applyFont="1" applyFill="1" applyAlignment="1">
      <alignment/>
    </xf>
    <xf numFmtId="9" fontId="15" fillId="0" borderId="0" xfId="15" applyFont="1" applyFill="1" applyAlignment="1">
      <alignment/>
    </xf>
    <xf numFmtId="41" fontId="15" fillId="0" borderId="11" xfId="18" applyNumberFormat="1" applyFont="1" applyFill="1" applyBorder="1" applyAlignment="1">
      <alignment/>
    </xf>
    <xf numFmtId="9" fontId="15" fillId="0" borderId="0" xfId="15" applyFont="1" applyFill="1" applyBorder="1" applyAlignment="1">
      <alignment/>
    </xf>
    <xf numFmtId="9" fontId="15" fillId="0" borderId="0" xfId="15" applyFont="1" applyFill="1" applyBorder="1" applyProtection="1">
      <protection/>
    </xf>
    <xf numFmtId="9" fontId="15" fillId="0" borderId="0" xfId="15" applyFont="1" applyBorder="1" applyProtection="1">
      <protection/>
    </xf>
    <xf numFmtId="41" fontId="15" fillId="0" borderId="28" xfId="16" applyNumberFormat="1" applyFont="1" applyFill="1" applyBorder="1" applyAlignment="1">
      <alignment/>
    </xf>
    <xf numFmtId="9" fontId="15" fillId="0" borderId="0" xfId="15" applyFont="1" applyFill="1" applyBorder="1" applyAlignment="1">
      <alignment horizontal="center"/>
    </xf>
    <xf numFmtId="9" fontId="15" fillId="0" borderId="27" xfId="15" applyFont="1" applyFill="1" applyBorder="1" applyAlignment="1">
      <alignment horizontal="center"/>
    </xf>
    <xf numFmtId="9" fontId="15" fillId="0" borderId="0" xfId="15" applyFont="1" applyFill="1" applyProtection="1">
      <protection/>
    </xf>
    <xf numFmtId="9" fontId="15" fillId="0" borderId="0" xfId="15" applyFont="1" applyFill="1" applyAlignment="1">
      <alignment horizontal="center" wrapText="1"/>
    </xf>
    <xf numFmtId="0" fontId="47" fillId="0" borderId="0" xfId="0" applyFont="1"/>
    <xf numFmtId="41" fontId="9" fillId="0" borderId="0" xfId="18" applyNumberFormat="1" applyFont="1" applyFill="1" applyBorder="1" applyAlignment="1">
      <alignment/>
    </xf>
    <xf numFmtId="41" fontId="15" fillId="0" borderId="0" xfId="16" applyNumberFormat="1" applyFont="1" applyAlignment="1">
      <alignment/>
    </xf>
    <xf numFmtId="9" fontId="15" fillId="0" borderId="11" xfId="15" applyFont="1" applyFill="1" applyBorder="1" applyAlignment="1">
      <alignment/>
    </xf>
    <xf numFmtId="9" fontId="15" fillId="0" borderId="0" xfId="15" applyFont="1" applyProtection="1">
      <protection/>
    </xf>
    <xf numFmtId="9" fontId="15" fillId="0" borderId="28" xfId="15" applyFont="1" applyFill="1" applyBorder="1" applyAlignment="1">
      <alignment horizontal="center"/>
    </xf>
    <xf numFmtId="10" fontId="15" fillId="0" borderId="0" xfId="15" applyNumberFormat="1" applyFont="1" applyFill="1" applyAlignment="1">
      <alignment/>
    </xf>
    <xf numFmtId="41" fontId="15" fillId="0" borderId="0" xfId="18" applyNumberFormat="1" applyFont="1" applyBorder="1" applyAlignment="1">
      <alignment horizontal="center"/>
    </xf>
    <xf numFmtId="43" fontId="23" fillId="0" borderId="0" xfId="18" applyFont="1" applyFill="1" applyAlignment="1">
      <alignment horizontal="center"/>
    </xf>
    <xf numFmtId="41" fontId="15" fillId="0" borderId="0" xfId="18" applyNumberFormat="1" applyFont="1" applyFill="1" applyBorder="1" applyAlignment="1">
      <alignment horizontal="center"/>
    </xf>
    <xf numFmtId="43" fontId="48" fillId="0" borderId="29" xfId="18" applyFont="1" applyBorder="1" applyAlignment="1">
      <alignment/>
    </xf>
    <xf numFmtId="0" fontId="45" fillId="0" borderId="30" xfId="0" applyFont="1" applyBorder="1" applyAlignment="1">
      <alignment horizontal="center"/>
    </xf>
    <xf numFmtId="0" fontId="45" fillId="0" borderId="31" xfId="0" applyFont="1" applyBorder="1" applyAlignment="1">
      <alignment horizontal="center"/>
    </xf>
    <xf numFmtId="0" fontId="45" fillId="0" borderId="32" xfId="0" applyFont="1" applyBorder="1" applyAlignment="1">
      <alignment horizontal="center"/>
    </xf>
    <xf numFmtId="0" fontId="45" fillId="0" borderId="0" xfId="0" applyFont="1" applyAlignment="1">
      <alignment horizontal="center"/>
    </xf>
    <xf numFmtId="0" fontId="45" fillId="0" borderId="33" xfId="0" applyFont="1" applyBorder="1" applyAlignment="1">
      <alignment horizontal="center"/>
    </xf>
    <xf numFmtId="171" fontId="15" fillId="0" borderId="34" xfId="18" applyNumberFormat="1" applyFont="1" applyBorder="1" applyAlignment="1">
      <alignment/>
    </xf>
    <xf numFmtId="171" fontId="15" fillId="0" borderId="17" xfId="18" applyNumberFormat="1" applyFont="1" applyBorder="1" applyAlignment="1">
      <alignment/>
    </xf>
    <xf numFmtId="171" fontId="15" fillId="0" borderId="35" xfId="18" applyNumberFormat="1" applyFont="1" applyBorder="1" applyAlignment="1">
      <alignment/>
    </xf>
    <xf numFmtId="0" fontId="21" fillId="37" borderId="0" xfId="0" applyFont="1" applyFill="1"/>
    <xf numFmtId="37" fontId="21" fillId="0" borderId="0" xfId="0" applyNumberFormat="1" applyFont="1" applyAlignment="1">
      <alignment horizontal="centerContinuous"/>
    </xf>
    <xf numFmtId="0" fontId="21" fillId="37" borderId="0" xfId="0" applyFont="1" applyFill="1" applyAlignment="1">
      <alignment horizontal="center"/>
    </xf>
    <xf numFmtId="43" fontId="23" fillId="37" borderId="0" xfId="18" applyFont="1" applyFill="1" applyAlignment="1" quotePrefix="1">
      <alignment horizontal="center"/>
    </xf>
    <xf numFmtId="43" fontId="23" fillId="0" borderId="0" xfId="18" applyFont="1" applyAlignment="1">
      <alignment/>
    </xf>
    <xf numFmtId="43" fontId="15" fillId="0" borderId="0" xfId="18" applyFont="1" applyFill="1" applyAlignment="1">
      <alignment/>
    </xf>
    <xf numFmtId="41" fontId="15" fillId="0" borderId="0" xfId="0" applyNumberFormat="1" applyFont="1" quotePrefix="1"/>
    <xf numFmtId="41" fontId="15" fillId="33" borderId="0" xfId="0" applyNumberFormat="1" applyFont="1" applyFill="1"/>
    <xf numFmtId="0" fontId="15" fillId="33" borderId="0" xfId="0" applyFont="1" applyFill="1"/>
    <xf numFmtId="43" fontId="15" fillId="33" borderId="17" xfId="0" applyNumberFormat="1" applyFont="1" applyFill="1" applyBorder="1" applyAlignment="1">
      <alignment horizontal="right"/>
    </xf>
    <xf numFmtId="0" fontId="15" fillId="33" borderId="17" xfId="0" applyFont="1" applyFill="1" applyBorder="1" applyAlignment="1">
      <alignment horizontal="right"/>
    </xf>
    <xf numFmtId="0" fontId="15" fillId="0" borderId="17" xfId="0" applyFont="1" applyBorder="1"/>
    <xf numFmtId="41" fontId="15" fillId="0" borderId="12" xfId="0" applyNumberFormat="1" applyFont="1" applyBorder="1"/>
    <xf numFmtId="9" fontId="15" fillId="0" borderId="0" xfId="15" applyFont="1" applyBorder="1" applyAlignment="1" applyProtection="1">
      <alignment horizontal="center"/>
      <protection/>
    </xf>
    <xf numFmtId="41" fontId="15" fillId="0" borderId="0" xfId="16" applyNumberFormat="1" applyFont="1" applyBorder="1" applyAlignment="1">
      <alignment/>
    </xf>
    <xf numFmtId="9" fontId="15" fillId="0" borderId="0" xfId="15" applyFont="1" applyBorder="1"/>
    <xf numFmtId="43" fontId="15" fillId="0" borderId="0" xfId="0" applyNumberFormat="1" applyFont="1"/>
    <xf numFmtId="41" fontId="49" fillId="0" borderId="0" xfId="0" applyNumberFormat="1" applyFont="1"/>
    <xf numFmtId="10" fontId="15" fillId="0" borderId="0" xfId="15" applyNumberFormat="1" applyFont="1" applyFill="1" applyProtection="1">
      <protection/>
    </xf>
    <xf numFmtId="0" fontId="52" fillId="0" borderId="0" xfId="0" applyFont="1" applyFill="1"/>
    <xf numFmtId="0" fontId="53" fillId="0" borderId="36" xfId="0" applyFont="1" applyFill="1" applyBorder="1"/>
    <xf numFmtId="3" fontId="54" fillId="0" borderId="18" xfId="0" applyNumberFormat="1" applyFont="1" applyFill="1" applyBorder="1"/>
    <xf numFmtId="3" fontId="54" fillId="0" borderId="18" xfId="0" applyNumberFormat="1" applyFont="1" applyFill="1" applyBorder="1" applyAlignment="1">
      <alignment horizontal="center"/>
    </xf>
    <xf numFmtId="10" fontId="55" fillId="0" borderId="18" xfId="0" applyNumberFormat="1" applyFont="1" applyFill="1" applyBorder="1"/>
    <xf numFmtId="0" fontId="52" fillId="0" borderId="26" xfId="0" applyFont="1" applyFill="1" applyBorder="1"/>
    <xf numFmtId="0" fontId="55" fillId="0" borderId="26" xfId="0" applyFont="1" applyFill="1" applyBorder="1"/>
    <xf numFmtId="3" fontId="54" fillId="0" borderId="0" xfId="0" applyNumberFormat="1" applyFont="1" applyFill="1"/>
    <xf numFmtId="3" fontId="55" fillId="0" borderId="0" xfId="0" applyNumberFormat="1" applyFont="1" applyFill="1" applyAlignment="1">
      <alignment horizontal="center"/>
    </xf>
    <xf numFmtId="10" fontId="55" fillId="0" borderId="0" xfId="0" applyNumberFormat="1" applyFont="1" applyFill="1" applyAlignment="1">
      <alignment horizontal="center"/>
    </xf>
    <xf numFmtId="10" fontId="52" fillId="0" borderId="0" xfId="0" applyNumberFormat="1" applyFont="1" applyFill="1"/>
    <xf numFmtId="10" fontId="55" fillId="0" borderId="0" xfId="0" applyNumberFormat="1" applyFont="1" applyFill="1"/>
    <xf numFmtId="0" fontId="56" fillId="0" borderId="26" xfId="0" applyFont="1" applyFill="1" applyBorder="1"/>
    <xf numFmtId="0" fontId="55" fillId="0" borderId="0" xfId="0" applyFont="1" applyFill="1" applyAlignment="1">
      <alignment horizontal="center"/>
    </xf>
    <xf numFmtId="0" fontId="55" fillId="0" borderId="0" xfId="0" applyFont="1" applyFill="1"/>
    <xf numFmtId="168" fontId="55" fillId="0" borderId="0" xfId="0" applyNumberFormat="1" applyFont="1" applyFill="1" applyProtection="1">
      <protection locked="0"/>
    </xf>
    <xf numFmtId="168" fontId="57" fillId="0" borderId="0" xfId="0" applyNumberFormat="1" applyFont="1" applyFill="1"/>
    <xf numFmtId="0" fontId="55" fillId="0" borderId="0" xfId="0" applyFont="1" applyFill="1" applyProtection="1">
      <protection locked="0"/>
    </xf>
    <xf numFmtId="0" fontId="57" fillId="0" borderId="0" xfId="0" applyFont="1" applyFill="1"/>
    <xf numFmtId="3" fontId="55" fillId="0" borderId="0" xfId="0" applyNumberFormat="1" applyFont="1" applyFill="1" applyProtection="1">
      <protection locked="0"/>
    </xf>
    <xf numFmtId="1" fontId="57" fillId="0" borderId="0" xfId="0" applyNumberFormat="1" applyFont="1" applyFill="1"/>
    <xf numFmtId="3" fontId="54" fillId="0" borderId="0" xfId="0" applyNumberFormat="1" applyFont="1" applyFill="1" applyProtection="1">
      <protection locked="0"/>
    </xf>
    <xf numFmtId="0" fontId="54" fillId="0" borderId="0" xfId="0" applyFont="1" applyFill="1"/>
    <xf numFmtId="3" fontId="57" fillId="0" borderId="0" xfId="0" applyNumberFormat="1" applyFont="1" applyFill="1"/>
    <xf numFmtId="0" fontId="53" fillId="0" borderId="26" xfId="0" applyFont="1" applyFill="1" applyBorder="1"/>
    <xf numFmtId="168" fontId="58" fillId="0" borderId="0" xfId="0" applyNumberFormat="1" applyFont="1" applyFill="1"/>
    <xf numFmtId="1" fontId="54" fillId="0" borderId="0" xfId="0" applyNumberFormat="1" applyFont="1" applyFill="1"/>
    <xf numFmtId="10" fontId="54" fillId="0" borderId="0" xfId="0" applyNumberFormat="1" applyFont="1" applyFill="1"/>
    <xf numFmtId="168" fontId="58" fillId="0" borderId="0" xfId="0" applyNumberFormat="1" applyFont="1" applyFill="1" applyProtection="1">
      <protection locked="0"/>
    </xf>
    <xf numFmtId="0" fontId="2" fillId="0" borderId="0" xfId="0" applyFont="1" applyFill="1"/>
    <xf numFmtId="37" fontId="2" fillId="0" borderId="0" xfId="0" applyNumberFormat="1" applyFont="1" applyFill="1"/>
    <xf numFmtId="0" fontId="3" fillId="0" borderId="0" xfId="0" applyFont="1" applyFill="1"/>
    <xf numFmtId="37" fontId="2" fillId="0" borderId="0" xfId="0" applyNumberFormat="1" applyFont="1" applyFill="1" applyAlignment="1">
      <alignment horizontal="right"/>
    </xf>
    <xf numFmtId="37" fontId="2" fillId="0" borderId="0" xfId="0" applyNumberFormat="1" applyFont="1" applyFill="1" applyAlignment="1" quotePrefix="1">
      <alignment horizontal="right"/>
    </xf>
    <xf numFmtId="0" fontId="2" fillId="0" borderId="10" xfId="0" applyFont="1" applyFill="1" applyBorder="1"/>
    <xf numFmtId="0" fontId="2" fillId="0" borderId="0" xfId="0" applyFont="1" applyFill="1" applyAlignment="1">
      <alignment horizontal="center"/>
    </xf>
    <xf numFmtId="43" fontId="59" fillId="0" borderId="0" xfId="18" applyFont="1" applyFill="1" applyAlignment="1">
      <alignment horizontal="centerContinuous"/>
    </xf>
    <xf numFmtId="43" fontId="59" fillId="0" borderId="0" xfId="18" applyFont="1" applyFill="1" applyAlignment="1">
      <alignment horizontal="center"/>
    </xf>
    <xf numFmtId="0" fontId="3" fillId="0" borderId="0" xfId="0" applyFont="1" applyFill="1" applyAlignment="1">
      <alignment horizontal="centerContinuous"/>
    </xf>
    <xf numFmtId="37" fontId="3" fillId="0" borderId="0" xfId="0" applyNumberFormat="1" applyFont="1" applyFill="1"/>
    <xf numFmtId="37" fontId="10" fillId="0" borderId="0" xfId="0" applyNumberFormat="1" applyFont="1" applyFill="1" applyProtection="1">
      <protection locked="0"/>
    </xf>
    <xf numFmtId="41" fontId="3" fillId="0" borderId="0" xfId="0" applyNumberFormat="1" applyFont="1" applyFill="1" applyAlignment="1">
      <alignment horizontal="center"/>
    </xf>
    <xf numFmtId="41" fontId="3" fillId="0" borderId="0" xfId="0" applyNumberFormat="1" applyFont="1" applyFill="1"/>
    <xf numFmtId="41" fontId="3" fillId="0" borderId="16" xfId="18" applyNumberFormat="1" applyFont="1" applyFill="1" applyBorder="1" applyAlignment="1">
      <alignment horizontal="center"/>
    </xf>
    <xf numFmtId="41" fontId="3" fillId="0" borderId="0" xfId="18" applyNumberFormat="1" applyFont="1" applyFill="1" applyBorder="1" applyAlignment="1">
      <alignment horizontal="center"/>
    </xf>
    <xf numFmtId="0" fontId="52" fillId="0" borderId="0" xfId="0" applyFont="1" applyFill="1" applyBorder="1"/>
    <xf numFmtId="0" fontId="61" fillId="0" borderId="0" xfId="0" applyFont="1" applyFill="1"/>
    <xf numFmtId="41" fontId="3" fillId="0" borderId="16" xfId="0" applyNumberFormat="1" applyFont="1" applyFill="1" applyBorder="1"/>
    <xf numFmtId="10" fontId="3" fillId="0" borderId="0" xfId="0" applyNumberFormat="1" applyFont="1" applyFill="1"/>
    <xf numFmtId="168" fontId="64" fillId="0" borderId="0" xfId="0" applyNumberFormat="1" applyFont="1" applyFill="1"/>
    <xf numFmtId="0" fontId="65" fillId="0" borderId="0" xfId="0" applyFont="1" applyFill="1"/>
    <xf numFmtId="0" fontId="66" fillId="0" borderId="0" xfId="0" applyFont="1" applyFill="1" applyBorder="1"/>
    <xf numFmtId="0" fontId="67" fillId="0" borderId="0" xfId="0" applyFont="1" applyFill="1" applyBorder="1"/>
    <xf numFmtId="0" fontId="3" fillId="0" borderId="0" xfId="0" applyFont="1" applyFill="1" applyAlignment="1">
      <alignment horizontal="left"/>
    </xf>
    <xf numFmtId="0" fontId="3" fillId="0" borderId="0" xfId="0" applyFont="1" applyFill="1" applyAlignment="1">
      <alignment horizontal="right"/>
    </xf>
    <xf numFmtId="0" fontId="21" fillId="0" borderId="0" xfId="0" applyFont="1" applyAlignment="1">
      <alignment horizontal="center"/>
    </xf>
    <xf numFmtId="0" fontId="2" fillId="0" borderId="0" xfId="0" applyFont="1" applyAlignment="1">
      <alignment horizontal="center"/>
    </xf>
    <xf numFmtId="41" fontId="3" fillId="0" borderId="0" xfId="16" applyNumberFormat="1" applyFont="1" applyFill="1" applyBorder="1" applyAlignment="1">
      <alignment/>
    </xf>
    <xf numFmtId="0" fontId="2" fillId="0" borderId="0" xfId="0" applyFont="1" applyAlignment="1">
      <alignment horizontal="left"/>
    </xf>
    <xf numFmtId="0" fontId="83" fillId="0" borderId="0" xfId="0" applyFont="1" applyAlignment="1" applyProtection="1" quotePrefix="1">
      <alignment horizontal="center"/>
      <protection locked="0"/>
    </xf>
    <xf numFmtId="0" fontId="2" fillId="0" borderId="10" xfId="0" applyFont="1" applyBorder="1" applyAlignment="1">
      <alignment horizontal="centerContinuous"/>
    </xf>
    <xf numFmtId="0" fontId="83" fillId="0" borderId="0" xfId="0" applyFont="1" applyAlignment="1" applyProtection="1">
      <alignment horizontal="center"/>
      <protection locked="0"/>
    </xf>
    <xf numFmtId="44" fontId="3" fillId="0" borderId="28" xfId="16" applyFont="1" applyFill="1" applyBorder="1" applyAlignment="1">
      <alignment/>
    </xf>
    <xf numFmtId="41" fontId="4" fillId="33" borderId="0" xfId="18" applyNumberFormat="1" applyFont="1" applyFill="1" applyBorder="1" applyAlignment="1">
      <alignment/>
    </xf>
    <xf numFmtId="43" fontId="3" fillId="0" borderId="18" xfId="18" applyFont="1" applyFill="1" applyBorder="1" applyAlignment="1">
      <alignment/>
    </xf>
    <xf numFmtId="43" fontId="3" fillId="0" borderId="0" xfId="18" applyFont="1" applyFill="1" applyBorder="1" applyAlignment="1">
      <alignment/>
    </xf>
    <xf numFmtId="170" fontId="2" fillId="0" borderId="11" xfId="18" applyNumberFormat="1" applyFont="1" applyFill="1" applyBorder="1" applyAlignment="1">
      <alignment horizontal="center"/>
    </xf>
    <xf numFmtId="0" fontId="0" fillId="38" borderId="0" xfId="0" applyFill="1" applyAlignment="1">
      <alignment horizontal="center"/>
    </xf>
    <xf numFmtId="37" fontId="3" fillId="0" borderId="18" xfId="0" applyNumberFormat="1" applyFont="1" applyBorder="1"/>
    <xf numFmtId="43" fontId="3" fillId="0" borderId="11" xfId="18" applyFont="1" applyFill="1" applyBorder="1" applyAlignment="1">
      <alignment/>
    </xf>
    <xf numFmtId="41" fontId="3" fillId="0" borderId="11" xfId="0" applyNumberFormat="1" applyFont="1" applyBorder="1"/>
    <xf numFmtId="44" fontId="3" fillId="0" borderId="28" xfId="16" applyFont="1" applyFill="1" applyBorder="1" applyAlignment="1">
      <alignment horizontal="center"/>
    </xf>
    <xf numFmtId="41" fontId="3" fillId="0" borderId="11" xfId="16" applyNumberFormat="1" applyFont="1" applyFill="1" applyBorder="1" applyAlignment="1">
      <alignment/>
    </xf>
    <xf numFmtId="0" fontId="81" fillId="0" borderId="0" xfId="0" applyFont="1"/>
    <xf numFmtId="10" fontId="3" fillId="0" borderId="0" xfId="18" applyNumberFormat="1" applyFont="1" applyFill="1" applyAlignment="1">
      <alignment/>
    </xf>
    <xf numFmtId="10" fontId="3" fillId="0" borderId="0" xfId="16" applyNumberFormat="1" applyFont="1" applyFill="1" applyAlignment="1">
      <alignment/>
    </xf>
    <xf numFmtId="0" fontId="52" fillId="38" borderId="0" xfId="0" applyFont="1" applyFill="1"/>
    <xf numFmtId="0" fontId="52" fillId="38" borderId="0" xfId="0" applyFont="1" applyFill="1" applyAlignment="1">
      <alignment horizontal="right"/>
    </xf>
    <xf numFmtId="165" fontId="52" fillId="38" borderId="0" xfId="18" applyNumberFormat="1" applyFont="1" applyFill="1"/>
    <xf numFmtId="0" fontId="52" fillId="38" borderId="0" xfId="0" applyFont="1" applyFill="1" applyAlignment="1">
      <alignment wrapText="1"/>
    </xf>
    <xf numFmtId="0" fontId="52" fillId="38" borderId="0" xfId="0" applyFont="1" applyFill="1" applyAlignment="1">
      <alignment horizontal="left" indent="1"/>
    </xf>
    <xf numFmtId="173" fontId="52" fillId="38" borderId="0" xfId="15" applyNumberFormat="1" applyFont="1" applyFill="1"/>
    <xf numFmtId="0" fontId="52" fillId="38" borderId="16" xfId="0" applyFont="1" applyFill="1" applyBorder="1"/>
    <xf numFmtId="0" fontId="62" fillId="38" borderId="0" xfId="0" applyFont="1" applyFill="1" applyBorder="1"/>
    <xf numFmtId="41" fontId="3" fillId="38" borderId="0" xfId="0" applyNumberFormat="1" applyFont="1" applyFill="1"/>
    <xf numFmtId="0" fontId="61" fillId="38" borderId="0" xfId="0" applyFont="1" applyFill="1"/>
    <xf numFmtId="0" fontId="60" fillId="38" borderId="0" xfId="0" applyFont="1" applyFill="1" applyBorder="1"/>
    <xf numFmtId="172" fontId="3" fillId="38" borderId="0" xfId="0" applyNumberFormat="1" applyFont="1" applyFill="1"/>
    <xf numFmtId="10" fontId="3" fillId="38" borderId="0" xfId="0" applyNumberFormat="1" applyFont="1" applyFill="1"/>
    <xf numFmtId="10" fontId="63" fillId="38" borderId="0" xfId="0" applyNumberFormat="1" applyFont="1" applyFill="1"/>
    <xf numFmtId="41" fontId="3" fillId="38" borderId="16" xfId="0" applyNumberFormat="1" applyFont="1" applyFill="1" applyBorder="1"/>
    <xf numFmtId="0" fontId="84" fillId="39" borderId="36" xfId="0" applyFont="1" applyFill="1" applyBorder="1"/>
    <xf numFmtId="3" fontId="85" fillId="39" borderId="18" xfId="0" applyNumberFormat="1" applyFont="1" applyFill="1" applyBorder="1"/>
    <xf numFmtId="3" fontId="85" fillId="39" borderId="18" xfId="0" applyNumberFormat="1" applyFont="1" applyFill="1" applyBorder="1" applyAlignment="1">
      <alignment horizontal="center"/>
    </xf>
    <xf numFmtId="10" fontId="27" fillId="39" borderId="18" xfId="0" applyNumberFormat="1" applyFont="1" applyFill="1" applyBorder="1"/>
    <xf numFmtId="0" fontId="27" fillId="39" borderId="26" xfId="0" applyFont="1" applyFill="1" applyBorder="1"/>
    <xf numFmtId="3" fontId="85" fillId="39" borderId="0" xfId="0" applyNumberFormat="1" applyFont="1" applyFill="1"/>
    <xf numFmtId="3" fontId="27" fillId="39" borderId="0" xfId="0" applyNumberFormat="1" applyFont="1" applyFill="1" applyAlignment="1">
      <alignment horizontal="center"/>
    </xf>
    <xf numFmtId="10" fontId="27" fillId="39" borderId="0" xfId="0" applyNumberFormat="1" applyFont="1" applyFill="1" applyAlignment="1">
      <alignment horizontal="center"/>
    </xf>
    <xf numFmtId="10" fontId="37" fillId="39" borderId="0" xfId="0" applyNumberFormat="1" applyFont="1" applyFill="1"/>
    <xf numFmtId="10" fontId="27" fillId="39" borderId="0" xfId="0" applyNumberFormat="1" applyFont="1" applyFill="1"/>
    <xf numFmtId="0" fontId="84" fillId="39" borderId="26" xfId="0" applyFont="1" applyFill="1" applyBorder="1"/>
    <xf numFmtId="0" fontId="85" fillId="39" borderId="0" xfId="0" applyFont="1" applyFill="1" applyAlignment="1">
      <alignment horizontal="center"/>
    </xf>
    <xf numFmtId="10" fontId="85" fillId="39" borderId="0" xfId="0" applyNumberFormat="1" applyFont="1" applyFill="1" applyAlignment="1">
      <alignment horizontal="center"/>
    </xf>
    <xf numFmtId="0" fontId="37" fillId="39" borderId="0" xfId="0" applyFont="1" applyFill="1"/>
    <xf numFmtId="0" fontId="27" fillId="39" borderId="0" xfId="0" applyFont="1" applyFill="1"/>
    <xf numFmtId="168" fontId="27" fillId="35" borderId="0" xfId="0" applyNumberFormat="1" applyFont="1" applyFill="1" applyProtection="1">
      <protection locked="0"/>
    </xf>
    <xf numFmtId="168" fontId="30" fillId="39" borderId="0" xfId="0" applyNumberFormat="1" applyFont="1" applyFill="1"/>
    <xf numFmtId="0" fontId="27" fillId="35" borderId="0" xfId="0" applyFont="1" applyFill="1" applyProtection="1">
      <protection locked="0"/>
    </xf>
    <xf numFmtId="0" fontId="30" fillId="39" borderId="0" xfId="0" applyFont="1" applyFill="1"/>
    <xf numFmtId="3" fontId="37" fillId="39" borderId="0" xfId="0" applyNumberFormat="1" applyFont="1" applyFill="1"/>
    <xf numFmtId="3" fontId="27" fillId="35" borderId="0" xfId="0" applyNumberFormat="1" applyFont="1" applyFill="1" applyProtection="1">
      <protection locked="0"/>
    </xf>
    <xf numFmtId="3" fontId="30" fillId="39" borderId="0" xfId="0" applyNumberFormat="1" applyFont="1" applyFill="1"/>
    <xf numFmtId="3" fontId="85" fillId="35" borderId="0" xfId="0" applyNumberFormat="1" applyFont="1" applyFill="1" applyProtection="1">
      <protection locked="0"/>
    </xf>
    <xf numFmtId="0" fontId="85" fillId="39" borderId="0" xfId="0" applyFont="1" applyFill="1"/>
    <xf numFmtId="3" fontId="31" fillId="39" borderId="0" xfId="0" applyNumberFormat="1" applyFont="1" applyFill="1"/>
    <xf numFmtId="0" fontId="31" fillId="39" borderId="0" xfId="0" applyFont="1" applyFill="1"/>
    <xf numFmtId="3" fontId="37" fillId="40" borderId="0" xfId="0" applyNumberFormat="1" applyFont="1" applyFill="1"/>
    <xf numFmtId="168" fontId="86" fillId="39" borderId="0" xfId="0" applyNumberFormat="1" applyFont="1" applyFill="1"/>
    <xf numFmtId="168" fontId="27" fillId="39" borderId="0" xfId="0" applyNumberFormat="1" applyFont="1" applyFill="1"/>
    <xf numFmtId="10" fontId="85" fillId="39" borderId="0" xfId="0" applyNumberFormat="1" applyFont="1" applyFill="1"/>
    <xf numFmtId="168" fontId="86" fillId="35" borderId="0" xfId="0" applyNumberFormat="1" applyFont="1" applyFill="1" applyProtection="1">
      <protection locked="0"/>
    </xf>
    <xf numFmtId="168" fontId="30" fillId="39" borderId="18" xfId="0" applyNumberFormat="1" applyFont="1" applyFill="1" applyBorder="1"/>
    <xf numFmtId="0" fontId="87" fillId="39" borderId="26" xfId="0" applyFont="1" applyFill="1" applyBorder="1"/>
    <xf numFmtId="0" fontId="27" fillId="39" borderId="0" xfId="0" applyFont="1" applyFill="1" applyAlignment="1">
      <alignment horizontal="center"/>
    </xf>
    <xf numFmtId="1" fontId="30" fillId="39" borderId="0" xfId="0" applyNumberFormat="1" applyFont="1" applyFill="1"/>
    <xf numFmtId="0" fontId="36" fillId="39" borderId="0" xfId="0" applyFont="1" applyFill="1"/>
    <xf numFmtId="0" fontId="6" fillId="0" borderId="0" xfId="0" applyFont="1" applyAlignment="1">
      <alignment horizontal="center"/>
    </xf>
    <xf numFmtId="0" fontId="0" fillId="0" borderId="0" xfId="0"/>
    <xf numFmtId="10" fontId="2" fillId="0" borderId="0" xfId="0" applyNumberFormat="1" applyFont="1" applyAlignment="1">
      <alignment horizontal="right"/>
    </xf>
    <xf numFmtId="0" fontId="2" fillId="0" borderId="0" xfId="0" applyFont="1" applyAlignment="1" quotePrefix="1">
      <alignment horizontal="right"/>
    </xf>
    <xf numFmtId="0" fontId="2" fillId="0" borderId="0" xfId="0" applyFont="1" applyAlignment="1">
      <alignment/>
    </xf>
    <xf numFmtId="41" fontId="15" fillId="0" borderId="0" xfId="18" applyNumberFormat="1" applyFont="1" applyFill="1" applyAlignment="1">
      <alignment horizontal="center"/>
    </xf>
    <xf numFmtId="0" fontId="2" fillId="0" borderId="0" xfId="0" applyFont="1" applyAlignment="1">
      <alignment horizontal="right"/>
    </xf>
    <xf numFmtId="9" fontId="15" fillId="0" borderId="0" xfId="66" applyFont="1" applyBorder="1" applyProtection="1">
      <protection/>
    </xf>
    <xf numFmtId="41" fontId="21" fillId="0" borderId="0" xfId="16" applyNumberFormat="1" applyFont="1" applyAlignment="1">
      <alignment horizontal="center"/>
    </xf>
    <xf numFmtId="43" fontId="21" fillId="0" borderId="0" xfId="18" applyFont="1" applyAlignment="1">
      <alignment horizontal="center"/>
    </xf>
    <xf numFmtId="41" fontId="21" fillId="0" borderId="0" xfId="0" applyNumberFormat="1" applyFont="1" applyAlignment="1">
      <alignment horizontal="center"/>
    </xf>
    <xf numFmtId="9" fontId="21" fillId="0" borderId="0" xfId="66" applyFont="1" applyAlignment="1" applyProtection="1">
      <alignment horizontal="center"/>
      <protection/>
    </xf>
    <xf numFmtId="41" fontId="21" fillId="0" borderId="16" xfId="16" applyNumberFormat="1" applyFont="1" applyBorder="1" applyAlignment="1">
      <alignment/>
    </xf>
    <xf numFmtId="9" fontId="15" fillId="0" borderId="0" xfId="66" applyFont="1" applyFill="1" applyBorder="1" applyProtection="1">
      <protection/>
    </xf>
    <xf numFmtId="0" fontId="21" fillId="37" borderId="0" xfId="0" applyFont="1" applyFill="1" applyAlignment="1" quotePrefix="1">
      <alignment horizontal="center"/>
    </xf>
    <xf numFmtId="9" fontId="15" fillId="0" borderId="0" xfId="66" applyFont="1" applyFill="1" applyBorder="1" applyAlignment="1">
      <alignment horizontal="center"/>
    </xf>
    <xf numFmtId="9" fontId="15" fillId="0" borderId="0" xfId="66" applyFont="1" applyProtection="1">
      <protection/>
    </xf>
    <xf numFmtId="43" fontId="15" fillId="0" borderId="0" xfId="18" applyFont="1" applyAlignment="1">
      <alignment/>
    </xf>
    <xf numFmtId="41" fontId="15" fillId="0" borderId="0" xfId="16" applyNumberFormat="1" applyFont="1" applyFill="1" applyAlignment="1">
      <alignment horizontal="center"/>
    </xf>
    <xf numFmtId="43" fontId="15" fillId="0" borderId="0" xfId="18" applyFont="1" applyAlignment="1">
      <alignment horizontal="center"/>
    </xf>
    <xf numFmtId="10" fontId="3" fillId="0" borderId="0" xfId="18" applyNumberFormat="1" applyFont="1" applyFill="1" applyBorder="1" applyAlignment="1">
      <alignment/>
    </xf>
    <xf numFmtId="9" fontId="15" fillId="0" borderId="0" xfId="66" applyFont="1" applyFill="1" applyProtection="1">
      <protection/>
    </xf>
    <xf numFmtId="41" fontId="15" fillId="0" borderId="0" xfId="0" applyNumberFormat="1" applyFont="1" applyAlignment="1">
      <alignment horizontal="center"/>
    </xf>
    <xf numFmtId="37" fontId="15" fillId="0" borderId="0" xfId="0" applyNumberFormat="1" applyFont="1"/>
    <xf numFmtId="0" fontId="0" fillId="0" borderId="0" xfId="0"/>
    <xf numFmtId="9" fontId="21" fillId="0" borderId="0" xfId="66" applyFont="1" applyFill="1" applyBorder="1" applyAlignment="1">
      <alignment horizontal="center"/>
    </xf>
    <xf numFmtId="41" fontId="21" fillId="0" borderId="16" xfId="16" applyNumberFormat="1" applyFont="1" applyBorder="1" applyAlignment="1">
      <alignment horizontal="center"/>
    </xf>
    <xf numFmtId="41" fontId="21" fillId="0" borderId="0" xfId="18" applyNumberFormat="1" applyFont="1" applyFill="1" applyAlignment="1" quotePrefix="1">
      <alignment horizontal="center"/>
    </xf>
    <xf numFmtId="0" fontId="45" fillId="0" borderId="30" xfId="0" applyFont="1" applyBorder="1" applyAlignment="1">
      <alignment horizontal="center"/>
    </xf>
    <xf numFmtId="171" fontId="15" fillId="0" borderId="0" xfId="18" applyNumberFormat="1" applyFont="1" applyAlignment="1">
      <alignment/>
    </xf>
    <xf numFmtId="37" fontId="21" fillId="33" borderId="0" xfId="0" applyNumberFormat="1" applyFont="1" applyFill="1" applyAlignment="1">
      <alignment horizontal="center"/>
    </xf>
    <xf numFmtId="41" fontId="21" fillId="33" borderId="0" xfId="0" applyNumberFormat="1" applyFont="1" applyFill="1" applyAlignment="1">
      <alignment horizontal="center"/>
    </xf>
    <xf numFmtId="10" fontId="23" fillId="33" borderId="0" xfId="18" applyNumberFormat="1" applyFont="1" applyFill="1" applyAlignment="1">
      <alignment horizontal="centerContinuous"/>
    </xf>
    <xf numFmtId="43" fontId="23" fillId="33" borderId="0" xfId="18" applyFont="1" applyFill="1" applyAlignment="1">
      <alignment horizontal="center"/>
    </xf>
    <xf numFmtId="10" fontId="15" fillId="0" borderId="0" xfId="66" applyNumberFormat="1" applyFont="1"/>
    <xf numFmtId="174" fontId="15" fillId="0" borderId="0" xfId="0" applyNumberFormat="1" applyFont="1"/>
    <xf numFmtId="0" fontId="15" fillId="0" borderId="0" xfId="66" applyNumberFormat="1" applyFont="1" applyProtection="1">
      <protection/>
    </xf>
    <xf numFmtId="0" fontId="89" fillId="0" borderId="0" xfId="0" applyFont="1"/>
    <xf numFmtId="9" fontId="15" fillId="0" borderId="0" xfId="66" applyFont="1" applyBorder="1"/>
    <xf numFmtId="9" fontId="15" fillId="0" borderId="0" xfId="66" applyFont="1"/>
    <xf numFmtId="41" fontId="15" fillId="41" borderId="0" xfId="0" applyNumberFormat="1" applyFont="1" applyFill="1"/>
    <xf numFmtId="10" fontId="15" fillId="0" borderId="0" xfId="66" applyNumberFormat="1" applyFont="1" applyProtection="1">
      <protection/>
    </xf>
    <xf numFmtId="165" fontId="15" fillId="0" borderId="0" xfId="18" applyNumberFormat="1" applyFont="1" applyAlignment="1">
      <alignment/>
    </xf>
    <xf numFmtId="0" fontId="2" fillId="0" borderId="0" xfId="0" applyFont="1" applyAlignment="1">
      <alignment horizontal="center"/>
    </xf>
    <xf numFmtId="0" fontId="0" fillId="0" borderId="0" xfId="0" applyBorder="1"/>
    <xf numFmtId="43" fontId="0" fillId="0" borderId="0" xfId="18" applyFont="1" applyBorder="1"/>
    <xf numFmtId="0" fontId="81" fillId="0" borderId="0" xfId="0" applyFont="1" applyBorder="1" applyAlignment="1">
      <alignment horizontal="center"/>
    </xf>
    <xf numFmtId="0" fontId="81" fillId="0" borderId="0" xfId="0" applyFont="1" applyBorder="1"/>
    <xf numFmtId="43" fontId="81" fillId="0" borderId="0" xfId="18" applyFont="1" applyBorder="1"/>
    <xf numFmtId="0" fontId="0" fillId="11" borderId="0" xfId="0" applyFill="1" applyBorder="1" applyAlignment="1">
      <alignment horizontal="center"/>
    </xf>
    <xf numFmtId="0" fontId="0" fillId="0" borderId="0" xfId="0" applyBorder="1" applyAlignment="1">
      <alignment horizontal="center"/>
    </xf>
    <xf numFmtId="43" fontId="0" fillId="0" borderId="0" xfId="0" applyNumberFormat="1" applyBorder="1"/>
    <xf numFmtId="165" fontId="3" fillId="0" borderId="0" xfId="16" applyNumberFormat="1" applyFont="1" applyFill="1" applyAlignment="1">
      <alignment/>
    </xf>
    <xf numFmtId="167" fontId="3" fillId="0" borderId="28" xfId="16" applyNumberFormat="1" applyFont="1" applyFill="1" applyBorder="1" applyAlignment="1">
      <alignment/>
    </xf>
    <xf numFmtId="165" fontId="3" fillId="0" borderId="0" xfId="18" applyNumberFormat="1" applyFont="1" applyAlignment="1">
      <alignment/>
    </xf>
    <xf numFmtId="10" fontId="3" fillId="33" borderId="0" xfId="16" applyNumberFormat="1" applyFont="1" applyFill="1" applyAlignment="1">
      <alignment/>
    </xf>
    <xf numFmtId="0" fontId="0" fillId="0" borderId="0" xfId="0" applyFill="1"/>
    <xf numFmtId="0" fontId="0" fillId="11" borderId="0" xfId="0" applyFill="1" applyBorder="1"/>
    <xf numFmtId="0" fontId="0" fillId="11" borderId="0" xfId="0" applyFill="1"/>
    <xf numFmtId="43" fontId="0" fillId="11" borderId="0" xfId="18" applyFont="1" applyFill="1" applyBorder="1"/>
    <xf numFmtId="43" fontId="0" fillId="11" borderId="0" xfId="0" applyNumberFormat="1" applyFill="1" applyBorder="1"/>
    <xf numFmtId="0" fontId="0" fillId="42" borderId="0" xfId="0" applyFill="1" applyBorder="1" applyAlignment="1">
      <alignment horizontal="center"/>
    </xf>
    <xf numFmtId="0" fontId="0" fillId="42" borderId="0" xfId="0" applyFill="1" applyBorder="1"/>
    <xf numFmtId="0" fontId="0" fillId="42" borderId="0" xfId="0" applyFill="1"/>
    <xf numFmtId="43" fontId="0" fillId="42" borderId="0" xfId="18" applyFont="1" applyFill="1" applyBorder="1"/>
    <xf numFmtId="43" fontId="0" fillId="42" borderId="0" xfId="0" applyNumberFormat="1" applyFill="1" applyBorder="1"/>
    <xf numFmtId="0" fontId="41" fillId="0" borderId="0" xfId="0" applyFont="1" applyFill="1" applyBorder="1"/>
    <xf numFmtId="0" fontId="41" fillId="0" borderId="0" xfId="0" applyFont="1" applyFill="1"/>
    <xf numFmtId="43" fontId="41" fillId="0" borderId="0" xfId="18" applyFont="1" applyFill="1" applyBorder="1"/>
    <xf numFmtId="43" fontId="41" fillId="0" borderId="0" xfId="0" applyNumberFormat="1" applyFont="1" applyFill="1" applyBorder="1"/>
    <xf numFmtId="0" fontId="0" fillId="31" borderId="0" xfId="0" applyFill="1" applyBorder="1"/>
    <xf numFmtId="0" fontId="0" fillId="31" borderId="0" xfId="0" applyFill="1"/>
    <xf numFmtId="43" fontId="0" fillId="31" borderId="0" xfId="18" applyFont="1" applyFill="1" applyBorder="1"/>
    <xf numFmtId="43" fontId="0" fillId="31" borderId="0" xfId="0" applyNumberFormat="1" applyFill="1" applyBorder="1"/>
    <xf numFmtId="0" fontId="0" fillId="38" borderId="0" xfId="0" applyFill="1"/>
    <xf numFmtId="43" fontId="0" fillId="38" borderId="0" xfId="18" applyFont="1" applyFill="1"/>
    <xf numFmtId="0" fontId="81" fillId="15" borderId="0" xfId="0" applyFont="1" applyFill="1" applyBorder="1"/>
    <xf numFmtId="0" fontId="81" fillId="15" borderId="0" xfId="0" applyFont="1" applyFill="1"/>
    <xf numFmtId="43" fontId="81" fillId="15" borderId="0" xfId="18" applyFont="1" applyFill="1" applyBorder="1"/>
    <xf numFmtId="43" fontId="81" fillId="15" borderId="0" xfId="0" applyNumberFormat="1" applyFont="1" applyFill="1" applyBorder="1"/>
    <xf numFmtId="0" fontId="81" fillId="31" borderId="0" xfId="0" applyFont="1" applyFill="1" applyBorder="1" applyAlignment="1">
      <alignment horizontal="center"/>
    </xf>
    <xf numFmtId="0" fontId="81" fillId="31" borderId="0" xfId="0" applyFont="1" applyFill="1" applyBorder="1"/>
    <xf numFmtId="0" fontId="81" fillId="31" borderId="0" xfId="0" applyFont="1" applyFill="1"/>
    <xf numFmtId="43" fontId="81" fillId="31" borderId="0" xfId="18" applyFont="1" applyFill="1" applyBorder="1"/>
    <xf numFmtId="43" fontId="81" fillId="31" borderId="0" xfId="0" applyNumberFormat="1" applyFont="1" applyFill="1" applyBorder="1"/>
    <xf numFmtId="0" fontId="0" fillId="34" borderId="0" xfId="0" applyFill="1" applyBorder="1" applyAlignment="1">
      <alignment horizontal="center"/>
    </xf>
    <xf numFmtId="0" fontId="0" fillId="34" borderId="0" xfId="0" applyFill="1" applyAlignment="1">
      <alignment horizontal="center"/>
    </xf>
    <xf numFmtId="0" fontId="41" fillId="34" borderId="0" xfId="0" applyFont="1" applyFill="1" applyBorder="1" applyAlignment="1">
      <alignment horizontal="center"/>
    </xf>
    <xf numFmtId="0" fontId="81" fillId="34" borderId="0" xfId="0" applyFont="1" applyFill="1" applyBorder="1" applyAlignment="1">
      <alignment horizontal="center"/>
    </xf>
    <xf numFmtId="43" fontId="3" fillId="0" borderId="0" xfId="0" applyNumberFormat="1" applyFont="1"/>
    <xf numFmtId="165" fontId="3" fillId="0" borderId="0" xfId="0" applyNumberFormat="1" applyFont="1"/>
    <xf numFmtId="43" fontId="81" fillId="0" borderId="0" xfId="0" applyNumberFormat="1" applyFont="1" applyBorder="1"/>
    <xf numFmtId="0" fontId="0" fillId="21" borderId="0" xfId="0" applyFill="1" applyBorder="1" applyAlignment="1">
      <alignment horizontal="center"/>
    </xf>
    <xf numFmtId="3" fontId="91" fillId="39" borderId="18" xfId="0" applyNumberFormat="1" applyFont="1" applyFill="1" applyBorder="1" applyAlignment="1">
      <alignment horizontal="center"/>
    </xf>
    <xf numFmtId="0" fontId="92" fillId="39" borderId="26" xfId="0" applyFont="1" applyFill="1" applyBorder="1"/>
    <xf numFmtId="10" fontId="93" fillId="39" borderId="0" xfId="0" applyNumberFormat="1" applyFont="1" applyFill="1"/>
    <xf numFmtId="0" fontId="81" fillId="31" borderId="0" xfId="0" applyFont="1" applyFill="1" applyAlignment="1">
      <alignment horizontal="center"/>
    </xf>
    <xf numFmtId="0" fontId="94" fillId="39" borderId="0" xfId="0" applyFont="1" applyFill="1"/>
    <xf numFmtId="0" fontId="90" fillId="39" borderId="36" xfId="0" applyFont="1" applyFill="1" applyBorder="1"/>
    <xf numFmtId="0" fontId="93" fillId="39" borderId="0" xfId="0" applyFont="1" applyFill="1"/>
    <xf numFmtId="3" fontId="92" fillId="35" borderId="0" xfId="0" applyNumberFormat="1" applyFont="1" applyFill="1" applyProtection="1">
      <protection locked="0"/>
    </xf>
    <xf numFmtId="0" fontId="90" fillId="39" borderId="26" xfId="0" applyFont="1" applyFill="1" applyBorder="1"/>
    <xf numFmtId="10" fontId="3" fillId="33" borderId="0" xfId="0" applyNumberFormat="1" applyFont="1" applyFill="1"/>
    <xf numFmtId="0" fontId="91" fillId="39" borderId="0" xfId="0" applyFont="1" applyFill="1"/>
    <xf numFmtId="0" fontId="91" fillId="39" borderId="0" xfId="0" applyFont="1" applyFill="1" applyAlignment="1">
      <alignment horizontal="center"/>
    </xf>
    <xf numFmtId="43" fontId="0" fillId="0" borderId="0" xfId="0" applyNumberFormat="1" applyFont="1" applyBorder="1"/>
    <xf numFmtId="0" fontId="92" fillId="35" borderId="0" xfId="0" applyFont="1" applyFill="1" applyProtection="1">
      <protection locked="0"/>
    </xf>
    <xf numFmtId="41" fontId="3" fillId="33" borderId="0" xfId="0" applyNumberFormat="1" applyFont="1" applyFill="1"/>
    <xf numFmtId="168" fontId="92" fillId="35" borderId="0" xfId="0" applyNumberFormat="1" applyFont="1" applyFill="1" applyProtection="1">
      <protection locked="0"/>
    </xf>
    <xf numFmtId="10" fontId="92" fillId="39" borderId="18" xfId="0" applyNumberFormat="1" applyFont="1" applyFill="1" applyBorder="1"/>
    <xf numFmtId="3" fontId="91" fillId="39" borderId="0" xfId="0" applyNumberFormat="1" applyFont="1" applyFill="1"/>
    <xf numFmtId="0" fontId="92" fillId="39" borderId="0" xfId="0" applyFont="1" applyFill="1" applyAlignment="1">
      <alignment horizontal="center"/>
    </xf>
    <xf numFmtId="0" fontId="96" fillId="39" borderId="26" xfId="0" applyFont="1" applyFill="1" applyBorder="1"/>
    <xf numFmtId="168" fontId="92" fillId="39" borderId="0" xfId="0" applyNumberFormat="1" applyFont="1" applyFill="1"/>
    <xf numFmtId="3" fontId="91" fillId="35" borderId="0" xfId="0" applyNumberFormat="1" applyFont="1" applyFill="1" applyProtection="1">
      <protection locked="0"/>
    </xf>
    <xf numFmtId="0" fontId="92" fillId="39" borderId="0" xfId="0" applyFont="1" applyFill="1"/>
    <xf numFmtId="10" fontId="92" fillId="39" borderId="0" xfId="0" applyNumberFormat="1" applyFont="1" applyFill="1" applyAlignment="1">
      <alignment horizontal="center"/>
    </xf>
    <xf numFmtId="168" fontId="94" fillId="39" borderId="18" xfId="0" applyNumberFormat="1" applyFont="1" applyFill="1" applyBorder="1"/>
    <xf numFmtId="10" fontId="92" fillId="39" borderId="0" xfId="0" applyNumberFormat="1" applyFont="1" applyFill="1"/>
    <xf numFmtId="168" fontId="95" fillId="35" borderId="0" xfId="0" applyNumberFormat="1" applyFont="1" applyFill="1" applyProtection="1">
      <protection locked="0"/>
    </xf>
    <xf numFmtId="168" fontId="95" fillId="39" borderId="0" xfId="0" applyNumberFormat="1" applyFont="1" applyFill="1"/>
    <xf numFmtId="3" fontId="93" fillId="40" borderId="0" xfId="0" applyNumberFormat="1" applyFont="1" applyFill="1"/>
    <xf numFmtId="10" fontId="91" fillId="39" borderId="0" xfId="0" applyNumberFormat="1" applyFont="1" applyFill="1"/>
    <xf numFmtId="165" fontId="94" fillId="39" borderId="0" xfId="18" applyNumberFormat="1" applyFont="1" applyFill="1"/>
    <xf numFmtId="10" fontId="91" fillId="39" borderId="0" xfId="0" applyNumberFormat="1" applyFont="1" applyFill="1" applyAlignment="1">
      <alignment horizontal="center"/>
    </xf>
    <xf numFmtId="168" fontId="94" fillId="39" borderId="0" xfId="0" applyNumberFormat="1" applyFont="1" applyFill="1"/>
    <xf numFmtId="44" fontId="3" fillId="0" borderId="0" xfId="0" applyNumberFormat="1" applyFont="1"/>
    <xf numFmtId="0" fontId="0" fillId="0" borderId="0" xfId="0"/>
    <xf numFmtId="43" fontId="0" fillId="0" borderId="0" xfId="18" applyFont="1"/>
    <xf numFmtId="0" fontId="0" fillId="0" borderId="0" xfId="0" applyBorder="1"/>
    <xf numFmtId="3" fontId="91" fillId="39" borderId="18" xfId="0" applyNumberFormat="1" applyFont="1" applyFill="1" applyBorder="1"/>
    <xf numFmtId="165" fontId="92" fillId="35" borderId="0" xfId="18" applyNumberFormat="1" applyFont="1" applyFill="1" applyProtection="1">
      <protection locked="0"/>
    </xf>
    <xf numFmtId="3" fontId="94" fillId="39" borderId="0" xfId="0" applyNumberFormat="1" applyFont="1" applyFill="1"/>
    <xf numFmtId="3" fontId="93" fillId="39" borderId="0" xfId="0" applyNumberFormat="1" applyFont="1" applyFill="1"/>
    <xf numFmtId="3" fontId="92" fillId="39" borderId="0" xfId="0" applyNumberFormat="1" applyFont="1" applyFill="1" applyAlignment="1">
      <alignment horizontal="center"/>
    </xf>
    <xf numFmtId="0" fontId="0" fillId="0" borderId="0" xfId="0" applyBorder="1"/>
    <xf numFmtId="43" fontId="0" fillId="0" borderId="0" xfId="18" applyFont="1" applyBorder="1"/>
    <xf numFmtId="165" fontId="91" fillId="35" borderId="0" xfId="18" applyNumberFormat="1" applyFont="1" applyFill="1" applyProtection="1">
      <protection locked="0"/>
    </xf>
    <xf numFmtId="165" fontId="91" fillId="39" borderId="0" xfId="18" applyNumberFormat="1" applyFont="1" applyFill="1"/>
    <xf numFmtId="165" fontId="52" fillId="0" borderId="0" xfId="0" applyNumberFormat="1" applyFont="1" applyFill="1"/>
    <xf numFmtId="49" fontId="2" fillId="0" borderId="0" xfId="0" applyNumberFormat="1" applyFont="1"/>
    <xf numFmtId="49" fontId="5" fillId="0" borderId="0" xfId="0" applyNumberFormat="1" applyFont="1" applyProtection="1">
      <protection locked="0"/>
    </xf>
    <xf numFmtId="49" fontId="2" fillId="0" borderId="10" xfId="0" applyNumberFormat="1" applyFont="1" applyBorder="1"/>
    <xf numFmtId="49" fontId="2" fillId="0" borderId="0" xfId="0" applyNumberFormat="1" applyFont="1" applyAlignment="1">
      <alignment horizontal="centerContinuous"/>
    </xf>
    <xf numFmtId="37" fontId="2" fillId="0" borderId="0" xfId="0" applyNumberFormat="1" applyFont="1" applyAlignment="1">
      <alignment horizontal="center"/>
    </xf>
    <xf numFmtId="43" fontId="2" fillId="0" borderId="17" xfId="18" applyFont="1" applyFill="1" applyBorder="1" applyAlignment="1">
      <alignment horizontal="centerContinuous"/>
    </xf>
    <xf numFmtId="49" fontId="2" fillId="0" borderId="17" xfId="18" applyNumberFormat="1" applyFont="1" applyFill="1" applyBorder="1" applyAlignment="1">
      <alignment horizontal="centerContinuous"/>
    </xf>
    <xf numFmtId="43" fontId="2" fillId="0" borderId="17" xfId="18" applyFont="1" applyFill="1" applyBorder="1" applyAlignment="1">
      <alignment horizontal="center"/>
    </xf>
    <xf numFmtId="49" fontId="3" fillId="0" borderId="0" xfId="0" applyNumberFormat="1" applyFont="1"/>
    <xf numFmtId="49" fontId="3" fillId="0" borderId="0" xfId="0" applyNumberFormat="1" applyFont="1" quotePrefix="1"/>
    <xf numFmtId="41" fontId="3" fillId="0" borderId="11" xfId="18" applyNumberFormat="1" applyFont="1" applyFill="1" applyBorder="1" applyAlignment="1">
      <alignment/>
    </xf>
    <xf numFmtId="10" fontId="3" fillId="0" borderId="0" xfId="66" applyNumberFormat="1" applyFont="1" applyFill="1" applyProtection="1">
      <protection/>
    </xf>
    <xf numFmtId="43" fontId="97" fillId="0" borderId="11" xfId="18" applyFont="1" applyFill="1" applyBorder="1" applyAlignment="1">
      <alignment/>
    </xf>
    <xf numFmtId="43" fontId="97" fillId="0" borderId="0" xfId="18" applyFont="1" applyFill="1" applyBorder="1" applyAlignment="1">
      <alignment/>
    </xf>
    <xf numFmtId="49" fontId="10" fillId="0" borderId="0" xfId="0" applyNumberFormat="1" applyFont="1" applyProtection="1">
      <protection locked="0"/>
    </xf>
    <xf numFmtId="0" fontId="3" fillId="43" borderId="0" xfId="0" applyFont="1" applyFill="1"/>
    <xf numFmtId="41" fontId="3" fillId="43" borderId="0" xfId="0" applyNumberFormat="1" applyFont="1" applyFill="1"/>
    <xf numFmtId="44" fontId="3" fillId="0" borderId="37" xfId="16" applyFont="1" applyFill="1" applyBorder="1" applyAlignment="1">
      <alignment/>
    </xf>
    <xf numFmtId="0" fontId="15" fillId="0" borderId="0" xfId="0" applyFont="1" applyAlignment="1" quotePrefix="1">
      <alignment horizontal="left" indent="2"/>
    </xf>
    <xf numFmtId="6" fontId="3" fillId="0" borderId="0" xfId="0" applyNumberFormat="1" applyFont="1"/>
    <xf numFmtId="0" fontId="21" fillId="0" borderId="0" xfId="0" applyFont="1" quotePrefix="1"/>
    <xf numFmtId="167" fontId="3" fillId="0" borderId="0" xfId="15" applyNumberFormat="1" applyFont="1" applyFill="1"/>
    <xf numFmtId="169" fontId="2" fillId="0" borderId="0" xfId="0" applyNumberFormat="1" applyFont="1" applyAlignment="1" quotePrefix="1">
      <alignment horizontal="right"/>
    </xf>
    <xf numFmtId="44" fontId="3" fillId="0" borderId="38" xfId="16" applyFont="1" applyFill="1" applyBorder="1" applyAlignment="1">
      <alignment horizontal="center"/>
    </xf>
    <xf numFmtId="37" fontId="3" fillId="0" borderId="11" xfId="0" applyNumberFormat="1" applyFont="1" applyBorder="1"/>
    <xf numFmtId="169" fontId="2" fillId="0" borderId="0" xfId="0" applyNumberFormat="1" applyFont="1" applyAlignment="1">
      <alignment horizontal="right"/>
    </xf>
    <xf numFmtId="0" fontId="11" fillId="43" borderId="0" xfId="0" applyFont="1" applyFill="1"/>
    <xf numFmtId="167" fontId="15" fillId="0" borderId="39" xfId="16" applyNumberFormat="1" applyFont="1" applyBorder="1" applyAlignment="1">
      <alignment/>
    </xf>
    <xf numFmtId="165" fontId="3" fillId="0" borderId="28" xfId="16" applyNumberFormat="1" applyFont="1" applyFill="1" applyBorder="1" applyAlignment="1">
      <alignment/>
    </xf>
    <xf numFmtId="37" fontId="3" fillId="0" borderId="0" xfId="0" applyNumberFormat="1" applyFont="1" applyAlignment="1">
      <alignment horizontal="center"/>
    </xf>
    <xf numFmtId="167" fontId="3" fillId="0" borderId="38" xfId="16" applyNumberFormat="1" applyFont="1" applyFill="1" applyBorder="1" applyAlignment="1">
      <alignment horizontal="center"/>
    </xf>
    <xf numFmtId="168" fontId="3" fillId="0" borderId="0" xfId="18" applyNumberFormat="1" applyFont="1" applyFill="1" applyAlignment="1">
      <alignment/>
    </xf>
    <xf numFmtId="0" fontId="92" fillId="43" borderId="0" xfId="0" applyFont="1" applyFill="1"/>
    <xf numFmtId="10" fontId="0" fillId="0" borderId="0" xfId="15" applyNumberFormat="1" applyFont="1"/>
    <xf numFmtId="0" fontId="93" fillId="43" borderId="0" xfId="0" applyFont="1" applyFill="1"/>
    <xf numFmtId="41" fontId="52" fillId="0" borderId="0" xfId="0" applyNumberFormat="1" applyFont="1" applyFill="1"/>
    <xf numFmtId="168" fontId="30" fillId="43" borderId="0" xfId="0" applyNumberFormat="1" applyFont="1" applyFill="1"/>
    <xf numFmtId="165" fontId="61" fillId="0" borderId="0" xfId="18" applyNumberFormat="1" applyFont="1" applyFill="1"/>
    <xf numFmtId="168" fontId="94" fillId="43" borderId="0" xfId="0" applyNumberFormat="1" applyFont="1" applyFill="1"/>
    <xf numFmtId="165" fontId="3" fillId="0" borderId="11" xfId="18" applyNumberFormat="1" applyFont="1" applyFill="1" applyBorder="1" applyAlignment="1">
      <alignment/>
    </xf>
    <xf numFmtId="0" fontId="0" fillId="0" borderId="0" xfId="0"/>
    <xf numFmtId="0" fontId="0" fillId="0" borderId="0" xfId="0" applyAlignment="1">
      <alignment horizontal="center"/>
    </xf>
    <xf numFmtId="10" fontId="64" fillId="0" borderId="0" xfId="15" applyNumberFormat="1" applyFont="1" applyFill="1"/>
    <xf numFmtId="1" fontId="85" fillId="39" borderId="0" xfId="0" applyNumberFormat="1" applyFont="1" applyFill="1"/>
    <xf numFmtId="167" fontId="3" fillId="0" borderId="11" xfId="0" applyNumberFormat="1" applyFont="1" applyBorder="1"/>
    <xf numFmtId="37" fontId="2" fillId="0" borderId="0" xfId="0" applyNumberFormat="1" applyFont="1" applyAlignment="1">
      <alignment horizontal="right"/>
    </xf>
    <xf numFmtId="37" fontId="2" fillId="0" borderId="0" xfId="0" applyNumberFormat="1" applyFont="1" applyAlignment="1" quotePrefix="1">
      <alignment horizontal="right"/>
    </xf>
    <xf numFmtId="0" fontId="52" fillId="33" borderId="0" xfId="0" applyFont="1" applyFill="1"/>
    <xf numFmtId="0" fontId="98" fillId="0" borderId="0" xfId="0" applyFont="1"/>
    <xf numFmtId="0" fontId="98" fillId="0" borderId="0" xfId="0" applyFont="1" applyAlignment="1">
      <alignment horizontal="center"/>
    </xf>
    <xf numFmtId="10" fontId="98" fillId="0" borderId="0" xfId="15" applyNumberFormat="1" applyFont="1"/>
    <xf numFmtId="0" fontId="98" fillId="0" borderId="40" xfId="0" applyFont="1" applyBorder="1"/>
    <xf numFmtId="0" fontId="98" fillId="0" borderId="40" xfId="0" applyFont="1" applyBorder="1" applyAlignment="1">
      <alignment horizontal="center"/>
    </xf>
    <xf numFmtId="0" fontId="98" fillId="0" borderId="40" xfId="0" applyFont="1" applyBorder="1" applyAlignment="1">
      <alignment horizontal="left"/>
    </xf>
    <xf numFmtId="10" fontId="98" fillId="0" borderId="40" xfId="15" applyNumberFormat="1" applyFont="1" applyBorder="1"/>
    <xf numFmtId="10" fontId="98" fillId="0" borderId="40" xfId="15" applyNumberFormat="1" applyFont="1" applyFill="1" applyBorder="1" applyAlignment="1">
      <alignment horizontal="center"/>
    </xf>
    <xf numFmtId="0" fontId="0" fillId="0" borderId="40" xfId="0" applyBorder="1" applyAlignment="1">
      <alignment horizontal="center"/>
    </xf>
    <xf numFmtId="10" fontId="98" fillId="0" borderId="40" xfId="15" applyNumberFormat="1" applyFont="1" applyBorder="1" applyAlignment="1">
      <alignment horizontal="center"/>
    </xf>
    <xf numFmtId="175" fontId="98" fillId="0" borderId="40" xfId="15" applyNumberFormat="1" applyFont="1" applyBorder="1" applyAlignment="1">
      <alignment horizontal="center"/>
    </xf>
    <xf numFmtId="0" fontId="12" fillId="0" borderId="40" xfId="0" applyFont="1" applyBorder="1" applyAlignment="1" quotePrefix="1">
      <alignment horizontal="center"/>
    </xf>
    <xf numFmtId="0" fontId="98" fillId="0" borderId="40" xfId="0" applyFont="1" applyBorder="1" quotePrefix="1"/>
    <xf numFmtId="175" fontId="98" fillId="0" borderId="40" xfId="15" applyNumberFormat="1" applyFont="1" applyFill="1" applyBorder="1" applyAlignment="1">
      <alignment horizontal="center"/>
    </xf>
    <xf numFmtId="10" fontId="98" fillId="32" borderId="40" xfId="15" applyNumberFormat="1" applyFont="1" applyFill="1" applyBorder="1" applyAlignment="1">
      <alignment horizontal="center"/>
    </xf>
    <xf numFmtId="10" fontId="98" fillId="0" borderId="40" xfId="15" applyNumberFormat="1" applyFont="1" applyFill="1" applyBorder="1" applyAlignment="1" quotePrefix="1">
      <alignment horizontal="center"/>
    </xf>
    <xf numFmtId="10" fontId="98" fillId="33" borderId="40" xfId="15" applyNumberFormat="1" applyFont="1" applyFill="1" applyBorder="1" applyAlignment="1" quotePrefix="1">
      <alignment horizontal="center"/>
    </xf>
    <xf numFmtId="175" fontId="98" fillId="33" borderId="40" xfId="15" applyNumberFormat="1" applyFont="1" applyFill="1" applyBorder="1" applyAlignment="1" quotePrefix="1">
      <alignment horizontal="center"/>
    </xf>
    <xf numFmtId="10" fontId="99" fillId="0" borderId="40" xfId="15" applyNumberFormat="1" applyFont="1" applyBorder="1" applyAlignment="1">
      <alignment horizontal="center"/>
    </xf>
    <xf numFmtId="10" fontId="98" fillId="33" borderId="40" xfId="15" applyNumberFormat="1" applyFont="1" applyFill="1" applyBorder="1" applyAlignment="1">
      <alignment horizontal="center"/>
    </xf>
    <xf numFmtId="0" fontId="98" fillId="0" borderId="40" xfId="0" applyFont="1" applyBorder="1" applyAlignment="1">
      <alignment wrapText="1"/>
    </xf>
    <xf numFmtId="0" fontId="21" fillId="0" borderId="0" xfId="0" applyFont="1" applyAlignment="1">
      <alignment horizontal="center"/>
    </xf>
    <xf numFmtId="167" fontId="3" fillId="0" borderId="16" xfId="16" applyNumberFormat="1" applyFont="1" applyFill="1" applyBorder="1" applyAlignment="1">
      <alignment/>
    </xf>
    <xf numFmtId="167" fontId="3" fillId="0" borderId="0" xfId="0" applyNumberFormat="1" applyFont="1"/>
    <xf numFmtId="167" fontId="3" fillId="0" borderId="15" xfId="16" applyNumberFormat="1" applyFont="1" applyFill="1" applyBorder="1" applyAlignment="1">
      <alignment/>
    </xf>
    <xf numFmtId="165" fontId="3" fillId="43" borderId="0" xfId="18" applyNumberFormat="1" applyFont="1" applyFill="1" applyAlignment="1">
      <alignment/>
    </xf>
    <xf numFmtId="0" fontId="100" fillId="0" borderId="0" xfId="0" applyFont="1"/>
    <xf numFmtId="0" fontId="101" fillId="0" borderId="0" xfId="0" applyFont="1" applyBorder="1" applyAlignment="1">
      <alignment horizontal="center"/>
    </xf>
    <xf numFmtId="0" fontId="101" fillId="0" borderId="0" xfId="0" applyFont="1" applyBorder="1"/>
    <xf numFmtId="43" fontId="101" fillId="0" borderId="0" xfId="18" applyFont="1" applyBorder="1"/>
    <xf numFmtId="0" fontId="88" fillId="0" borderId="0" xfId="0" applyFont="1"/>
    <xf numFmtId="0" fontId="88" fillId="11" borderId="0" xfId="0" applyFont="1" applyFill="1" applyBorder="1" applyAlignment="1">
      <alignment horizontal="center"/>
    </xf>
    <xf numFmtId="0" fontId="88" fillId="0" borderId="0" xfId="0" applyFont="1" applyBorder="1"/>
    <xf numFmtId="43" fontId="88" fillId="0" borderId="0" xfId="18" applyFont="1" applyBorder="1"/>
    <xf numFmtId="43" fontId="88" fillId="0" borderId="0" xfId="0" applyNumberFormat="1" applyFont="1" applyBorder="1"/>
    <xf numFmtId="1" fontId="15" fillId="0" borderId="0" xfId="67" applyNumberFormat="1" applyFont="1" applyAlignment="1">
      <alignment horizontal="centerContinuous"/>
      <protection/>
    </xf>
    <xf numFmtId="41" fontId="15" fillId="0" borderId="0" xfId="67" applyNumberFormat="1" applyFont="1" applyAlignment="1">
      <alignment horizontal="right"/>
      <protection/>
    </xf>
    <xf numFmtId="41" fontId="15" fillId="10" borderId="0" xfId="67" applyNumberFormat="1" applyFont="1" applyFill="1">
      <alignment/>
      <protection/>
    </xf>
    <xf numFmtId="41" fontId="15" fillId="0" borderId="0" xfId="68" applyNumberFormat="1" applyFont="1" applyFill="1" applyAlignment="1">
      <alignment horizontal="right"/>
    </xf>
    <xf numFmtId="41" fontId="15" fillId="0" borderId="0" xfId="67" applyNumberFormat="1" applyFont="1">
      <alignment/>
      <protection/>
    </xf>
    <xf numFmtId="10" fontId="15" fillId="10" borderId="0" xfId="69" applyNumberFormat="1" applyFont="1" applyFill="1" applyAlignment="1">
      <alignment horizontal="right"/>
    </xf>
    <xf numFmtId="41" fontId="15" fillId="31" borderId="0" xfId="67" applyNumberFormat="1" applyFont="1" applyFill="1">
      <alignment/>
      <protection/>
    </xf>
    <xf numFmtId="43" fontId="100" fillId="0" borderId="0" xfId="18" applyFont="1"/>
    <xf numFmtId="43" fontId="100" fillId="0" borderId="0" xfId="0" applyNumberFormat="1" applyFont="1"/>
    <xf numFmtId="43" fontId="88" fillId="0" borderId="0" xfId="18" applyFont="1"/>
    <xf numFmtId="43" fontId="88" fillId="0" borderId="0" xfId="0" applyNumberFormat="1" applyFont="1"/>
    <xf numFmtId="41" fontId="21" fillId="0" borderId="0" xfId="18" applyNumberFormat="1" applyFont="1" applyFill="1" applyAlignment="1">
      <alignment/>
    </xf>
    <xf numFmtId="17" fontId="100" fillId="0" borderId="0" xfId="0" applyNumberFormat="1" applyFont="1"/>
    <xf numFmtId="0" fontId="100" fillId="0" borderId="0" xfId="0" applyFont="1" applyAlignment="1">
      <alignment horizontal="center"/>
    </xf>
    <xf numFmtId="165" fontId="15" fillId="0" borderId="0" xfId="18" applyNumberFormat="1" applyFont="1" applyFill="1" applyAlignment="1">
      <alignment/>
    </xf>
    <xf numFmtId="167" fontId="3" fillId="0" borderId="11" xfId="18" applyNumberFormat="1" applyFont="1" applyFill="1" applyBorder="1" applyAlignment="1">
      <alignment/>
    </xf>
    <xf numFmtId="0" fontId="0" fillId="0" borderId="0" xfId="0" applyAlignment="1">
      <alignment horizontal="left" wrapText="1"/>
    </xf>
    <xf numFmtId="0" fontId="2" fillId="0" borderId="0" xfId="0" applyFont="1" applyFill="1" applyAlignment="1" quotePrefix="1">
      <alignment horizontal="left" wrapText="1"/>
    </xf>
    <xf numFmtId="0" fontId="2" fillId="0" borderId="0" xfId="0" applyFont="1" applyFill="1" applyAlignment="1">
      <alignment horizontal="justify" wrapText="1"/>
    </xf>
    <xf numFmtId="0" fontId="2" fillId="0" borderId="0" xfId="0" applyFont="1" applyAlignment="1" quotePrefix="1">
      <alignment horizontal="justify" wrapText="1"/>
    </xf>
    <xf numFmtId="0" fontId="3" fillId="0" borderId="0" xfId="0" applyFont="1" applyAlignment="1">
      <alignment horizontal="justify" wrapText="1"/>
    </xf>
    <xf numFmtId="0" fontId="2" fillId="0" borderId="0" xfId="0" applyFont="1" applyAlignment="1">
      <alignment horizontal="left" wrapText="1"/>
    </xf>
    <xf numFmtId="0" fontId="21" fillId="0" borderId="0" xfId="0" applyFont="1" applyAlignment="1">
      <alignment horizontal="center"/>
    </xf>
    <xf numFmtId="0" fontId="21" fillId="0" borderId="0" xfId="0" applyFont="1" applyAlignment="1" quotePrefix="1">
      <alignment horizontal="left" wrapText="1"/>
    </xf>
    <xf numFmtId="0" fontId="0" fillId="0" borderId="0" xfId="0" applyAlignment="1">
      <alignment wrapText="1"/>
    </xf>
    <xf numFmtId="0" fontId="21" fillId="0" borderId="0" xfId="0" applyFont="1" applyAlignment="1">
      <alignment horizontal="left" wrapText="1"/>
    </xf>
    <xf numFmtId="0" fontId="2" fillId="0" borderId="0" xfId="0" applyFont="1" applyAlignment="1" quotePrefix="1">
      <alignment horizontal="left" wrapText="1"/>
    </xf>
    <xf numFmtId="0" fontId="2" fillId="0" borderId="0" xfId="0" applyFont="1" applyAlignment="1">
      <alignment horizontal="justify" wrapText="1"/>
    </xf>
    <xf numFmtId="0" fontId="2" fillId="0" borderId="0" xfId="0" applyFont="1" applyAlignment="1">
      <alignment wrapText="1"/>
    </xf>
    <xf numFmtId="0" fontId="3" fillId="0" borderId="0" xfId="0" applyFont="1" applyAlignment="1">
      <alignment wrapText="1"/>
    </xf>
  </cellXfs>
  <cellStyles count="56">
    <cellStyle name="Normal" xfId="0"/>
    <cellStyle name="Percent" xfId="15"/>
    <cellStyle name="Currency" xfId="16"/>
    <cellStyle name="Currency [0]" xfId="17"/>
    <cellStyle name="Comma" xfId="18"/>
    <cellStyle name="Comma [0]" xfId="19"/>
    <cellStyle name="Normal_Miles Grant Acct Reconciliation to NARUC" xfId="20"/>
    <cellStyle name="Normal_TEMPLATES - ACCT RECONCILIATION TO NARUC - 13 MONTHS PSC" xfId="21"/>
    <cellStyle name="Normal 2 16" xfId="22"/>
    <cellStyle name="Normal 11" xfId="23"/>
    <cellStyle name="Normal_SHEET" xfId="24"/>
    <cellStyle name="Title" xfId="25"/>
    <cellStyle name="Heading 1" xfId="26"/>
    <cellStyle name="Heading 2" xfId="27"/>
    <cellStyle name="Heading 3" xfId="28"/>
    <cellStyle name="Heading 4" xfId="29"/>
    <cellStyle name="Good" xfId="30"/>
    <cellStyle name="Bad" xfId="31"/>
    <cellStyle name="Neutral" xfId="32"/>
    <cellStyle name="Input" xfId="33"/>
    <cellStyle name="Output" xfId="34"/>
    <cellStyle name="Calculation" xfId="35"/>
    <cellStyle name="Linked Cell" xfId="36"/>
    <cellStyle name="Check Cell" xfId="37"/>
    <cellStyle name="Warning Text" xfId="38"/>
    <cellStyle name="Note" xfId="39"/>
    <cellStyle name="Explanatory Text" xfId="40"/>
    <cellStyle name="Total" xfId="41"/>
    <cellStyle name="Accent1" xfId="42"/>
    <cellStyle name="20% - Accent1" xfId="43"/>
    <cellStyle name="40% - Accent1" xfId="44"/>
    <cellStyle name="60% - Accent1" xfId="45"/>
    <cellStyle name="Accent2" xfId="46"/>
    <cellStyle name="20% - Accent2" xfId="47"/>
    <cellStyle name="40% - Accent2" xfId="48"/>
    <cellStyle name="60% - Accent2" xfId="49"/>
    <cellStyle name="Accent3" xfId="50"/>
    <cellStyle name="20% - Accent3" xfId="51"/>
    <cellStyle name="40% - Accent3" xfId="52"/>
    <cellStyle name="60% - Accent3" xfId="53"/>
    <cellStyle name="Accent4" xfId="54"/>
    <cellStyle name="20% - Accent4" xfId="55"/>
    <cellStyle name="40% - Accent4" xfId="56"/>
    <cellStyle name="60% - Accent4" xfId="57"/>
    <cellStyle name="Accent5" xfId="58"/>
    <cellStyle name="20% - Accent5" xfId="59"/>
    <cellStyle name="40% - Accent5" xfId="60"/>
    <cellStyle name="60% - Accent5" xfId="61"/>
    <cellStyle name="Accent6" xfId="62"/>
    <cellStyle name="20% - Accent6" xfId="63"/>
    <cellStyle name="40% - Accent6" xfId="64"/>
    <cellStyle name="60% - Accent6" xfId="65"/>
    <cellStyle name="Percent 2 2" xfId="66"/>
    <cellStyle name="Normal 70" xfId="67"/>
    <cellStyle name="Comma 38" xfId="68"/>
    <cellStyle name="Percent 18" xfId="6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6" Type="http://schemas.openxmlformats.org/officeDocument/2006/relationships/worksheet" Target="worksheets/sheet5.xml" /><Relationship Id="rId30" Type="http://schemas.openxmlformats.org/officeDocument/2006/relationships/externalLink" Target="externalLinks/externalLink3.xml" /><Relationship Id="rId31" Type="http://schemas.openxmlformats.org/officeDocument/2006/relationships/externalLink" Target="externalLinks/externalLink4.xml" /><Relationship Id="rId5" Type="http://schemas.openxmlformats.org/officeDocument/2006/relationships/worksheet" Target="worksheets/sheet4.xml" /><Relationship Id="rId9" Type="http://schemas.openxmlformats.org/officeDocument/2006/relationships/worksheet" Target="worksheets/sheet8.xml" /><Relationship Id="rId24" Type="http://schemas.openxmlformats.org/officeDocument/2006/relationships/sharedStrings" Target="sharedStrings.xml" /><Relationship Id="rId25" Type="http://schemas.openxmlformats.org/officeDocument/2006/relationships/customXml" Target="../customXml/item1.xml" /><Relationship Id="rId26" Type="http://schemas.openxmlformats.org/officeDocument/2006/relationships/customXml" Target="../customXml/item2.xml" /><Relationship Id="rId27" Type="http://schemas.openxmlformats.org/officeDocument/2006/relationships/customXml" Target="../customXml/item3.xml" /><Relationship Id="rId20" Type="http://schemas.openxmlformats.org/officeDocument/2006/relationships/worksheet" Target="worksheets/sheet19.xml" /><Relationship Id="rId21" Type="http://schemas.openxmlformats.org/officeDocument/2006/relationships/worksheet" Target="worksheets/sheet20.xml" /><Relationship Id="rId22" Type="http://schemas.openxmlformats.org/officeDocument/2006/relationships/worksheet" Target="worksheets/sheet21.xml" /><Relationship Id="rId23" Type="http://schemas.openxmlformats.org/officeDocument/2006/relationships/styles" Target="styles.xml" /><Relationship Id="rId4" Type="http://schemas.openxmlformats.org/officeDocument/2006/relationships/worksheet" Target="worksheets/sheet3.xml" /><Relationship Id="rId28" Type="http://schemas.openxmlformats.org/officeDocument/2006/relationships/externalLink" Target="externalLinks/externalLink1.xml" /><Relationship Id="rId29" Type="http://schemas.openxmlformats.org/officeDocument/2006/relationships/externalLink" Target="externalLinks/externalLink2.xml" /><Relationship Id="rId8" Type="http://schemas.openxmlformats.org/officeDocument/2006/relationships/worksheet" Target="worksheets/sheet7.xml" /><Relationship Id="rId14" Type="http://schemas.openxmlformats.org/officeDocument/2006/relationships/worksheet" Target="worksheets/sheet13.xml" /><Relationship Id="rId15" Type="http://schemas.openxmlformats.org/officeDocument/2006/relationships/worksheet" Target="worksheets/sheet14.xml" /><Relationship Id="rId16" Type="http://schemas.openxmlformats.org/officeDocument/2006/relationships/worksheet" Target="worksheets/sheet15.xml" /><Relationship Id="rId17" Type="http://schemas.openxmlformats.org/officeDocument/2006/relationships/worksheet" Target="worksheets/sheet16.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3" Type="http://schemas.openxmlformats.org/officeDocument/2006/relationships/worksheet" Target="worksheets/sheet12.xml" /><Relationship Id="rId3" Type="http://schemas.openxmlformats.org/officeDocument/2006/relationships/worksheet" Target="worksheets/sheet2.xml" /><Relationship Id="rId18" Type="http://schemas.openxmlformats.org/officeDocument/2006/relationships/worksheet" Target="worksheets/sheet17.xml" /><Relationship Id="rId19" Type="http://schemas.openxmlformats.org/officeDocument/2006/relationships/worksheet" Target="worksheets/sheet18.xml" /><Relationship Id="rId1" Type="http://schemas.openxmlformats.org/officeDocument/2006/relationships/theme" Target="theme/theme1.xml" /><Relationship Id="rId2" Type="http://schemas.openxmlformats.org/officeDocument/2006/relationships/worksheet" Target="worksheets/sheet1.xml" /><Relationship Id="rId7" Type="http://schemas.openxmlformats.org/officeDocument/2006/relationships/worksheet" Target="worksheets/sheet6.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file:///\\orl-adm02\Redocs\Users\dswain.MSA\Desktop\UIF%20U02-41%20TEMPORARY\UIF-%20MFRs%2012-31-19_DS_4-6-20.xlsm"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file:///\\orl-adm02\Redocs\Users\dswain.MSA\Desktop\UIF%20U02-41%20TEMPORARY\HISTORICAL%20INFO\Staff%20Workpapers\UIF-Marion%20PAO%20Final.xls" TargetMode="External" /></Relationships>
</file>

<file path=xl/externalLinks/_rels/externalLink3.xml.rels><?xml version="1.0" encoding="UTF-8" standalone="yes"?><Relationships xmlns="http://schemas.openxmlformats.org/package/2006/relationships"><Relationship Id="rId1" Type="http://schemas.openxmlformats.org/officeDocument/2006/relationships/externalLinkPath" Target="file:///\\orl-adm02\Redocs\Users\dswain.MSA\Desktop\UIF%20U02-41%20TEMPORARY\HISTORICAL%20INFO\2015%20MFRs\LAKE%20PLACID%20MFR%20TY%2012-31-15_FINAL%208-25-16_UPDATE.xlsx" TargetMode="External" /></Relationships>
</file>

<file path=xl/externalLinks/_rels/externalLink4.xml.rels><?xml version="1.0" encoding="UTF-8" standalone="yes"?><Relationships xmlns="http://schemas.openxmlformats.org/package/2006/relationships"><Relationship Id="rId1" Type="http://schemas.openxmlformats.org/officeDocument/2006/relationships/externalLinkPath" Target="file:///\\orl-adm02\Redocs\Users\dswain.MSA\Desktop\UIF%20U02-41%20TEMPORARY\HISTORICAL%20INFO\2015%20MFRs\SANDALHAVEN%20MFR%20TY%2012-31-2015_FINAL%208-18-1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Macros"/>
      <sheetName val="COVER"/>
      <sheetName val="CONTENTS vol 2"/>
      <sheetName val="CONTENTS vol 1"/>
      <sheetName val="A 1"/>
      <sheetName val="A 1 (I)"/>
      <sheetName val="A 2"/>
      <sheetName val="A 2 (I)"/>
      <sheetName val="A 3"/>
      <sheetName val="A 3 (I)"/>
      <sheetName val="A 4"/>
      <sheetName val="A 5"/>
      <sheetName val="A 5 (a)"/>
      <sheetName val="A 6"/>
      <sheetName val="A 6 (a)"/>
      <sheetName val="A 7"/>
      <sheetName val="A 8"/>
      <sheetName val="A 9"/>
      <sheetName val="A 9 (a)"/>
      <sheetName val="A 10"/>
      <sheetName val="A 10 (a)"/>
      <sheetName val="A 11"/>
      <sheetName val="A 12"/>
      <sheetName val="A 12 (a)"/>
      <sheetName val="A 13"/>
      <sheetName val="A 14"/>
      <sheetName val="A 14 (a)"/>
      <sheetName val="A 15"/>
      <sheetName val="A 16"/>
      <sheetName val="A 17"/>
      <sheetName val="Working Capital_PerAR"/>
      <sheetName val="A 18"/>
      <sheetName val="A 18 (a)"/>
      <sheetName val="A 19"/>
      <sheetName val="A 19 (a)"/>
      <sheetName val="AR to MFR"/>
      <sheetName val="B 1"/>
      <sheetName val="B 1 (I)"/>
      <sheetName val="B 2"/>
      <sheetName val="B 2 (I)"/>
      <sheetName val="B 3"/>
      <sheetName val="ABANDONMENTS"/>
      <sheetName val="B 3 (i)"/>
      <sheetName val="B 4"/>
      <sheetName val="RAF Returns"/>
      <sheetName val="B 5"/>
      <sheetName val="B 5 (a)"/>
      <sheetName val="B 6"/>
      <sheetName val="B 6 (a)"/>
      <sheetName val="B 7"/>
      <sheetName val="B7 Prior Details"/>
      <sheetName val="B 8"/>
      <sheetName val="B8 Prior Details"/>
      <sheetName val="B 9"/>
      <sheetName val="B 10"/>
      <sheetName val="B 11"/>
      <sheetName val="B12 - 1.31.2015"/>
      <sheetName val="B12 - 2.28.2015"/>
      <sheetName val="B12 - 3.31.2015"/>
      <sheetName val="B12 - 4.30.2015"/>
      <sheetName val="B12 - 5.31.2015"/>
      <sheetName val="B12 - 6.30.2015"/>
      <sheetName val="B12 - 7.31.2015"/>
      <sheetName val="B12 - 8.31.2015"/>
      <sheetName val="B12 - 9.30.2015"/>
      <sheetName val="B12 - 10.31.2015"/>
      <sheetName val="B12 - 11.30.2015"/>
      <sheetName val="B12 - 12.31.2015"/>
      <sheetName val="B12 - Test Year"/>
      <sheetName val="B 13"/>
      <sheetName val="B 14"/>
      <sheetName val="B 15"/>
      <sheetName val="C INSTRUCT"/>
      <sheetName val="C 1"/>
      <sheetName val="C 2 (w)"/>
      <sheetName val="C 2 (s)"/>
      <sheetName val="C 3"/>
      <sheetName val="C 4"/>
      <sheetName val="C 5 (w)"/>
      <sheetName val="C 5 (s)"/>
      <sheetName val="C 6"/>
      <sheetName val="C 7"/>
      <sheetName val="C 8"/>
      <sheetName val="C 9"/>
      <sheetName val="C 10"/>
      <sheetName val="D 1"/>
      <sheetName val="D 1 (I)"/>
      <sheetName val="D 2"/>
      <sheetName val="D 2 (I)"/>
      <sheetName val="D 2 (a)"/>
      <sheetName val="D 3"/>
      <sheetName val="D 4"/>
      <sheetName val="D 5"/>
      <sheetName val="D 6"/>
      <sheetName val="D 7"/>
      <sheetName val="E 1 (w) "/>
      <sheetName val="E 1 (s)"/>
      <sheetName val="E 2 (w)"/>
      <sheetName val="E 2 (s)"/>
      <sheetName val="E 3"/>
      <sheetName val="E 4 (w)"/>
      <sheetName val="E 4 (s)"/>
      <sheetName val="E 5 (w)"/>
      <sheetName val="E 5 (s)"/>
      <sheetName val="E 6 (w)"/>
      <sheetName val="E 7"/>
      <sheetName val="E 8"/>
      <sheetName val="E 9"/>
      <sheetName val="E 10"/>
      <sheetName val="E 11"/>
      <sheetName val="E 12"/>
      <sheetName val="E 13"/>
      <sheetName val="E 14"/>
      <sheetName val="A 1 INT"/>
      <sheetName val="A 2 INT"/>
      <sheetName val="A 3 INT"/>
      <sheetName val="B 1 INT"/>
      <sheetName val="B 2 INT"/>
      <sheetName val="B 3 INT"/>
      <sheetName val="B 15 INT"/>
      <sheetName val="C 1 INT"/>
      <sheetName val="C 2 (W) (S) INT"/>
      <sheetName val="C 3 INT"/>
      <sheetName val="C 5 (W) (S) INT"/>
      <sheetName val="D-1 INT"/>
      <sheetName val="D-2 INT"/>
      <sheetName val="E 1 (w) INT"/>
      <sheetName val=" E 1 (s) INT"/>
      <sheetName val="E 2 (w)INT"/>
      <sheetName val="E 2 (s) INT"/>
      <sheetName val="Monthly BS -UC Ledger FORMATTED"/>
      <sheetName val="13-Mth TY UIF Consol Trial Bal"/>
      <sheetName val="BALANCE SHEET"/>
      <sheetName val="APPENDIX A PLANT ACCT "/>
      <sheetName val="REVENUES TESTING"/>
      <sheetName val="Monthly IS -UC Ledger FORMATTED"/>
      <sheetName val="FULL Mo Trial Balance"/>
      <sheetName val="FULL Mo Trial Balance 2-4-20 "/>
      <sheetName val="IS Mo Trial Balance"/>
      <sheetName val="UIF only"/>
      <sheetName val="O&amp;M EXP TO BE ALLOCATED"/>
      <sheetName val="O&amp;M EXP ALLOCATED WATER"/>
      <sheetName val="O&amp;M EXP ALLOCATED SEWER"/>
      <sheetName val="Chemicals Allocation"/>
      <sheetName val="TAX EXPENSE"/>
      <sheetName val="C 5 Calculation"/>
      <sheetName val="AR F-23"/>
      <sheetName val="REVENUE REQUIREMENTS"/>
      <sheetName val="PROFORMA YEAR"/>
      <sheetName val="INTERIM COST OF CAPITAL"/>
      <sheetName val="EQUITY RETURN CALCULATION"/>
      <sheetName val="Leverage Formula"/>
      <sheetName val="2011 Corporate ERC"/>
      <sheetName val="2011 UIF ERC"/>
      <sheetName val="2019 ERC"/>
      <sheetName val="2007 - 2009 &amp; Test Year BS"/>
      <sheetName val="Sewer Balance Sheet"/>
      <sheetName val="Water Balance Sheet"/>
      <sheetName val="Common Plant"/>
    </sheetNames>
    <sheetDataSet>
      <sheetData sheetId="0">
        <row r="4">
          <cell r="E4" t="str">
            <v>Company:  Utilities, Inc. of Florida </v>
          </cell>
        </row>
        <row r="10">
          <cell r="E10" t="str">
            <v>Preparer: Deborah D. Swain</v>
          </cell>
        </row>
        <row r="23">
          <cell r="B23" t="str">
            <v>Page 1 of 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36"/>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row r="247">
          <cell r="P247">
            <v>4456469.63</v>
          </cell>
        </row>
      </sheetData>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NFO"/>
      <sheetName val="Rbase"/>
      <sheetName val="Noi"/>
      <sheetName val="Cap"/>
      <sheetName val="Adjs"/>
      <sheetName val="RB Audit"/>
      <sheetName val="PF Plant"/>
      <sheetName val="Plnt "/>
      <sheetName val="Ciac "/>
      <sheetName val="WCA "/>
      <sheetName val="UUsum"/>
      <sheetName val="O&amp;M"/>
      <sheetName val="Toti"/>
      <sheetName val="RevRq"/>
      <sheetName val="Security"/>
      <sheetName val="Macros"/>
      <sheetName val="Phoenix"/>
      <sheetName val="TY DE"/>
      <sheetName val="Phoenix 2"/>
    </sheetNames>
    <sheetDataSet>
      <sheetData sheetId="0">
        <row r="14">
          <cell r="D14" t="str">
            <v>UIF-Marion</v>
          </cell>
        </row>
      </sheetData>
      <sheetData sheetId="1"/>
      <sheetData sheetId="2"/>
      <sheetData sheetId="3"/>
      <sheetData sheetId="4"/>
      <sheetData sheetId="5"/>
      <sheetData sheetId="6"/>
      <sheetData sheetId="7">
        <row r="145">
          <cell r="AN145">
            <v>38603.39934</v>
          </cell>
        </row>
      </sheetData>
      <sheetData sheetId="8">
        <row r="32">
          <cell r="F32">
            <v>2257.2</v>
          </cell>
        </row>
      </sheetData>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acros"/>
      <sheetName val="TB2015"/>
      <sheetName val="COVER"/>
      <sheetName val="CONTENTS vol 1"/>
      <sheetName val="CONTENTS vol 2"/>
      <sheetName val="APPENDIX A PLANT ACCT REC"/>
      <sheetName val="A 1"/>
      <sheetName val="A 2"/>
      <sheetName val="A 3 "/>
      <sheetName val="A 4"/>
      <sheetName val="A 5 "/>
      <sheetName val="ProformaAdd"/>
      <sheetName val="ProformaExp"/>
      <sheetName val="A 5  (a)"/>
      <sheetName val="A 6"/>
      <sheetName val="A 6 (a)"/>
      <sheetName val="A 7"/>
      <sheetName val="A 8"/>
      <sheetName val="A 9"/>
      <sheetName val="A 9 (a)"/>
      <sheetName val="A 10"/>
      <sheetName val="A 10 (a)"/>
      <sheetName val="A 11"/>
      <sheetName val="A 12"/>
      <sheetName val="A 12 (a)"/>
      <sheetName val="A 13"/>
      <sheetName val="A 14"/>
      <sheetName val="A 14 (a)"/>
      <sheetName val="A 15"/>
      <sheetName val="A 16"/>
      <sheetName val="A 17 "/>
      <sheetName val="A 18"/>
      <sheetName val="A 18 (a)"/>
      <sheetName val="A 19 "/>
      <sheetName val="A 19 (a) "/>
      <sheetName val="B 1"/>
      <sheetName val="B 2"/>
      <sheetName val="B 3"/>
      <sheetName val="B 4"/>
      <sheetName val="B 5"/>
      <sheetName val="B 6"/>
      <sheetName val="B 7"/>
      <sheetName val="B 8"/>
      <sheetName val="B 9 "/>
      <sheetName val="B 10"/>
      <sheetName val="B 11"/>
      <sheetName val="B 12"/>
      <sheetName val="B 12 (2)"/>
      <sheetName val="B 12 (3)"/>
      <sheetName val="B 12 (4)"/>
      <sheetName val="B 12 (5)"/>
      <sheetName val="B 12 (6)"/>
      <sheetName val="B 12 (7)"/>
      <sheetName val="B 12 (8)"/>
      <sheetName val="B 12 (9)"/>
      <sheetName val="B 12 (10)"/>
      <sheetName val="B 12 (11)"/>
      <sheetName val="B 12 (12)"/>
      <sheetName val="B 12 (13)"/>
      <sheetName val="B 13"/>
      <sheetName val="B 14"/>
      <sheetName val="B 15"/>
      <sheetName val="C INSTRUCT"/>
      <sheetName val="C 1"/>
      <sheetName val="C 2 (W)"/>
      <sheetName val="C 2 (S)"/>
      <sheetName val="C 3 "/>
      <sheetName val="C 4"/>
      <sheetName val="C 5  (W)"/>
      <sheetName val="C 5 (S)"/>
      <sheetName val="C 6"/>
      <sheetName val="C 7"/>
      <sheetName val="C 8"/>
      <sheetName val="C 9"/>
      <sheetName val="C 10"/>
      <sheetName val="D 1"/>
      <sheetName val="D 2 "/>
      <sheetName val="D 3"/>
      <sheetName val="D 4"/>
      <sheetName val="D 5"/>
      <sheetName val="D 6"/>
      <sheetName val="D 7"/>
      <sheetName val="E 1 W"/>
      <sheetName val="E 1 S"/>
      <sheetName val="E 2 W"/>
      <sheetName val="E 2 S"/>
      <sheetName val="E 3"/>
      <sheetName val="E 4 Water"/>
      <sheetName val="E 4 Sewer"/>
      <sheetName val="E 5 (W)"/>
      <sheetName val="E 5 (S) "/>
      <sheetName val="E 6"/>
      <sheetName val="E 7"/>
      <sheetName val="E 8"/>
      <sheetName val="E 9 "/>
      <sheetName val="E 10"/>
      <sheetName val="E 11"/>
      <sheetName val="E 12"/>
      <sheetName val="E 13"/>
      <sheetName val="E 14"/>
      <sheetName val="F 1"/>
      <sheetName val="F 2"/>
      <sheetName val="F 3"/>
      <sheetName val="F 4"/>
      <sheetName val="F 5"/>
      <sheetName val="F 6"/>
      <sheetName val="F 6(2)"/>
      <sheetName val="F 7"/>
      <sheetName val="F 8"/>
      <sheetName val="F 9"/>
      <sheetName val="F 10"/>
      <sheetName val="A 1 (I)"/>
      <sheetName val="A 2 (I) "/>
      <sheetName val="A 3 (I) "/>
      <sheetName val="B 1 (I)"/>
      <sheetName val="B 2 (I)"/>
      <sheetName val="B 3 (I)"/>
      <sheetName val="B 15 (I)"/>
      <sheetName val="C 1 (I)"/>
      <sheetName val="C 2 (W) (I)"/>
      <sheetName val="C 2 (S) (I)"/>
      <sheetName val="C 5  (W) (I)"/>
      <sheetName val="C 5 (S) (I)"/>
      <sheetName val="D 1 (I) "/>
      <sheetName val="D 2 (I) "/>
      <sheetName val="E 1 W (I)"/>
      <sheetName val="E 1 S (I)"/>
      <sheetName val="E 2 W (I)"/>
      <sheetName val="E 2 S (I)"/>
      <sheetName val="12-31-15Plant Acc Bal_PerAR"/>
      <sheetName val="12-31-15 CIAC Bal &amp; Proj_PerAR"/>
      <sheetName val="IncAllocPerAR "/>
      <sheetName val="IncomeAccounts_Water BU"/>
      <sheetName val="IncomeAccounts_Sewer BU"/>
      <sheetName val="12-31-15 Depreciation Exp_PerAR"/>
      <sheetName val="12-31-15 CIAC Amort Exp_PerAR"/>
      <sheetName val="Working Capital_PerAR"/>
      <sheetName val="ADJUSTED MONTHLY FINAL"/>
      <sheetName val="APPENDIX B INC. STAT.ACCT RECON"/>
      <sheetName val="CommonPlant_PerAR"/>
      <sheetName val="Interest Expense Adj_PerAR"/>
      <sheetName val="Other BalSheet Acct_PerAR"/>
      <sheetName val="RateCase&amp;Other Deferred_PerAR"/>
      <sheetName val="Property Taxes"/>
      <sheetName val="C 5 Calculation"/>
      <sheetName val="Rev Requirements Final"/>
      <sheetName val="Rev Requirements Interim"/>
      <sheetName val="Reuse RateBase"/>
      <sheetName val="REVENUE REQUIREMENTS"/>
      <sheetName val="PROFORMA YEAR"/>
      <sheetName val="INTERIM COST OF CAPITAL"/>
      <sheetName val="Chemicals"/>
      <sheetName val="MFR to AR"/>
    </sheetNames>
    <sheetDataSet>
      <sheetData sheetId="0"/>
      <sheetData sheetId="1"/>
      <sheetData sheetId="2"/>
      <sheetData sheetId="3"/>
      <sheetData sheetId="4"/>
      <sheetData sheetId="5"/>
      <sheetData sheetId="6"/>
      <sheetData sheetId="7"/>
      <sheetData sheetId="8">
        <row r="57">
          <cell r="D57">
            <v>0</v>
          </cell>
        </row>
      </sheetData>
      <sheetData sheetId="9"/>
      <sheetData sheetId="10"/>
      <sheetData sheetId="11"/>
      <sheetData sheetId="12"/>
      <sheetData sheetId="13"/>
      <sheetData sheetId="14"/>
      <sheetData sheetId="15"/>
      <sheetData sheetId="16">
        <row r="4">
          <cell r="C4" t="str">
            <v>Page 1 of 1</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row r="118">
          <cell r="O118">
            <v>7455.24</v>
          </cell>
        </row>
      </sheetData>
      <sheetData sheetId="135">
        <row r="50">
          <cell r="O50">
            <v>-9959.64</v>
          </cell>
        </row>
      </sheetData>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Macros"/>
      <sheetName val="COVER"/>
      <sheetName val="CONTENTS vol 1"/>
      <sheetName val="CONTENTS vol 2"/>
      <sheetName val="APPENDIX A PLANT ACCT REC"/>
      <sheetName val="A 2"/>
      <sheetName val="A 3"/>
      <sheetName val="A 4"/>
      <sheetName val="A 6"/>
      <sheetName val="A 6 (a)"/>
      <sheetName val="A 7"/>
      <sheetName val="A 8"/>
      <sheetName val="A 10"/>
      <sheetName val="A 10 (a)"/>
      <sheetName val="A 11"/>
      <sheetName val="A 12"/>
      <sheetName val="A 12 (a)"/>
      <sheetName val="A 13"/>
      <sheetName val="A 14"/>
      <sheetName val="A 14 (a)"/>
      <sheetName val="A 15"/>
      <sheetName val="A 16"/>
      <sheetName val="A 17"/>
      <sheetName val="A 18"/>
      <sheetName val="A 18 (a)"/>
      <sheetName val="A 19"/>
      <sheetName val="A 19 (a)"/>
      <sheetName val="B 2"/>
      <sheetName val="B 3"/>
      <sheetName val="B 4"/>
      <sheetName val="B 5"/>
      <sheetName val="B 6"/>
      <sheetName val="B 8"/>
      <sheetName val="B 9"/>
      <sheetName val="B 10"/>
      <sheetName val="B 11"/>
      <sheetName val="B12 - 1.31.2015"/>
      <sheetName val="B12 - 2.28.2015"/>
      <sheetName val="B12 - 3.31.2015"/>
      <sheetName val="B12 - 4.30.2015"/>
      <sheetName val="B12 - 5.31.2015"/>
      <sheetName val="B12 - 6.30.2015"/>
      <sheetName val="B12 - 7.31.2015"/>
      <sheetName val="B12 - 8.31.2015"/>
      <sheetName val="B12 - 9.30.2015"/>
      <sheetName val="B12 - 10.31.2015"/>
      <sheetName val="B12 - 11.30.2015"/>
      <sheetName val="B12 - 12.31.2015"/>
      <sheetName val="B12 - Test Year"/>
      <sheetName val="C INSTRUCT"/>
      <sheetName val="B 14"/>
      <sheetName val="B 15"/>
      <sheetName val="C 1"/>
      <sheetName val="C 2 (s)"/>
      <sheetName val="C 3"/>
      <sheetName val="C 4"/>
      <sheetName val="C 5 (s)"/>
      <sheetName val="C 6"/>
      <sheetName val="C 6a"/>
      <sheetName val="C 7"/>
      <sheetName val="C 8"/>
      <sheetName val="C 9"/>
      <sheetName val="C 10"/>
      <sheetName val="D 1"/>
      <sheetName val="D 2"/>
      <sheetName val="D 3"/>
      <sheetName val="D 4"/>
      <sheetName val="D 5"/>
      <sheetName val="D 6"/>
      <sheetName val="D 7"/>
      <sheetName val="E 1 (s)"/>
      <sheetName val="E 2 (s)"/>
      <sheetName val="E 3"/>
      <sheetName val="E 4 (s)"/>
      <sheetName val="E 5 (s)"/>
      <sheetName val="E 6"/>
      <sheetName val="E 7"/>
      <sheetName val="E 8"/>
      <sheetName val="E 9"/>
      <sheetName val="E 10"/>
      <sheetName val="E 11"/>
      <sheetName val="E 12"/>
      <sheetName val="E 13"/>
      <sheetName val="E 14"/>
      <sheetName val="F 2"/>
      <sheetName val="F 4"/>
      <sheetName val="F 6"/>
      <sheetName val="F 6 (2)"/>
      <sheetName val="F 6 (3)"/>
      <sheetName val="F 6 (4)"/>
      <sheetName val="F 7"/>
      <sheetName val="F 8"/>
      <sheetName val="F 10"/>
      <sheetName val="A 2 (I)"/>
      <sheetName val="A 3 (I)"/>
      <sheetName val="B 2 (I)"/>
      <sheetName val="B 3 (I)"/>
      <sheetName val="C 2 S (I)"/>
      <sheetName val="D 1 (I)"/>
      <sheetName val="D 2 (I)"/>
      <sheetName val="E 1 S (I)"/>
      <sheetName val="E 2 S (I)"/>
      <sheetName val="F 6 (I)"/>
      <sheetName val="A 2 (I) ALT"/>
      <sheetName val="A 3 (I) ALT"/>
      <sheetName val="B 2 (I) ALT"/>
      <sheetName val="B 3 (I) ALT"/>
      <sheetName val="C 2 S (I) ALT"/>
      <sheetName val="D 1 (I) ALT"/>
      <sheetName val="D 2 (I) ALT"/>
      <sheetName val="E 1 S (I) ALT"/>
      <sheetName val="E 2 S (I) ALT"/>
      <sheetName val="B 15 (I)"/>
      <sheetName val="C 1 (I)"/>
      <sheetName val="C 5 S (I)"/>
      <sheetName val="AR to MFR"/>
      <sheetName val="Trial Blc"/>
      <sheetName val="O&amp;M per TB"/>
      <sheetName val="12-31-15 Plant Acc Bal_PerAR"/>
      <sheetName val="12-31-15 Depreciation Exp_PerAR"/>
      <sheetName val="Rev  &amp; other exp"/>
      <sheetName val="Other BalSheet Acct_PerAR"/>
      <sheetName val="12-31-15 CIAC Bal &amp; Proj_PerAR"/>
      <sheetName val="O&amp;M"/>
      <sheetName val="12-31-15 CIAC Amort Exp_PerAR"/>
      <sheetName val="Working Capital_PerAR"/>
      <sheetName val="PROFORMA ADJUSTMENTS"/>
      <sheetName val="12 Mo IS"/>
      <sheetName val="IncomeAccountsAllocationPerAR "/>
      <sheetName val="IncomeAccounts_Water BU"/>
      <sheetName val="IncomeAccounts_Sewer BU"/>
      <sheetName val="ADJUSTED MONTHLY FINAL"/>
      <sheetName val="APPENDIX B INC. STAT.ACCT RECON"/>
      <sheetName val="CommonPlant_PerAR"/>
      <sheetName val="Interest Expense Adj_PerAR"/>
      <sheetName val="RateCase&amp;Other Deferred_PerAR"/>
      <sheetName val="Property Taxes"/>
      <sheetName val="AR_F-23"/>
      <sheetName val="C 5 Calculation"/>
      <sheetName val="Rev Requirements Final"/>
      <sheetName val="Rev Requirements Interim ALT"/>
      <sheetName val="Rev Requirements Interim"/>
      <sheetName val="Reuse RateBase"/>
      <sheetName val="REVENUE REQUIREMENTS"/>
      <sheetName val="PROFORMA YEAR"/>
      <sheetName val="INTERIM COST OF CAPITAL"/>
    </sheetNames>
    <sheetDataSet>
      <sheetData sheetId="0"/>
      <sheetData sheetId="1"/>
      <sheetData sheetId="2"/>
      <sheetData sheetId="3"/>
      <sheetData sheetId="4"/>
      <sheetData sheetId="5"/>
      <sheetData sheetId="6"/>
      <sheetData sheetId="7"/>
      <sheetData sheetId="8"/>
      <sheetData sheetId="9"/>
      <sheetData sheetId="10">
        <row r="4">
          <cell r="C4" t="str">
            <v>Page 1 of 1</v>
          </cell>
        </row>
      </sheetData>
      <sheetData sheetId="11"/>
      <sheetData sheetId="12"/>
      <sheetData sheetId="13"/>
      <sheetData sheetId="14"/>
      <sheetData sheetId="15"/>
      <sheetData sheetId="16">
        <row r="18">
          <cell r="P18">
            <v>0</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vmlDrawing" Target="../drawings/vmlDrawing2.vml" /><Relationship Id="rId2"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vmlDrawing" Target="../drawings/vmlDrawing3.vml" /><Relationship Id="rId2" Type="http://schemas.openxmlformats.org/officeDocument/2006/relationships/printerSettings" Target="../printerSettings/printerSettings15.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 standalone="yes"?><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vmlDrawing" Target="../drawings/vmlDrawing1.vml" /><Relationship Id="rId2"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45"/>
  <sheetViews>
    <sheetView workbookViewId="0" topLeftCell="A1"/>
  </sheetViews>
  <sheetFormatPr defaultRowHeight="15"/>
  <cols>
    <col min="1" max="1" width="4.85714285714286" style="664" customWidth="1"/>
    <col min="2" max="2" width="46" style="664" customWidth="1"/>
    <col min="3" max="3" width="9.14285714285714" style="664"/>
    <col min="4" max="4" width="10.5714285714286" style="665" customWidth="1"/>
    <col min="5" max="5" width="32.1428571428571" style="664" customWidth="1"/>
    <col min="6" max="6" width="14.7142857142857" style="664" customWidth="1"/>
    <col min="7" max="7" width="33" style="664" customWidth="1"/>
    <col min="8" max="8" width="14.7142857142857" style="664" customWidth="1"/>
    <col min="9" max="9" width="9.14285714285714" style="665"/>
    <col min="10" max="10" width="9.14285714285714" style="657"/>
    <col min="11" max="256" width="9.14285714285714" style="664"/>
    <col min="257" max="257" width="4.85714285714286" style="664" customWidth="1"/>
    <col min="258" max="258" width="50.5714285714286" style="664" customWidth="1"/>
    <col min="259" max="259" width="9.14285714285714" style="664"/>
    <col min="260" max="260" width="10.5714285714286" style="664" customWidth="1"/>
    <col min="261" max="261" width="32.1428571428571" style="664" customWidth="1"/>
    <col min="262" max="262" width="14.7142857142857" style="664" customWidth="1"/>
    <col min="263" max="263" width="33" style="664" customWidth="1"/>
    <col min="264" max="264" width="14.7142857142857" style="664" customWidth="1"/>
    <col min="265" max="512" width="9.14285714285714" style="664"/>
    <col min="513" max="513" width="4.85714285714286" style="664" customWidth="1"/>
    <col min="514" max="514" width="50.5714285714286" style="664" customWidth="1"/>
    <col min="515" max="515" width="9.14285714285714" style="664"/>
    <col min="516" max="516" width="10.5714285714286" style="664" customWidth="1"/>
    <col min="517" max="517" width="32.1428571428571" style="664" customWidth="1"/>
    <col min="518" max="518" width="14.7142857142857" style="664" customWidth="1"/>
    <col min="519" max="519" width="33" style="664" customWidth="1"/>
    <col min="520" max="520" width="14.7142857142857" style="664" customWidth="1"/>
    <col min="521" max="768" width="9.14285714285714" style="664"/>
    <col min="769" max="769" width="4.85714285714286" style="664" customWidth="1"/>
    <col min="770" max="770" width="50.5714285714286" style="664" customWidth="1"/>
    <col min="771" max="771" width="9.14285714285714" style="664"/>
    <col min="772" max="772" width="10.5714285714286" style="664" customWidth="1"/>
    <col min="773" max="773" width="32.1428571428571" style="664" customWidth="1"/>
    <col min="774" max="774" width="14.7142857142857" style="664" customWidth="1"/>
    <col min="775" max="775" width="33" style="664" customWidth="1"/>
    <col min="776" max="776" width="14.7142857142857" style="664" customWidth="1"/>
    <col min="777" max="1024" width="9.14285714285714" style="664"/>
    <col min="1025" max="1025" width="4.85714285714286" style="664" customWidth="1"/>
    <col min="1026" max="1026" width="50.5714285714286" style="664" customWidth="1"/>
    <col min="1027" max="1027" width="9.14285714285714" style="664"/>
    <col min="1028" max="1028" width="10.5714285714286" style="664" customWidth="1"/>
    <col min="1029" max="1029" width="32.1428571428571" style="664" customWidth="1"/>
    <col min="1030" max="1030" width="14.7142857142857" style="664" customWidth="1"/>
    <col min="1031" max="1031" width="33" style="664" customWidth="1"/>
    <col min="1032" max="1032" width="14.7142857142857" style="664" customWidth="1"/>
    <col min="1033" max="1280" width="9.14285714285714" style="664"/>
    <col min="1281" max="1281" width="4.85714285714286" style="664" customWidth="1"/>
    <col min="1282" max="1282" width="50.5714285714286" style="664" customWidth="1"/>
    <col min="1283" max="1283" width="9.14285714285714" style="664"/>
    <col min="1284" max="1284" width="10.5714285714286" style="664" customWidth="1"/>
    <col min="1285" max="1285" width="32.1428571428571" style="664" customWidth="1"/>
    <col min="1286" max="1286" width="14.7142857142857" style="664" customWidth="1"/>
    <col min="1287" max="1287" width="33" style="664" customWidth="1"/>
    <col min="1288" max="1288" width="14.7142857142857" style="664" customWidth="1"/>
    <col min="1289" max="1536" width="9.14285714285714" style="664"/>
    <col min="1537" max="1537" width="4.85714285714286" style="664" customWidth="1"/>
    <col min="1538" max="1538" width="50.5714285714286" style="664" customWidth="1"/>
    <col min="1539" max="1539" width="9.14285714285714" style="664"/>
    <col min="1540" max="1540" width="10.5714285714286" style="664" customWidth="1"/>
    <col min="1541" max="1541" width="32.1428571428571" style="664" customWidth="1"/>
    <col min="1542" max="1542" width="14.7142857142857" style="664" customWidth="1"/>
    <col min="1543" max="1543" width="33" style="664" customWidth="1"/>
    <col min="1544" max="1544" width="14.7142857142857" style="664" customWidth="1"/>
    <col min="1545" max="1792" width="9.14285714285714" style="664"/>
    <col min="1793" max="1793" width="4.85714285714286" style="664" customWidth="1"/>
    <col min="1794" max="1794" width="50.5714285714286" style="664" customWidth="1"/>
    <col min="1795" max="1795" width="9.14285714285714" style="664"/>
    <col min="1796" max="1796" width="10.5714285714286" style="664" customWidth="1"/>
    <col min="1797" max="1797" width="32.1428571428571" style="664" customWidth="1"/>
    <col min="1798" max="1798" width="14.7142857142857" style="664" customWidth="1"/>
    <col min="1799" max="1799" width="33" style="664" customWidth="1"/>
    <col min="1800" max="1800" width="14.7142857142857" style="664" customWidth="1"/>
    <col min="1801" max="2048" width="9.14285714285714" style="664"/>
    <col min="2049" max="2049" width="4.85714285714286" style="664" customWidth="1"/>
    <col min="2050" max="2050" width="50.5714285714286" style="664" customWidth="1"/>
    <col min="2051" max="2051" width="9.14285714285714" style="664"/>
    <col min="2052" max="2052" width="10.5714285714286" style="664" customWidth="1"/>
    <col min="2053" max="2053" width="32.1428571428571" style="664" customWidth="1"/>
    <col min="2054" max="2054" width="14.7142857142857" style="664" customWidth="1"/>
    <col min="2055" max="2055" width="33" style="664" customWidth="1"/>
    <col min="2056" max="2056" width="14.7142857142857" style="664" customWidth="1"/>
    <col min="2057" max="2304" width="9.14285714285714" style="664"/>
    <col min="2305" max="2305" width="4.85714285714286" style="664" customWidth="1"/>
    <col min="2306" max="2306" width="50.5714285714286" style="664" customWidth="1"/>
    <col min="2307" max="2307" width="9.14285714285714" style="664"/>
    <col min="2308" max="2308" width="10.5714285714286" style="664" customWidth="1"/>
    <col min="2309" max="2309" width="32.1428571428571" style="664" customWidth="1"/>
    <col min="2310" max="2310" width="14.7142857142857" style="664" customWidth="1"/>
    <col min="2311" max="2311" width="33" style="664" customWidth="1"/>
    <col min="2312" max="2312" width="14.7142857142857" style="664" customWidth="1"/>
    <col min="2313" max="2560" width="9.14285714285714" style="664"/>
    <col min="2561" max="2561" width="4.85714285714286" style="664" customWidth="1"/>
    <col min="2562" max="2562" width="50.5714285714286" style="664" customWidth="1"/>
    <col min="2563" max="2563" width="9.14285714285714" style="664"/>
    <col min="2564" max="2564" width="10.5714285714286" style="664" customWidth="1"/>
    <col min="2565" max="2565" width="32.1428571428571" style="664" customWidth="1"/>
    <col min="2566" max="2566" width="14.7142857142857" style="664" customWidth="1"/>
    <col min="2567" max="2567" width="33" style="664" customWidth="1"/>
    <col min="2568" max="2568" width="14.7142857142857" style="664" customWidth="1"/>
    <col min="2569" max="2816" width="9.14285714285714" style="664"/>
    <col min="2817" max="2817" width="4.85714285714286" style="664" customWidth="1"/>
    <col min="2818" max="2818" width="50.5714285714286" style="664" customWidth="1"/>
    <col min="2819" max="2819" width="9.14285714285714" style="664"/>
    <col min="2820" max="2820" width="10.5714285714286" style="664" customWidth="1"/>
    <col min="2821" max="2821" width="32.1428571428571" style="664" customWidth="1"/>
    <col min="2822" max="2822" width="14.7142857142857" style="664" customWidth="1"/>
    <col min="2823" max="2823" width="33" style="664" customWidth="1"/>
    <col min="2824" max="2824" width="14.7142857142857" style="664" customWidth="1"/>
    <col min="2825" max="3072" width="9.14285714285714" style="664"/>
    <col min="3073" max="3073" width="4.85714285714286" style="664" customWidth="1"/>
    <col min="3074" max="3074" width="50.5714285714286" style="664" customWidth="1"/>
    <col min="3075" max="3075" width="9.14285714285714" style="664"/>
    <col min="3076" max="3076" width="10.5714285714286" style="664" customWidth="1"/>
    <col min="3077" max="3077" width="32.1428571428571" style="664" customWidth="1"/>
    <col min="3078" max="3078" width="14.7142857142857" style="664" customWidth="1"/>
    <col min="3079" max="3079" width="33" style="664" customWidth="1"/>
    <col min="3080" max="3080" width="14.7142857142857" style="664" customWidth="1"/>
    <col min="3081" max="3328" width="9.14285714285714" style="664"/>
    <col min="3329" max="3329" width="4.85714285714286" style="664" customWidth="1"/>
    <col min="3330" max="3330" width="50.5714285714286" style="664" customWidth="1"/>
    <col min="3331" max="3331" width="9.14285714285714" style="664"/>
    <col min="3332" max="3332" width="10.5714285714286" style="664" customWidth="1"/>
    <col min="3333" max="3333" width="32.1428571428571" style="664" customWidth="1"/>
    <col min="3334" max="3334" width="14.7142857142857" style="664" customWidth="1"/>
    <col min="3335" max="3335" width="33" style="664" customWidth="1"/>
    <col min="3336" max="3336" width="14.7142857142857" style="664" customWidth="1"/>
    <col min="3337" max="3584" width="9.14285714285714" style="664"/>
    <col min="3585" max="3585" width="4.85714285714286" style="664" customWidth="1"/>
    <col min="3586" max="3586" width="50.5714285714286" style="664" customWidth="1"/>
    <col min="3587" max="3587" width="9.14285714285714" style="664"/>
    <col min="3588" max="3588" width="10.5714285714286" style="664" customWidth="1"/>
    <col min="3589" max="3589" width="32.1428571428571" style="664" customWidth="1"/>
    <col min="3590" max="3590" width="14.7142857142857" style="664" customWidth="1"/>
    <col min="3591" max="3591" width="33" style="664" customWidth="1"/>
    <col min="3592" max="3592" width="14.7142857142857" style="664" customWidth="1"/>
    <col min="3593" max="3840" width="9.14285714285714" style="664"/>
    <col min="3841" max="3841" width="4.85714285714286" style="664" customWidth="1"/>
    <col min="3842" max="3842" width="50.5714285714286" style="664" customWidth="1"/>
    <col min="3843" max="3843" width="9.14285714285714" style="664"/>
    <col min="3844" max="3844" width="10.5714285714286" style="664" customWidth="1"/>
    <col min="3845" max="3845" width="32.1428571428571" style="664" customWidth="1"/>
    <col min="3846" max="3846" width="14.7142857142857" style="664" customWidth="1"/>
    <col min="3847" max="3847" width="33" style="664" customWidth="1"/>
    <col min="3848" max="3848" width="14.7142857142857" style="664" customWidth="1"/>
    <col min="3849" max="4096" width="9.14285714285714" style="664"/>
    <col min="4097" max="4097" width="4.85714285714286" style="664" customWidth="1"/>
    <col min="4098" max="4098" width="50.5714285714286" style="664" customWidth="1"/>
    <col min="4099" max="4099" width="9.14285714285714" style="664"/>
    <col min="4100" max="4100" width="10.5714285714286" style="664" customWidth="1"/>
    <col min="4101" max="4101" width="32.1428571428571" style="664" customWidth="1"/>
    <col min="4102" max="4102" width="14.7142857142857" style="664" customWidth="1"/>
    <col min="4103" max="4103" width="33" style="664" customWidth="1"/>
    <col min="4104" max="4104" width="14.7142857142857" style="664" customWidth="1"/>
    <col min="4105" max="4352" width="9.14285714285714" style="664"/>
    <col min="4353" max="4353" width="4.85714285714286" style="664" customWidth="1"/>
    <col min="4354" max="4354" width="50.5714285714286" style="664" customWidth="1"/>
    <col min="4355" max="4355" width="9.14285714285714" style="664"/>
    <col min="4356" max="4356" width="10.5714285714286" style="664" customWidth="1"/>
    <col min="4357" max="4357" width="32.1428571428571" style="664" customWidth="1"/>
    <col min="4358" max="4358" width="14.7142857142857" style="664" customWidth="1"/>
    <col min="4359" max="4359" width="33" style="664" customWidth="1"/>
    <col min="4360" max="4360" width="14.7142857142857" style="664" customWidth="1"/>
    <col min="4361" max="4608" width="9.14285714285714" style="664"/>
    <col min="4609" max="4609" width="4.85714285714286" style="664" customWidth="1"/>
    <col min="4610" max="4610" width="50.5714285714286" style="664" customWidth="1"/>
    <col min="4611" max="4611" width="9.14285714285714" style="664"/>
    <col min="4612" max="4612" width="10.5714285714286" style="664" customWidth="1"/>
    <col min="4613" max="4613" width="32.1428571428571" style="664" customWidth="1"/>
    <col min="4614" max="4614" width="14.7142857142857" style="664" customWidth="1"/>
    <col min="4615" max="4615" width="33" style="664" customWidth="1"/>
    <col min="4616" max="4616" width="14.7142857142857" style="664" customWidth="1"/>
    <col min="4617" max="4864" width="9.14285714285714" style="664"/>
    <col min="4865" max="4865" width="4.85714285714286" style="664" customWidth="1"/>
    <col min="4866" max="4866" width="50.5714285714286" style="664" customWidth="1"/>
    <col min="4867" max="4867" width="9.14285714285714" style="664"/>
    <col min="4868" max="4868" width="10.5714285714286" style="664" customWidth="1"/>
    <col min="4869" max="4869" width="32.1428571428571" style="664" customWidth="1"/>
    <col min="4870" max="4870" width="14.7142857142857" style="664" customWidth="1"/>
    <col min="4871" max="4871" width="33" style="664" customWidth="1"/>
    <col min="4872" max="4872" width="14.7142857142857" style="664" customWidth="1"/>
    <col min="4873" max="5120" width="9.14285714285714" style="664"/>
    <col min="5121" max="5121" width="4.85714285714286" style="664" customWidth="1"/>
    <col min="5122" max="5122" width="50.5714285714286" style="664" customWidth="1"/>
    <col min="5123" max="5123" width="9.14285714285714" style="664"/>
    <col min="5124" max="5124" width="10.5714285714286" style="664" customWidth="1"/>
    <col min="5125" max="5125" width="32.1428571428571" style="664" customWidth="1"/>
    <col min="5126" max="5126" width="14.7142857142857" style="664" customWidth="1"/>
    <col min="5127" max="5127" width="33" style="664" customWidth="1"/>
    <col min="5128" max="5128" width="14.7142857142857" style="664" customWidth="1"/>
    <col min="5129" max="5376" width="9.14285714285714" style="664"/>
    <col min="5377" max="5377" width="4.85714285714286" style="664" customWidth="1"/>
    <col min="5378" max="5378" width="50.5714285714286" style="664" customWidth="1"/>
    <col min="5379" max="5379" width="9.14285714285714" style="664"/>
    <col min="5380" max="5380" width="10.5714285714286" style="664" customWidth="1"/>
    <col min="5381" max="5381" width="32.1428571428571" style="664" customWidth="1"/>
    <col min="5382" max="5382" width="14.7142857142857" style="664" customWidth="1"/>
    <col min="5383" max="5383" width="33" style="664" customWidth="1"/>
    <col min="5384" max="5384" width="14.7142857142857" style="664" customWidth="1"/>
    <col min="5385" max="5632" width="9.14285714285714" style="664"/>
    <col min="5633" max="5633" width="4.85714285714286" style="664" customWidth="1"/>
    <col min="5634" max="5634" width="50.5714285714286" style="664" customWidth="1"/>
    <col min="5635" max="5635" width="9.14285714285714" style="664"/>
    <col min="5636" max="5636" width="10.5714285714286" style="664" customWidth="1"/>
    <col min="5637" max="5637" width="32.1428571428571" style="664" customWidth="1"/>
    <col min="5638" max="5638" width="14.7142857142857" style="664" customWidth="1"/>
    <col min="5639" max="5639" width="33" style="664" customWidth="1"/>
    <col min="5640" max="5640" width="14.7142857142857" style="664" customWidth="1"/>
    <col min="5641" max="5888" width="9.14285714285714" style="664"/>
    <col min="5889" max="5889" width="4.85714285714286" style="664" customWidth="1"/>
    <col min="5890" max="5890" width="50.5714285714286" style="664" customWidth="1"/>
    <col min="5891" max="5891" width="9.14285714285714" style="664"/>
    <col min="5892" max="5892" width="10.5714285714286" style="664" customWidth="1"/>
    <col min="5893" max="5893" width="32.1428571428571" style="664" customWidth="1"/>
    <col min="5894" max="5894" width="14.7142857142857" style="664" customWidth="1"/>
    <col min="5895" max="5895" width="33" style="664" customWidth="1"/>
    <col min="5896" max="5896" width="14.7142857142857" style="664" customWidth="1"/>
    <col min="5897" max="6144" width="9.14285714285714" style="664"/>
    <col min="6145" max="6145" width="4.85714285714286" style="664" customWidth="1"/>
    <col min="6146" max="6146" width="50.5714285714286" style="664" customWidth="1"/>
    <col min="6147" max="6147" width="9.14285714285714" style="664"/>
    <col min="6148" max="6148" width="10.5714285714286" style="664" customWidth="1"/>
    <col min="6149" max="6149" width="32.1428571428571" style="664" customWidth="1"/>
    <col min="6150" max="6150" width="14.7142857142857" style="664" customWidth="1"/>
    <col min="6151" max="6151" width="33" style="664" customWidth="1"/>
    <col min="6152" max="6152" width="14.7142857142857" style="664" customWidth="1"/>
    <col min="6153" max="6400" width="9.14285714285714" style="664"/>
    <col min="6401" max="6401" width="4.85714285714286" style="664" customWidth="1"/>
    <col min="6402" max="6402" width="50.5714285714286" style="664" customWidth="1"/>
    <col min="6403" max="6403" width="9.14285714285714" style="664"/>
    <col min="6404" max="6404" width="10.5714285714286" style="664" customWidth="1"/>
    <col min="6405" max="6405" width="32.1428571428571" style="664" customWidth="1"/>
    <col min="6406" max="6406" width="14.7142857142857" style="664" customWidth="1"/>
    <col min="6407" max="6407" width="33" style="664" customWidth="1"/>
    <col min="6408" max="6408" width="14.7142857142857" style="664" customWidth="1"/>
    <col min="6409" max="6656" width="9.14285714285714" style="664"/>
    <col min="6657" max="6657" width="4.85714285714286" style="664" customWidth="1"/>
    <col min="6658" max="6658" width="50.5714285714286" style="664" customWidth="1"/>
    <col min="6659" max="6659" width="9.14285714285714" style="664"/>
    <col min="6660" max="6660" width="10.5714285714286" style="664" customWidth="1"/>
    <col min="6661" max="6661" width="32.1428571428571" style="664" customWidth="1"/>
    <col min="6662" max="6662" width="14.7142857142857" style="664" customWidth="1"/>
    <col min="6663" max="6663" width="33" style="664" customWidth="1"/>
    <col min="6664" max="6664" width="14.7142857142857" style="664" customWidth="1"/>
    <col min="6665" max="6912" width="9.14285714285714" style="664"/>
    <col min="6913" max="6913" width="4.85714285714286" style="664" customWidth="1"/>
    <col min="6914" max="6914" width="50.5714285714286" style="664" customWidth="1"/>
    <col min="6915" max="6915" width="9.14285714285714" style="664"/>
    <col min="6916" max="6916" width="10.5714285714286" style="664" customWidth="1"/>
    <col min="6917" max="6917" width="32.1428571428571" style="664" customWidth="1"/>
    <col min="6918" max="6918" width="14.7142857142857" style="664" customWidth="1"/>
    <col min="6919" max="6919" width="33" style="664" customWidth="1"/>
    <col min="6920" max="6920" width="14.7142857142857" style="664" customWidth="1"/>
    <col min="6921" max="7168" width="9.14285714285714" style="664"/>
    <col min="7169" max="7169" width="4.85714285714286" style="664" customWidth="1"/>
    <col min="7170" max="7170" width="50.5714285714286" style="664" customWidth="1"/>
    <col min="7171" max="7171" width="9.14285714285714" style="664"/>
    <col min="7172" max="7172" width="10.5714285714286" style="664" customWidth="1"/>
    <col min="7173" max="7173" width="32.1428571428571" style="664" customWidth="1"/>
    <col min="7174" max="7174" width="14.7142857142857" style="664" customWidth="1"/>
    <col min="7175" max="7175" width="33" style="664" customWidth="1"/>
    <col min="7176" max="7176" width="14.7142857142857" style="664" customWidth="1"/>
    <col min="7177" max="7424" width="9.14285714285714" style="664"/>
    <col min="7425" max="7425" width="4.85714285714286" style="664" customWidth="1"/>
    <col min="7426" max="7426" width="50.5714285714286" style="664" customWidth="1"/>
    <col min="7427" max="7427" width="9.14285714285714" style="664"/>
    <col min="7428" max="7428" width="10.5714285714286" style="664" customWidth="1"/>
    <col min="7429" max="7429" width="32.1428571428571" style="664" customWidth="1"/>
    <col min="7430" max="7430" width="14.7142857142857" style="664" customWidth="1"/>
    <col min="7431" max="7431" width="33" style="664" customWidth="1"/>
    <col min="7432" max="7432" width="14.7142857142857" style="664" customWidth="1"/>
    <col min="7433" max="7680" width="9.14285714285714" style="664"/>
    <col min="7681" max="7681" width="4.85714285714286" style="664" customWidth="1"/>
    <col min="7682" max="7682" width="50.5714285714286" style="664" customWidth="1"/>
    <col min="7683" max="7683" width="9.14285714285714" style="664"/>
    <col min="7684" max="7684" width="10.5714285714286" style="664" customWidth="1"/>
    <col min="7685" max="7685" width="32.1428571428571" style="664" customWidth="1"/>
    <col min="7686" max="7686" width="14.7142857142857" style="664" customWidth="1"/>
    <col min="7687" max="7687" width="33" style="664" customWidth="1"/>
    <col min="7688" max="7688" width="14.7142857142857" style="664" customWidth="1"/>
    <col min="7689" max="7936" width="9.14285714285714" style="664"/>
    <col min="7937" max="7937" width="4.85714285714286" style="664" customWidth="1"/>
    <col min="7938" max="7938" width="50.5714285714286" style="664" customWidth="1"/>
    <col min="7939" max="7939" width="9.14285714285714" style="664"/>
    <col min="7940" max="7940" width="10.5714285714286" style="664" customWidth="1"/>
    <col min="7941" max="7941" width="32.1428571428571" style="664" customWidth="1"/>
    <col min="7942" max="7942" width="14.7142857142857" style="664" customWidth="1"/>
    <col min="7943" max="7943" width="33" style="664" customWidth="1"/>
    <col min="7944" max="7944" width="14.7142857142857" style="664" customWidth="1"/>
    <col min="7945" max="8192" width="9.14285714285714" style="664"/>
    <col min="8193" max="8193" width="4.85714285714286" style="664" customWidth="1"/>
    <col min="8194" max="8194" width="50.5714285714286" style="664" customWidth="1"/>
    <col min="8195" max="8195" width="9.14285714285714" style="664"/>
    <col min="8196" max="8196" width="10.5714285714286" style="664" customWidth="1"/>
    <col min="8197" max="8197" width="32.1428571428571" style="664" customWidth="1"/>
    <col min="8198" max="8198" width="14.7142857142857" style="664" customWidth="1"/>
    <col min="8199" max="8199" width="33" style="664" customWidth="1"/>
    <col min="8200" max="8200" width="14.7142857142857" style="664" customWidth="1"/>
    <col min="8201" max="8448" width="9.14285714285714" style="664"/>
    <col min="8449" max="8449" width="4.85714285714286" style="664" customWidth="1"/>
    <col min="8450" max="8450" width="50.5714285714286" style="664" customWidth="1"/>
    <col min="8451" max="8451" width="9.14285714285714" style="664"/>
    <col min="8452" max="8452" width="10.5714285714286" style="664" customWidth="1"/>
    <col min="8453" max="8453" width="32.1428571428571" style="664" customWidth="1"/>
    <col min="8454" max="8454" width="14.7142857142857" style="664" customWidth="1"/>
    <col min="8455" max="8455" width="33" style="664" customWidth="1"/>
    <col min="8456" max="8456" width="14.7142857142857" style="664" customWidth="1"/>
    <col min="8457" max="8704" width="9.14285714285714" style="664"/>
    <col min="8705" max="8705" width="4.85714285714286" style="664" customWidth="1"/>
    <col min="8706" max="8706" width="50.5714285714286" style="664" customWidth="1"/>
    <col min="8707" max="8707" width="9.14285714285714" style="664"/>
    <col min="8708" max="8708" width="10.5714285714286" style="664" customWidth="1"/>
    <col min="8709" max="8709" width="32.1428571428571" style="664" customWidth="1"/>
    <col min="8710" max="8710" width="14.7142857142857" style="664" customWidth="1"/>
    <col min="8711" max="8711" width="33" style="664" customWidth="1"/>
    <col min="8712" max="8712" width="14.7142857142857" style="664" customWidth="1"/>
    <col min="8713" max="8960" width="9.14285714285714" style="664"/>
    <col min="8961" max="8961" width="4.85714285714286" style="664" customWidth="1"/>
    <col min="8962" max="8962" width="50.5714285714286" style="664" customWidth="1"/>
    <col min="8963" max="8963" width="9.14285714285714" style="664"/>
    <col min="8964" max="8964" width="10.5714285714286" style="664" customWidth="1"/>
    <col min="8965" max="8965" width="32.1428571428571" style="664" customWidth="1"/>
    <col min="8966" max="8966" width="14.7142857142857" style="664" customWidth="1"/>
    <col min="8967" max="8967" width="33" style="664" customWidth="1"/>
    <col min="8968" max="8968" width="14.7142857142857" style="664" customWidth="1"/>
    <col min="8969" max="9216" width="9.14285714285714" style="664"/>
    <col min="9217" max="9217" width="4.85714285714286" style="664" customWidth="1"/>
    <col min="9218" max="9218" width="50.5714285714286" style="664" customWidth="1"/>
    <col min="9219" max="9219" width="9.14285714285714" style="664"/>
    <col min="9220" max="9220" width="10.5714285714286" style="664" customWidth="1"/>
    <col min="9221" max="9221" width="32.1428571428571" style="664" customWidth="1"/>
    <col min="9222" max="9222" width="14.7142857142857" style="664" customWidth="1"/>
    <col min="9223" max="9223" width="33" style="664" customWidth="1"/>
    <col min="9224" max="9224" width="14.7142857142857" style="664" customWidth="1"/>
    <col min="9225" max="9472" width="9.14285714285714" style="664"/>
    <col min="9473" max="9473" width="4.85714285714286" style="664" customWidth="1"/>
    <col min="9474" max="9474" width="50.5714285714286" style="664" customWidth="1"/>
    <col min="9475" max="9475" width="9.14285714285714" style="664"/>
    <col min="9476" max="9476" width="10.5714285714286" style="664" customWidth="1"/>
    <col min="9477" max="9477" width="32.1428571428571" style="664" customWidth="1"/>
    <col min="9478" max="9478" width="14.7142857142857" style="664" customWidth="1"/>
    <col min="9479" max="9479" width="33" style="664" customWidth="1"/>
    <col min="9480" max="9480" width="14.7142857142857" style="664" customWidth="1"/>
    <col min="9481" max="9728" width="9.14285714285714" style="664"/>
    <col min="9729" max="9729" width="4.85714285714286" style="664" customWidth="1"/>
    <col min="9730" max="9730" width="50.5714285714286" style="664" customWidth="1"/>
    <col min="9731" max="9731" width="9.14285714285714" style="664"/>
    <col min="9732" max="9732" width="10.5714285714286" style="664" customWidth="1"/>
    <col min="9733" max="9733" width="32.1428571428571" style="664" customWidth="1"/>
    <col min="9734" max="9734" width="14.7142857142857" style="664" customWidth="1"/>
    <col min="9735" max="9735" width="33" style="664" customWidth="1"/>
    <col min="9736" max="9736" width="14.7142857142857" style="664" customWidth="1"/>
    <col min="9737" max="9984" width="9.14285714285714" style="664"/>
    <col min="9985" max="9985" width="4.85714285714286" style="664" customWidth="1"/>
    <col min="9986" max="9986" width="50.5714285714286" style="664" customWidth="1"/>
    <col min="9987" max="9987" width="9.14285714285714" style="664"/>
    <col min="9988" max="9988" width="10.5714285714286" style="664" customWidth="1"/>
    <col min="9989" max="9989" width="32.1428571428571" style="664" customWidth="1"/>
    <col min="9990" max="9990" width="14.7142857142857" style="664" customWidth="1"/>
    <col min="9991" max="9991" width="33" style="664" customWidth="1"/>
    <col min="9992" max="9992" width="14.7142857142857" style="664" customWidth="1"/>
    <col min="9993" max="10240" width="9.14285714285714" style="664"/>
    <col min="10241" max="10241" width="4.85714285714286" style="664" customWidth="1"/>
    <col min="10242" max="10242" width="50.5714285714286" style="664" customWidth="1"/>
    <col min="10243" max="10243" width="9.14285714285714" style="664"/>
    <col min="10244" max="10244" width="10.5714285714286" style="664" customWidth="1"/>
    <col min="10245" max="10245" width="32.1428571428571" style="664" customWidth="1"/>
    <col min="10246" max="10246" width="14.7142857142857" style="664" customWidth="1"/>
    <col min="10247" max="10247" width="33" style="664" customWidth="1"/>
    <col min="10248" max="10248" width="14.7142857142857" style="664" customWidth="1"/>
    <col min="10249" max="10496" width="9.14285714285714" style="664"/>
    <col min="10497" max="10497" width="4.85714285714286" style="664" customWidth="1"/>
    <col min="10498" max="10498" width="50.5714285714286" style="664" customWidth="1"/>
    <col min="10499" max="10499" width="9.14285714285714" style="664"/>
    <col min="10500" max="10500" width="10.5714285714286" style="664" customWidth="1"/>
    <col min="10501" max="10501" width="32.1428571428571" style="664" customWidth="1"/>
    <col min="10502" max="10502" width="14.7142857142857" style="664" customWidth="1"/>
    <col min="10503" max="10503" width="33" style="664" customWidth="1"/>
    <col min="10504" max="10504" width="14.7142857142857" style="664" customWidth="1"/>
    <col min="10505" max="10752" width="9.14285714285714" style="664"/>
    <col min="10753" max="10753" width="4.85714285714286" style="664" customWidth="1"/>
    <col min="10754" max="10754" width="50.5714285714286" style="664" customWidth="1"/>
    <col min="10755" max="10755" width="9.14285714285714" style="664"/>
    <col min="10756" max="10756" width="10.5714285714286" style="664" customWidth="1"/>
    <col min="10757" max="10757" width="32.1428571428571" style="664" customWidth="1"/>
    <col min="10758" max="10758" width="14.7142857142857" style="664" customWidth="1"/>
    <col min="10759" max="10759" width="33" style="664" customWidth="1"/>
    <col min="10760" max="10760" width="14.7142857142857" style="664" customWidth="1"/>
    <col min="10761" max="11008" width="9.14285714285714" style="664"/>
    <col min="11009" max="11009" width="4.85714285714286" style="664" customWidth="1"/>
    <col min="11010" max="11010" width="50.5714285714286" style="664" customWidth="1"/>
    <col min="11011" max="11011" width="9.14285714285714" style="664"/>
    <col min="11012" max="11012" width="10.5714285714286" style="664" customWidth="1"/>
    <col min="11013" max="11013" width="32.1428571428571" style="664" customWidth="1"/>
    <col min="11014" max="11014" width="14.7142857142857" style="664" customWidth="1"/>
    <col min="11015" max="11015" width="33" style="664" customWidth="1"/>
    <col min="11016" max="11016" width="14.7142857142857" style="664" customWidth="1"/>
    <col min="11017" max="11264" width="9.14285714285714" style="664"/>
    <col min="11265" max="11265" width="4.85714285714286" style="664" customWidth="1"/>
    <col min="11266" max="11266" width="50.5714285714286" style="664" customWidth="1"/>
    <col min="11267" max="11267" width="9.14285714285714" style="664"/>
    <col min="11268" max="11268" width="10.5714285714286" style="664" customWidth="1"/>
    <col min="11269" max="11269" width="32.1428571428571" style="664" customWidth="1"/>
    <col min="11270" max="11270" width="14.7142857142857" style="664" customWidth="1"/>
    <col min="11271" max="11271" width="33" style="664" customWidth="1"/>
    <col min="11272" max="11272" width="14.7142857142857" style="664" customWidth="1"/>
    <col min="11273" max="11520" width="9.14285714285714" style="664"/>
    <col min="11521" max="11521" width="4.85714285714286" style="664" customWidth="1"/>
    <col min="11522" max="11522" width="50.5714285714286" style="664" customWidth="1"/>
    <col min="11523" max="11523" width="9.14285714285714" style="664"/>
    <col min="11524" max="11524" width="10.5714285714286" style="664" customWidth="1"/>
    <col min="11525" max="11525" width="32.1428571428571" style="664" customWidth="1"/>
    <col min="11526" max="11526" width="14.7142857142857" style="664" customWidth="1"/>
    <col min="11527" max="11527" width="33" style="664" customWidth="1"/>
    <col min="11528" max="11528" width="14.7142857142857" style="664" customWidth="1"/>
    <col min="11529" max="11776" width="9.14285714285714" style="664"/>
    <col min="11777" max="11777" width="4.85714285714286" style="664" customWidth="1"/>
    <col min="11778" max="11778" width="50.5714285714286" style="664" customWidth="1"/>
    <col min="11779" max="11779" width="9.14285714285714" style="664"/>
    <col min="11780" max="11780" width="10.5714285714286" style="664" customWidth="1"/>
    <col min="11781" max="11781" width="32.1428571428571" style="664" customWidth="1"/>
    <col min="11782" max="11782" width="14.7142857142857" style="664" customWidth="1"/>
    <col min="11783" max="11783" width="33" style="664" customWidth="1"/>
    <col min="11784" max="11784" width="14.7142857142857" style="664" customWidth="1"/>
    <col min="11785" max="12032" width="9.14285714285714" style="664"/>
    <col min="12033" max="12033" width="4.85714285714286" style="664" customWidth="1"/>
    <col min="12034" max="12034" width="50.5714285714286" style="664" customWidth="1"/>
    <col min="12035" max="12035" width="9.14285714285714" style="664"/>
    <col min="12036" max="12036" width="10.5714285714286" style="664" customWidth="1"/>
    <col min="12037" max="12037" width="32.1428571428571" style="664" customWidth="1"/>
    <col min="12038" max="12038" width="14.7142857142857" style="664" customWidth="1"/>
    <col min="12039" max="12039" width="33" style="664" customWidth="1"/>
    <col min="12040" max="12040" width="14.7142857142857" style="664" customWidth="1"/>
    <col min="12041" max="12288" width="9.14285714285714" style="664"/>
    <col min="12289" max="12289" width="4.85714285714286" style="664" customWidth="1"/>
    <col min="12290" max="12290" width="50.5714285714286" style="664" customWidth="1"/>
    <col min="12291" max="12291" width="9.14285714285714" style="664"/>
    <col min="12292" max="12292" width="10.5714285714286" style="664" customWidth="1"/>
    <col min="12293" max="12293" width="32.1428571428571" style="664" customWidth="1"/>
    <col min="12294" max="12294" width="14.7142857142857" style="664" customWidth="1"/>
    <col min="12295" max="12295" width="33" style="664" customWidth="1"/>
    <col min="12296" max="12296" width="14.7142857142857" style="664" customWidth="1"/>
    <col min="12297" max="12544" width="9.14285714285714" style="664"/>
    <col min="12545" max="12545" width="4.85714285714286" style="664" customWidth="1"/>
    <col min="12546" max="12546" width="50.5714285714286" style="664" customWidth="1"/>
    <col min="12547" max="12547" width="9.14285714285714" style="664"/>
    <col min="12548" max="12548" width="10.5714285714286" style="664" customWidth="1"/>
    <col min="12549" max="12549" width="32.1428571428571" style="664" customWidth="1"/>
    <col min="12550" max="12550" width="14.7142857142857" style="664" customWidth="1"/>
    <col min="12551" max="12551" width="33" style="664" customWidth="1"/>
    <col min="12552" max="12552" width="14.7142857142857" style="664" customWidth="1"/>
    <col min="12553" max="12800" width="9.14285714285714" style="664"/>
    <col min="12801" max="12801" width="4.85714285714286" style="664" customWidth="1"/>
    <col min="12802" max="12802" width="50.5714285714286" style="664" customWidth="1"/>
    <col min="12803" max="12803" width="9.14285714285714" style="664"/>
    <col min="12804" max="12804" width="10.5714285714286" style="664" customWidth="1"/>
    <col min="12805" max="12805" width="32.1428571428571" style="664" customWidth="1"/>
    <col min="12806" max="12806" width="14.7142857142857" style="664" customWidth="1"/>
    <col min="12807" max="12807" width="33" style="664" customWidth="1"/>
    <col min="12808" max="12808" width="14.7142857142857" style="664" customWidth="1"/>
    <col min="12809" max="13056" width="9.14285714285714" style="664"/>
    <col min="13057" max="13057" width="4.85714285714286" style="664" customWidth="1"/>
    <col min="13058" max="13058" width="50.5714285714286" style="664" customWidth="1"/>
    <col min="13059" max="13059" width="9.14285714285714" style="664"/>
    <col min="13060" max="13060" width="10.5714285714286" style="664" customWidth="1"/>
    <col min="13061" max="13061" width="32.1428571428571" style="664" customWidth="1"/>
    <col min="13062" max="13062" width="14.7142857142857" style="664" customWidth="1"/>
    <col min="13063" max="13063" width="33" style="664" customWidth="1"/>
    <col min="13064" max="13064" width="14.7142857142857" style="664" customWidth="1"/>
    <col min="13065" max="13312" width="9.14285714285714" style="664"/>
    <col min="13313" max="13313" width="4.85714285714286" style="664" customWidth="1"/>
    <col min="13314" max="13314" width="50.5714285714286" style="664" customWidth="1"/>
    <col min="13315" max="13315" width="9.14285714285714" style="664"/>
    <col min="13316" max="13316" width="10.5714285714286" style="664" customWidth="1"/>
    <col min="13317" max="13317" width="32.1428571428571" style="664" customWidth="1"/>
    <col min="13318" max="13318" width="14.7142857142857" style="664" customWidth="1"/>
    <col min="13319" max="13319" width="33" style="664" customWidth="1"/>
    <col min="13320" max="13320" width="14.7142857142857" style="664" customWidth="1"/>
    <col min="13321" max="13568" width="9.14285714285714" style="664"/>
    <col min="13569" max="13569" width="4.85714285714286" style="664" customWidth="1"/>
    <col min="13570" max="13570" width="50.5714285714286" style="664" customWidth="1"/>
    <col min="13571" max="13571" width="9.14285714285714" style="664"/>
    <col min="13572" max="13572" width="10.5714285714286" style="664" customWidth="1"/>
    <col min="13573" max="13573" width="32.1428571428571" style="664" customWidth="1"/>
    <col min="13574" max="13574" width="14.7142857142857" style="664" customWidth="1"/>
    <col min="13575" max="13575" width="33" style="664" customWidth="1"/>
    <col min="13576" max="13576" width="14.7142857142857" style="664" customWidth="1"/>
    <col min="13577" max="13824" width="9.14285714285714" style="664"/>
    <col min="13825" max="13825" width="4.85714285714286" style="664" customWidth="1"/>
    <col min="13826" max="13826" width="50.5714285714286" style="664" customWidth="1"/>
    <col min="13827" max="13827" width="9.14285714285714" style="664"/>
    <col min="13828" max="13828" width="10.5714285714286" style="664" customWidth="1"/>
    <col min="13829" max="13829" width="32.1428571428571" style="664" customWidth="1"/>
    <col min="13830" max="13830" width="14.7142857142857" style="664" customWidth="1"/>
    <col min="13831" max="13831" width="33" style="664" customWidth="1"/>
    <col min="13832" max="13832" width="14.7142857142857" style="664" customWidth="1"/>
    <col min="13833" max="14080" width="9.14285714285714" style="664"/>
    <col min="14081" max="14081" width="4.85714285714286" style="664" customWidth="1"/>
    <col min="14082" max="14082" width="50.5714285714286" style="664" customWidth="1"/>
    <col min="14083" max="14083" width="9.14285714285714" style="664"/>
    <col min="14084" max="14084" width="10.5714285714286" style="664" customWidth="1"/>
    <col min="14085" max="14085" width="32.1428571428571" style="664" customWidth="1"/>
    <col min="14086" max="14086" width="14.7142857142857" style="664" customWidth="1"/>
    <col min="14087" max="14087" width="33" style="664" customWidth="1"/>
    <col min="14088" max="14088" width="14.7142857142857" style="664" customWidth="1"/>
    <col min="14089" max="14336" width="9.14285714285714" style="664"/>
    <col min="14337" max="14337" width="4.85714285714286" style="664" customWidth="1"/>
    <col min="14338" max="14338" width="50.5714285714286" style="664" customWidth="1"/>
    <col min="14339" max="14339" width="9.14285714285714" style="664"/>
    <col min="14340" max="14340" width="10.5714285714286" style="664" customWidth="1"/>
    <col min="14341" max="14341" width="32.1428571428571" style="664" customWidth="1"/>
    <col min="14342" max="14342" width="14.7142857142857" style="664" customWidth="1"/>
    <col min="14343" max="14343" width="33" style="664" customWidth="1"/>
    <col min="14344" max="14344" width="14.7142857142857" style="664" customWidth="1"/>
    <col min="14345" max="14592" width="9.14285714285714" style="664"/>
    <col min="14593" max="14593" width="4.85714285714286" style="664" customWidth="1"/>
    <col min="14594" max="14594" width="50.5714285714286" style="664" customWidth="1"/>
    <col min="14595" max="14595" width="9.14285714285714" style="664"/>
    <col min="14596" max="14596" width="10.5714285714286" style="664" customWidth="1"/>
    <col min="14597" max="14597" width="32.1428571428571" style="664" customWidth="1"/>
    <col min="14598" max="14598" width="14.7142857142857" style="664" customWidth="1"/>
    <col min="14599" max="14599" width="33" style="664" customWidth="1"/>
    <col min="14600" max="14600" width="14.7142857142857" style="664" customWidth="1"/>
    <col min="14601" max="14848" width="9.14285714285714" style="664"/>
    <col min="14849" max="14849" width="4.85714285714286" style="664" customWidth="1"/>
    <col min="14850" max="14850" width="50.5714285714286" style="664" customWidth="1"/>
    <col min="14851" max="14851" width="9.14285714285714" style="664"/>
    <col min="14852" max="14852" width="10.5714285714286" style="664" customWidth="1"/>
    <col min="14853" max="14853" width="32.1428571428571" style="664" customWidth="1"/>
    <col min="14854" max="14854" width="14.7142857142857" style="664" customWidth="1"/>
    <col min="14855" max="14855" width="33" style="664" customWidth="1"/>
    <col min="14856" max="14856" width="14.7142857142857" style="664" customWidth="1"/>
    <col min="14857" max="15104" width="9.14285714285714" style="664"/>
    <col min="15105" max="15105" width="4.85714285714286" style="664" customWidth="1"/>
    <col min="15106" max="15106" width="50.5714285714286" style="664" customWidth="1"/>
    <col min="15107" max="15107" width="9.14285714285714" style="664"/>
    <col min="15108" max="15108" width="10.5714285714286" style="664" customWidth="1"/>
    <col min="15109" max="15109" width="32.1428571428571" style="664" customWidth="1"/>
    <col min="15110" max="15110" width="14.7142857142857" style="664" customWidth="1"/>
    <col min="15111" max="15111" width="33" style="664" customWidth="1"/>
    <col min="15112" max="15112" width="14.7142857142857" style="664" customWidth="1"/>
    <col min="15113" max="15360" width="9.14285714285714" style="664"/>
    <col min="15361" max="15361" width="4.85714285714286" style="664" customWidth="1"/>
    <col min="15362" max="15362" width="50.5714285714286" style="664" customWidth="1"/>
    <col min="15363" max="15363" width="9.14285714285714" style="664"/>
    <col min="15364" max="15364" width="10.5714285714286" style="664" customWidth="1"/>
    <col min="15365" max="15365" width="32.1428571428571" style="664" customWidth="1"/>
    <col min="15366" max="15366" width="14.7142857142857" style="664" customWidth="1"/>
    <col min="15367" max="15367" width="33" style="664" customWidth="1"/>
    <col min="15368" max="15368" width="14.7142857142857" style="664" customWidth="1"/>
    <col min="15369" max="15616" width="9.14285714285714" style="664"/>
    <col min="15617" max="15617" width="4.85714285714286" style="664" customWidth="1"/>
    <col min="15618" max="15618" width="50.5714285714286" style="664" customWidth="1"/>
    <col min="15619" max="15619" width="9.14285714285714" style="664"/>
    <col min="15620" max="15620" width="10.5714285714286" style="664" customWidth="1"/>
    <col min="15621" max="15621" width="32.1428571428571" style="664" customWidth="1"/>
    <col min="15622" max="15622" width="14.7142857142857" style="664" customWidth="1"/>
    <col min="15623" max="15623" width="33" style="664" customWidth="1"/>
    <col min="15624" max="15624" width="14.7142857142857" style="664" customWidth="1"/>
    <col min="15625" max="15872" width="9.14285714285714" style="664"/>
    <col min="15873" max="15873" width="4.85714285714286" style="664" customWidth="1"/>
    <col min="15874" max="15874" width="50.5714285714286" style="664" customWidth="1"/>
    <col min="15875" max="15875" width="9.14285714285714" style="664"/>
    <col min="15876" max="15876" width="10.5714285714286" style="664" customWidth="1"/>
    <col min="15877" max="15877" width="32.1428571428571" style="664" customWidth="1"/>
    <col min="15878" max="15878" width="14.7142857142857" style="664" customWidth="1"/>
    <col min="15879" max="15879" width="33" style="664" customWidth="1"/>
    <col min="15880" max="15880" width="14.7142857142857" style="664" customWidth="1"/>
    <col min="15881" max="16128" width="9.14285714285714" style="664"/>
    <col min="16129" max="16129" width="4.85714285714286" style="664" customWidth="1"/>
    <col min="16130" max="16130" width="50.5714285714286" style="664" customWidth="1"/>
    <col min="16131" max="16131" width="9.14285714285714" style="664"/>
    <col min="16132" max="16132" width="10.5714285714286" style="664" customWidth="1"/>
    <col min="16133" max="16133" width="32.1428571428571" style="664" customWidth="1"/>
    <col min="16134" max="16134" width="14.7142857142857" style="664" customWidth="1"/>
    <col min="16135" max="16135" width="33" style="664" customWidth="1"/>
    <col min="16136" max="16136" width="14.7142857142857" style="664" customWidth="1"/>
    <col min="16137" max="16384" width="9.14285714285714" style="664"/>
  </cols>
  <sheetData>
    <row r="1" spans="2:10" ht="15">
      <c r="B1" s="672" t="s">
        <v>591</v>
      </c>
      <c r="C1" s="672"/>
      <c r="D1" s="673"/>
      <c r="E1" s="672"/>
      <c r="F1" s="672"/>
      <c r="H1" s="672" t="s">
        <v>592</v>
      </c>
      <c r="I1" s="673"/>
      <c r="J1" s="674"/>
    </row>
    <row r="2" spans="2:10" ht="15">
      <c r="B2" s="672" t="s">
        <v>593</v>
      </c>
      <c r="C2" s="672"/>
      <c r="D2" s="673"/>
      <c r="E2" s="672"/>
      <c r="F2" s="672"/>
      <c r="G2" s="672"/>
      <c r="H2" s="672"/>
      <c r="I2" s="673"/>
      <c r="J2" s="674"/>
    </row>
    <row r="3" spans="2:10" ht="15">
      <c r="B3" s="672" t="s">
        <v>594</v>
      </c>
      <c r="C3" s="672"/>
      <c r="D3" s="673"/>
      <c r="E3" s="672"/>
      <c r="F3" s="672"/>
      <c r="H3" s="672" t="s">
        <v>595</v>
      </c>
      <c r="I3" s="673"/>
      <c r="J3" s="674"/>
    </row>
    <row r="4" spans="2:10" ht="15">
      <c r="B4" s="672"/>
      <c r="C4" s="672"/>
      <c r="D4" s="673"/>
      <c r="E4" s="672"/>
      <c r="F4" s="672"/>
      <c r="G4" s="672"/>
      <c r="H4" s="672"/>
      <c r="I4" s="673"/>
      <c r="J4" s="674"/>
    </row>
    <row r="5" spans="2:10" ht="15">
      <c r="B5" s="675"/>
      <c r="C5" s="675"/>
      <c r="D5" s="676"/>
      <c r="E5" s="676" t="s">
        <v>596</v>
      </c>
      <c r="F5" s="676" t="s">
        <v>596</v>
      </c>
      <c r="G5" s="676" t="s">
        <v>596</v>
      </c>
      <c r="H5" s="676" t="s">
        <v>596</v>
      </c>
      <c r="I5" s="677"/>
      <c r="J5" s="678"/>
    </row>
    <row r="6" spans="2:10" ht="15">
      <c r="B6" s="672"/>
      <c r="C6" s="676" t="s">
        <v>597</v>
      </c>
      <c r="D6" s="676" t="s">
        <v>598</v>
      </c>
      <c r="E6" s="676" t="s">
        <v>599</v>
      </c>
      <c r="F6" s="676" t="s">
        <v>600</v>
      </c>
      <c r="G6" s="676" t="s">
        <v>601</v>
      </c>
      <c r="H6" s="676" t="s">
        <v>602</v>
      </c>
      <c r="I6" s="676" t="s">
        <v>603</v>
      </c>
      <c r="J6" s="679" t="s">
        <v>604</v>
      </c>
    </row>
    <row r="7" spans="2:10" ht="15">
      <c r="B7" s="672"/>
      <c r="C7" s="676"/>
      <c r="D7" s="676"/>
      <c r="E7" s="676" t="s">
        <v>605</v>
      </c>
      <c r="F7" s="676" t="s">
        <v>605</v>
      </c>
      <c r="G7" s="676" t="s">
        <v>605</v>
      </c>
      <c r="H7" s="676" t="s">
        <v>605</v>
      </c>
      <c r="I7" s="676" t="s">
        <v>606</v>
      </c>
      <c r="J7" s="679" t="s">
        <v>607</v>
      </c>
    </row>
    <row r="8" spans="2:10" ht="15">
      <c r="B8" s="676" t="s">
        <v>608</v>
      </c>
      <c r="C8" s="676"/>
      <c r="D8" s="676"/>
      <c r="E8" s="676"/>
      <c r="F8" s="676"/>
      <c r="G8" s="676"/>
      <c r="H8" s="675"/>
      <c r="I8" s="676"/>
      <c r="J8" s="678"/>
    </row>
    <row r="9" spans="1:10" ht="20.1" customHeight="1">
      <c r="A9" s="680">
        <v>1</v>
      </c>
      <c r="B9" s="675" t="s">
        <v>609</v>
      </c>
      <c r="C9" s="675" t="s">
        <v>610</v>
      </c>
      <c r="D9" s="676" t="s">
        <v>611</v>
      </c>
      <c r="E9" s="681">
        <v>1</v>
      </c>
      <c r="F9" s="681">
        <v>1</v>
      </c>
      <c r="G9" s="681">
        <v>1</v>
      </c>
      <c r="H9" s="681">
        <v>1</v>
      </c>
      <c r="I9" s="682" t="s">
        <v>612</v>
      </c>
      <c r="J9" s="682" t="s">
        <v>612</v>
      </c>
    </row>
    <row r="10" spans="1:10" ht="20.1" customHeight="1">
      <c r="A10" s="680">
        <v>2</v>
      </c>
      <c r="B10" s="675" t="s">
        <v>613</v>
      </c>
      <c r="C10" s="675" t="s">
        <v>614</v>
      </c>
      <c r="D10" s="676" t="s">
        <v>584</v>
      </c>
      <c r="E10" s="682" t="s">
        <v>612</v>
      </c>
      <c r="F10" s="682" t="s">
        <v>612</v>
      </c>
      <c r="G10" s="681">
        <v>1</v>
      </c>
      <c r="H10" s="681">
        <v>1</v>
      </c>
      <c r="I10" s="682" t="s">
        <v>612</v>
      </c>
      <c r="J10" s="682" t="s">
        <v>612</v>
      </c>
    </row>
    <row r="11" spans="1:10" ht="20.1" customHeight="1">
      <c r="A11" s="683" t="s">
        <v>615</v>
      </c>
      <c r="B11" s="684" t="s">
        <v>616</v>
      </c>
      <c r="C11" s="675" t="s">
        <v>614</v>
      </c>
      <c r="D11" s="676" t="s">
        <v>584</v>
      </c>
      <c r="E11" s="685" t="s">
        <v>612</v>
      </c>
      <c r="F11" s="685" t="s">
        <v>612</v>
      </c>
      <c r="G11" s="681">
        <v>1</v>
      </c>
      <c r="H11" s="681">
        <v>1</v>
      </c>
      <c r="I11" s="682" t="s">
        <v>612</v>
      </c>
      <c r="J11" s="682" t="s">
        <v>612</v>
      </c>
    </row>
    <row r="12" spans="1:10" ht="20.1" customHeight="1">
      <c r="A12" s="680">
        <v>3</v>
      </c>
      <c r="B12" s="675" t="s">
        <v>476</v>
      </c>
      <c r="C12" s="675" t="s">
        <v>617</v>
      </c>
      <c r="D12" s="676" t="s">
        <v>611</v>
      </c>
      <c r="E12" s="681">
        <v>1</v>
      </c>
      <c r="F12" s="681">
        <v>1</v>
      </c>
      <c r="G12" s="686">
        <v>1</v>
      </c>
      <c r="H12" s="681">
        <v>1</v>
      </c>
      <c r="I12" s="687" t="s">
        <v>612</v>
      </c>
      <c r="J12" s="687" t="s">
        <v>612</v>
      </c>
    </row>
    <row r="13" spans="1:10" ht="20.1" customHeight="1">
      <c r="A13" s="680">
        <v>4</v>
      </c>
      <c r="B13" s="675" t="s">
        <v>521</v>
      </c>
      <c r="C13" s="675" t="s">
        <v>618</v>
      </c>
      <c r="D13" s="676" t="s">
        <v>611</v>
      </c>
      <c r="E13" s="681">
        <v>1</v>
      </c>
      <c r="F13" s="681">
        <v>1</v>
      </c>
      <c r="G13" s="686">
        <v>1</v>
      </c>
      <c r="H13" s="681">
        <v>1</v>
      </c>
      <c r="I13" s="679">
        <v>0.10</v>
      </c>
      <c r="J13" s="682" t="s">
        <v>612</v>
      </c>
    </row>
    <row r="14" spans="1:10" ht="20.1" customHeight="1">
      <c r="A14" s="680">
        <v>5</v>
      </c>
      <c r="B14" s="675" t="s">
        <v>619</v>
      </c>
      <c r="C14" s="675" t="s">
        <v>620</v>
      </c>
      <c r="D14" s="676" t="s">
        <v>611</v>
      </c>
      <c r="E14" s="681">
        <v>1</v>
      </c>
      <c r="F14" s="681">
        <v>1</v>
      </c>
      <c r="G14" s="688">
        <v>0.72</v>
      </c>
      <c r="H14" s="681">
        <v>1</v>
      </c>
      <c r="I14" s="682" t="s">
        <v>612</v>
      </c>
      <c r="J14" s="682" t="s">
        <v>612</v>
      </c>
    </row>
    <row r="15" spans="1:10" ht="20.1" customHeight="1">
      <c r="A15" s="683" t="s">
        <v>621</v>
      </c>
      <c r="B15" s="675" t="s">
        <v>622</v>
      </c>
      <c r="C15" s="675" t="s">
        <v>620</v>
      </c>
      <c r="D15" s="676" t="s">
        <v>359</v>
      </c>
      <c r="E15" s="681">
        <v>1</v>
      </c>
      <c r="F15" s="681">
        <v>1</v>
      </c>
      <c r="G15" s="685" t="s">
        <v>612</v>
      </c>
      <c r="H15" s="681">
        <v>1</v>
      </c>
      <c r="I15" s="681">
        <v>0.019</v>
      </c>
      <c r="J15" s="682" t="s">
        <v>612</v>
      </c>
    </row>
    <row r="16" spans="1:10" ht="20.1" customHeight="1">
      <c r="A16" s="683" t="s">
        <v>623</v>
      </c>
      <c r="B16" s="675" t="s">
        <v>624</v>
      </c>
      <c r="C16" s="675" t="s">
        <v>620</v>
      </c>
      <c r="D16" s="676" t="s">
        <v>359</v>
      </c>
      <c r="E16" s="681">
        <v>1</v>
      </c>
      <c r="F16" s="681">
        <v>1</v>
      </c>
      <c r="G16" s="682" t="s">
        <v>612</v>
      </c>
      <c r="H16" s="681">
        <v>1</v>
      </c>
      <c r="I16" s="682" t="s">
        <v>612</v>
      </c>
      <c r="J16" s="682" t="s">
        <v>612</v>
      </c>
    </row>
    <row r="17" spans="1:10" ht="20.25" customHeight="1">
      <c r="A17" s="683" t="s">
        <v>625</v>
      </c>
      <c r="B17" s="675" t="s">
        <v>626</v>
      </c>
      <c r="C17" s="675" t="s">
        <v>620</v>
      </c>
      <c r="D17" s="676" t="s">
        <v>584</v>
      </c>
      <c r="E17" s="685" t="s">
        <v>612</v>
      </c>
      <c r="F17" s="685" t="s">
        <v>612</v>
      </c>
      <c r="G17" s="681">
        <v>1</v>
      </c>
      <c r="H17" s="681">
        <v>1</v>
      </c>
      <c r="I17" s="682" t="s">
        <v>612</v>
      </c>
      <c r="J17" s="682" t="s">
        <v>612</v>
      </c>
    </row>
    <row r="18" spans="1:10" ht="20.1" customHeight="1">
      <c r="A18" s="680">
        <v>6</v>
      </c>
      <c r="B18" s="675" t="s">
        <v>627</v>
      </c>
      <c r="C18" s="675" t="s">
        <v>628</v>
      </c>
      <c r="D18" s="676" t="s">
        <v>611</v>
      </c>
      <c r="E18" s="681">
        <v>1</v>
      </c>
      <c r="F18" s="681">
        <v>1</v>
      </c>
      <c r="G18" s="689" t="s">
        <v>629</v>
      </c>
      <c r="H18" s="681">
        <v>1</v>
      </c>
      <c r="I18" s="681">
        <v>0.087999999999999995</v>
      </c>
      <c r="J18" s="682" t="s">
        <v>612</v>
      </c>
    </row>
    <row r="19" spans="1:10" ht="20.1" customHeight="1">
      <c r="A19" s="680">
        <v>7</v>
      </c>
      <c r="B19" s="675" t="s">
        <v>474</v>
      </c>
      <c r="C19" s="675" t="s">
        <v>630</v>
      </c>
      <c r="D19" s="676" t="s">
        <v>584</v>
      </c>
      <c r="E19" s="690" t="s">
        <v>612</v>
      </c>
      <c r="F19" s="690" t="s">
        <v>612</v>
      </c>
      <c r="G19" s="686">
        <v>1</v>
      </c>
      <c r="H19" s="681">
        <v>1</v>
      </c>
      <c r="I19" s="682" t="s">
        <v>612</v>
      </c>
      <c r="J19" s="682" t="s">
        <v>612</v>
      </c>
    </row>
    <row r="20" spans="1:10" ht="20.1" customHeight="1">
      <c r="A20" s="680">
        <v>8</v>
      </c>
      <c r="B20" s="675" t="s">
        <v>631</v>
      </c>
      <c r="C20" s="675" t="s">
        <v>632</v>
      </c>
      <c r="D20" s="676" t="s">
        <v>359</v>
      </c>
      <c r="E20" s="681" t="s">
        <v>633</v>
      </c>
      <c r="F20" s="681">
        <v>1</v>
      </c>
      <c r="G20" s="682" t="s">
        <v>612</v>
      </c>
      <c r="H20" s="681">
        <v>1</v>
      </c>
      <c r="I20" s="682" t="s">
        <v>612</v>
      </c>
      <c r="J20" s="682" t="s">
        <v>612</v>
      </c>
    </row>
    <row r="21" spans="1:10" ht="20.1" customHeight="1">
      <c r="A21" s="680">
        <v>9</v>
      </c>
      <c r="B21" s="675" t="s">
        <v>634</v>
      </c>
      <c r="C21" s="675" t="s">
        <v>632</v>
      </c>
      <c r="D21" s="676" t="s">
        <v>359</v>
      </c>
      <c r="E21" s="681" t="s">
        <v>633</v>
      </c>
      <c r="F21" s="681">
        <v>1</v>
      </c>
      <c r="G21" s="682" t="s">
        <v>612</v>
      </c>
      <c r="H21" s="681">
        <v>1</v>
      </c>
      <c r="I21" s="682" t="s">
        <v>612</v>
      </c>
      <c r="J21" s="682" t="s">
        <v>612</v>
      </c>
    </row>
    <row r="22" spans="1:10" ht="20.1" customHeight="1">
      <c r="A22" s="680">
        <v>10</v>
      </c>
      <c r="B22" s="675" t="s">
        <v>635</v>
      </c>
      <c r="C22" s="675" t="s">
        <v>617</v>
      </c>
      <c r="D22" s="676" t="s">
        <v>611</v>
      </c>
      <c r="E22" s="681" t="s">
        <v>633</v>
      </c>
      <c r="F22" s="681">
        <v>1</v>
      </c>
      <c r="G22" s="681" t="s">
        <v>633</v>
      </c>
      <c r="H22" s="681">
        <v>1</v>
      </c>
      <c r="I22" s="682" t="s">
        <v>612</v>
      </c>
      <c r="J22" s="682" t="s">
        <v>612</v>
      </c>
    </row>
    <row r="23" spans="1:10" ht="20.1" customHeight="1">
      <c r="A23" s="680">
        <v>11</v>
      </c>
      <c r="B23" s="675" t="s">
        <v>636</v>
      </c>
      <c r="C23" s="675" t="s">
        <v>617</v>
      </c>
      <c r="D23" s="676" t="s">
        <v>611</v>
      </c>
      <c r="E23" s="681">
        <v>1</v>
      </c>
      <c r="F23" s="681">
        <v>1</v>
      </c>
      <c r="G23" s="681" t="s">
        <v>633</v>
      </c>
      <c r="H23" s="681">
        <v>1</v>
      </c>
      <c r="I23" s="682" t="s">
        <v>612</v>
      </c>
      <c r="J23" s="679">
        <v>0.057200000000000001</v>
      </c>
    </row>
    <row r="24" spans="1:10" ht="20.1" customHeight="1">
      <c r="A24" s="680">
        <v>12</v>
      </c>
      <c r="B24" s="675" t="s">
        <v>637</v>
      </c>
      <c r="C24" s="675" t="s">
        <v>620</v>
      </c>
      <c r="D24" s="676" t="s">
        <v>611</v>
      </c>
      <c r="E24" s="681">
        <v>1</v>
      </c>
      <c r="F24" s="681">
        <v>1</v>
      </c>
      <c r="G24" s="681">
        <v>1</v>
      </c>
      <c r="H24" s="681">
        <v>1</v>
      </c>
      <c r="I24" s="682" t="s">
        <v>612</v>
      </c>
      <c r="J24" s="682" t="s">
        <v>612</v>
      </c>
    </row>
    <row r="25" spans="1:10" ht="20.1" customHeight="1">
      <c r="A25" s="680">
        <v>13</v>
      </c>
      <c r="B25" s="675" t="s">
        <v>638</v>
      </c>
      <c r="C25" s="675" t="s">
        <v>630</v>
      </c>
      <c r="D25" s="676" t="s">
        <v>359</v>
      </c>
      <c r="E25" s="681">
        <v>1</v>
      </c>
      <c r="F25" s="681">
        <v>1</v>
      </c>
      <c r="G25" s="685" t="s">
        <v>612</v>
      </c>
      <c r="H25" s="681">
        <v>1</v>
      </c>
      <c r="I25" s="682" t="s">
        <v>612</v>
      </c>
      <c r="J25" s="682" t="s">
        <v>612</v>
      </c>
    </row>
    <row r="26" spans="1:10" ht="20.1" customHeight="1">
      <c r="A26" s="680">
        <v>14</v>
      </c>
      <c r="B26" s="675" t="s">
        <v>639</v>
      </c>
      <c r="C26" s="675" t="s">
        <v>630</v>
      </c>
      <c r="D26" s="676" t="s">
        <v>584</v>
      </c>
      <c r="E26" s="682" t="s">
        <v>612</v>
      </c>
      <c r="F26" s="682" t="s">
        <v>612</v>
      </c>
      <c r="G26" s="681" t="s">
        <v>633</v>
      </c>
      <c r="H26" s="681">
        <v>1</v>
      </c>
      <c r="I26" s="682" t="s">
        <v>612</v>
      </c>
      <c r="J26" s="682" t="s">
        <v>612</v>
      </c>
    </row>
    <row r="27" spans="1:10" ht="20.1" customHeight="1">
      <c r="A27" s="680">
        <v>15</v>
      </c>
      <c r="B27" s="675" t="s">
        <v>640</v>
      </c>
      <c r="C27" s="675" t="s">
        <v>641</v>
      </c>
      <c r="D27" s="676" t="s">
        <v>584</v>
      </c>
      <c r="E27" s="682" t="s">
        <v>612</v>
      </c>
      <c r="F27" s="682" t="s">
        <v>612</v>
      </c>
      <c r="G27" s="691">
        <v>0.51619999999999999</v>
      </c>
      <c r="H27" s="681">
        <v>1</v>
      </c>
      <c r="I27" s="682" t="s">
        <v>612</v>
      </c>
      <c r="J27" s="682" t="s">
        <v>612</v>
      </c>
    </row>
    <row r="28" spans="1:10" ht="20.1" customHeight="1">
      <c r="A28" s="683" t="s">
        <v>642</v>
      </c>
      <c r="B28" s="675" t="s">
        <v>643</v>
      </c>
      <c r="C28" s="675" t="s">
        <v>641</v>
      </c>
      <c r="D28" s="676" t="s">
        <v>584</v>
      </c>
      <c r="E28" s="682" t="s">
        <v>612</v>
      </c>
      <c r="F28" s="682" t="s">
        <v>612</v>
      </c>
      <c r="G28" s="681">
        <v>1</v>
      </c>
      <c r="H28" s="681">
        <v>1</v>
      </c>
      <c r="I28" s="682" t="s">
        <v>612</v>
      </c>
      <c r="J28" s="682" t="s">
        <v>612</v>
      </c>
    </row>
    <row r="29" spans="1:10" ht="27.75" customHeight="1">
      <c r="A29" s="680">
        <v>16</v>
      </c>
      <c r="B29" s="692" t="s">
        <v>644</v>
      </c>
      <c r="C29" s="675" t="s">
        <v>645</v>
      </c>
      <c r="D29" s="676" t="s">
        <v>611</v>
      </c>
      <c r="E29" s="681">
        <v>1</v>
      </c>
      <c r="F29" s="681">
        <v>1</v>
      </c>
      <c r="G29" s="681">
        <v>1</v>
      </c>
      <c r="H29" s="681">
        <v>1</v>
      </c>
      <c r="I29" s="681">
        <v>0.021000000000000001</v>
      </c>
      <c r="J29" s="682" t="s">
        <v>612</v>
      </c>
    </row>
    <row r="30" spans="1:10" ht="27" customHeight="1">
      <c r="A30" s="680">
        <v>17</v>
      </c>
      <c r="B30" s="675" t="s">
        <v>646</v>
      </c>
      <c r="C30" s="675" t="s">
        <v>645</v>
      </c>
      <c r="D30" s="676" t="s">
        <v>359</v>
      </c>
      <c r="E30" s="681">
        <v>1</v>
      </c>
      <c r="F30" s="681">
        <v>1</v>
      </c>
      <c r="G30" s="682" t="s">
        <v>612</v>
      </c>
      <c r="H30" s="681">
        <v>1</v>
      </c>
      <c r="I30" s="682" t="s">
        <v>612</v>
      </c>
      <c r="J30" s="682" t="s">
        <v>612</v>
      </c>
    </row>
    <row r="31" spans="1:10" ht="28.5" customHeight="1">
      <c r="A31" s="680">
        <v>18</v>
      </c>
      <c r="B31" s="675" t="s">
        <v>647</v>
      </c>
      <c r="C31" s="675" t="s">
        <v>645</v>
      </c>
      <c r="D31" s="676" t="s">
        <v>611</v>
      </c>
      <c r="E31" s="681">
        <v>1</v>
      </c>
      <c r="F31" s="681">
        <v>1</v>
      </c>
      <c r="G31" s="681" t="s">
        <v>633</v>
      </c>
      <c r="H31" s="681">
        <v>1</v>
      </c>
      <c r="I31" s="682" t="s">
        <v>612</v>
      </c>
      <c r="J31" s="678">
        <v>0.1125</v>
      </c>
    </row>
    <row r="32" spans="1:10" ht="20.1" customHeight="1">
      <c r="A32" s="680">
        <v>19</v>
      </c>
      <c r="B32" s="675" t="s">
        <v>648</v>
      </c>
      <c r="C32" s="675" t="s">
        <v>645</v>
      </c>
      <c r="D32" s="676" t="s">
        <v>359</v>
      </c>
      <c r="E32" s="681">
        <v>1</v>
      </c>
      <c r="F32" s="681">
        <v>1</v>
      </c>
      <c r="G32" s="682" t="s">
        <v>612</v>
      </c>
      <c r="H32" s="681">
        <v>1</v>
      </c>
      <c r="I32" s="682" t="s">
        <v>612</v>
      </c>
      <c r="J32" s="682" t="s">
        <v>612</v>
      </c>
    </row>
    <row r="33" spans="1:10" ht="20.1" customHeight="1">
      <c r="A33" s="680">
        <v>20</v>
      </c>
      <c r="B33" s="675" t="s">
        <v>649</v>
      </c>
      <c r="C33" s="675" t="s">
        <v>645</v>
      </c>
      <c r="D33" s="676" t="s">
        <v>359</v>
      </c>
      <c r="E33" s="681">
        <v>1</v>
      </c>
      <c r="F33" s="681">
        <v>1</v>
      </c>
      <c r="G33" s="682" t="s">
        <v>612</v>
      </c>
      <c r="H33" s="681">
        <v>1</v>
      </c>
      <c r="I33" s="681">
        <v>0.055</v>
      </c>
      <c r="J33" s="682" t="s">
        <v>612</v>
      </c>
    </row>
    <row r="34" spans="1:10" ht="20.1" customHeight="1">
      <c r="A34" s="680">
        <v>21</v>
      </c>
      <c r="B34" s="675" t="s">
        <v>650</v>
      </c>
      <c r="C34" s="675" t="s">
        <v>645</v>
      </c>
      <c r="D34" s="676" t="s">
        <v>359</v>
      </c>
      <c r="E34" s="681">
        <v>1</v>
      </c>
      <c r="F34" s="681">
        <v>1</v>
      </c>
      <c r="G34" s="682" t="s">
        <v>612</v>
      </c>
      <c r="H34" s="681">
        <v>1</v>
      </c>
      <c r="I34" s="682" t="s">
        <v>612</v>
      </c>
      <c r="J34" s="682" t="s">
        <v>612</v>
      </c>
    </row>
    <row r="35" spans="1:10" ht="20.1" customHeight="1">
      <c r="A35" s="680">
        <v>22</v>
      </c>
      <c r="B35" s="675" t="s">
        <v>651</v>
      </c>
      <c r="C35" s="675" t="s">
        <v>645</v>
      </c>
      <c r="D35" s="676" t="s">
        <v>359</v>
      </c>
      <c r="E35" s="681">
        <v>1</v>
      </c>
      <c r="F35" s="681">
        <v>1</v>
      </c>
      <c r="G35" s="682" t="s">
        <v>612</v>
      </c>
      <c r="H35" s="681">
        <v>1</v>
      </c>
      <c r="I35" s="682" t="s">
        <v>612</v>
      </c>
      <c r="J35" s="682" t="s">
        <v>612</v>
      </c>
    </row>
    <row r="36" spans="1:10" ht="20.1" customHeight="1">
      <c r="A36" s="680">
        <v>23</v>
      </c>
      <c r="B36" s="675" t="s">
        <v>652</v>
      </c>
      <c r="C36" s="675" t="s">
        <v>645</v>
      </c>
      <c r="D36" s="676" t="s">
        <v>611</v>
      </c>
      <c r="E36" s="681">
        <v>1</v>
      </c>
      <c r="F36" s="681">
        <v>1</v>
      </c>
      <c r="G36" s="681" t="s">
        <v>633</v>
      </c>
      <c r="H36" s="681">
        <v>1</v>
      </c>
      <c r="I36" s="682" t="s">
        <v>612</v>
      </c>
      <c r="J36" s="682" t="s">
        <v>612</v>
      </c>
    </row>
    <row r="38" ht="15">
      <c r="B38" s="672"/>
    </row>
    <row r="39" spans="1:6" ht="15">
      <c r="A39" s="723" t="s">
        <v>122</v>
      </c>
      <c r="B39" s="723"/>
      <c r="C39" s="723"/>
      <c r="D39" s="723"/>
      <c r="E39" s="723"/>
      <c r="F39" s="723"/>
    </row>
    <row r="40" spans="1:6" ht="15">
      <c r="A40" s="723"/>
      <c r="B40" s="723"/>
      <c r="C40" s="723"/>
      <c r="D40" s="723"/>
      <c r="E40" s="723"/>
      <c r="F40" s="723"/>
    </row>
    <row r="41" spans="1:6" ht="15">
      <c r="A41" s="723"/>
      <c r="B41" s="723"/>
      <c r="C41" s="723"/>
      <c r="D41" s="723"/>
      <c r="E41" s="723"/>
      <c r="F41" s="723"/>
    </row>
    <row r="42" spans="1:6" ht="15">
      <c r="A42" s="723"/>
      <c r="B42" s="723"/>
      <c r="C42" s="723"/>
      <c r="D42" s="723"/>
      <c r="E42" s="723"/>
      <c r="F42" s="723"/>
    </row>
    <row r="43" spans="1:6" ht="15">
      <c r="A43" s="723"/>
      <c r="B43" s="723"/>
      <c r="C43" s="723"/>
      <c r="D43" s="723"/>
      <c r="E43" s="723"/>
      <c r="F43" s="723"/>
    </row>
    <row r="44" spans="1:6" ht="15">
      <c r="A44" s="723"/>
      <c r="B44" s="723"/>
      <c r="C44" s="723"/>
      <c r="D44" s="723"/>
      <c r="E44" s="723"/>
      <c r="F44" s="723"/>
    </row>
    <row r="45" spans="1:6" ht="15">
      <c r="A45" s="723"/>
      <c r="B45" s="723"/>
      <c r="C45" s="723"/>
      <c r="D45" s="723"/>
      <c r="E45" s="723"/>
      <c r="F45" s="723"/>
    </row>
  </sheetData>
  <mergeCells count="1">
    <mergeCell ref="A39:F45"/>
  </mergeCells>
  <pageMargins left="0.7" right="0.7" top="0.75" bottom="0.75" header="0.3" footer="0.3"/>
  <pageSetup horizontalDpi="300" verticalDpi="300" orientation="portrait" r:id="rId1"/>
  <headerFooter>
    <oddFooter>&amp;L&amp;"Times New Roman,Regular"&amp;9O3129680.v1</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M353"/>
  <sheetViews>
    <sheetView workbookViewId="0" topLeftCell="A1"/>
  </sheetViews>
  <sheetFormatPr defaultColWidth="10.85546875" defaultRowHeight="12"/>
  <cols>
    <col min="1" max="1" width="4.57142857142857" style="54" customWidth="1"/>
    <col min="2" max="2" width="34.2857142857143" style="54" bestFit="1" customWidth="1"/>
    <col min="3" max="6" width="11.7142857142857" style="54" customWidth="1"/>
    <col min="7" max="7" width="11.7142857142857" style="70" customWidth="1"/>
    <col min="8" max="10" width="11.7142857142857" style="54" customWidth="1"/>
    <col min="11" max="16384" width="10.8571428571429" style="54"/>
  </cols>
  <sheetData>
    <row r="1" spans="1:10" s="4" customFormat="1" ht="11.25">
      <c r="A1" s="86" t="s">
        <v>0</v>
      </c>
      <c r="B1" s="86"/>
      <c r="H1" s="86"/>
      <c r="J1" s="87" t="s">
        <v>1</v>
      </c>
    </row>
    <row r="2" spans="1:10" s="4" customFormat="1" ht="11.25">
      <c r="A2" s="86" t="s">
        <v>2</v>
      </c>
      <c r="B2" s="86"/>
      <c r="C2" s="88"/>
      <c r="D2" s="88"/>
      <c r="H2" s="86"/>
      <c r="J2" s="89"/>
    </row>
    <row r="3" spans="1:10" s="4" customFormat="1" ht="11.25">
      <c r="A3" s="86"/>
      <c r="B3" s="86"/>
      <c r="H3" s="86"/>
      <c r="J3" s="90" t="s">
        <v>3</v>
      </c>
    </row>
    <row r="4" spans="1:10" s="4" customFormat="1" ht="15">
      <c r="A4" s="137" t="s">
        <v>585</v>
      </c>
      <c r="B4" s="86"/>
      <c r="C4"/>
      <c r="D4"/>
      <c r="H4" s="86"/>
      <c r="J4" s="90" t="s">
        <v>4</v>
      </c>
    </row>
    <row r="5" spans="1:10" s="4" customFormat="1" ht="15">
      <c r="A5" s="386" t="s">
        <v>586</v>
      </c>
      <c r="B5" s="86"/>
      <c r="C5"/>
      <c r="D5"/>
      <c r="H5" s="86"/>
      <c r="J5" s="87" t="s">
        <v>157</v>
      </c>
    </row>
    <row r="6" spans="1:10" s="4" customFormat="1" ht="15">
      <c r="A6" s="86" t="s">
        <v>158</v>
      </c>
      <c r="B6" s="86"/>
      <c r="C6"/>
      <c r="D6"/>
      <c r="H6" s="86"/>
      <c r="J6" s="89"/>
    </row>
    <row r="7" spans="1:10" s="4" customFormat="1" ht="15">
      <c r="A7" s="43" t="s">
        <v>123</v>
      </c>
      <c r="B7" s="91"/>
      <c r="C7"/>
      <c r="D7"/>
      <c r="H7" s="86"/>
      <c r="J7" s="87" t="s">
        <v>6</v>
      </c>
    </row>
    <row r="8" spans="1:10" s="4" customFormat="1" ht="12" thickBot="1">
      <c r="A8" s="92"/>
      <c r="B8" s="92"/>
      <c r="C8" s="93"/>
      <c r="D8" s="93"/>
      <c r="E8" s="93"/>
      <c r="F8" s="93"/>
      <c r="G8" s="94"/>
      <c r="H8" s="92"/>
      <c r="I8" s="92"/>
      <c r="J8" s="92"/>
    </row>
    <row r="9" spans="1:10" s="4" customFormat="1" ht="11.25">
      <c r="A9" s="86"/>
      <c r="B9" s="42" t="s">
        <v>7</v>
      </c>
      <c r="C9" s="95">
        <v>-2</v>
      </c>
      <c r="D9" s="96" t="s">
        <v>124</v>
      </c>
      <c r="E9" s="97">
        <v>-4</v>
      </c>
      <c r="F9" s="97"/>
      <c r="G9" s="98">
        <v>-5</v>
      </c>
      <c r="H9" s="98">
        <v>-6</v>
      </c>
      <c r="I9" s="98">
        <v>-7</v>
      </c>
      <c r="J9" s="98">
        <v>-8</v>
      </c>
    </row>
    <row r="10" spans="1:10" s="4" customFormat="1" ht="14.25">
      <c r="A10" s="99" t="s">
        <v>91</v>
      </c>
      <c r="B10" s="42"/>
      <c r="C10" s="20" t="s">
        <v>9</v>
      </c>
      <c r="D10" s="100"/>
      <c r="E10" s="99" t="s">
        <v>10</v>
      </c>
      <c r="F10" s="184" t="s">
        <v>161</v>
      </c>
      <c r="G10" s="101" t="s">
        <v>11</v>
      </c>
      <c r="H10" s="99" t="s">
        <v>125</v>
      </c>
      <c r="I10" s="101" t="s">
        <v>11</v>
      </c>
      <c r="J10" s="99" t="s">
        <v>126</v>
      </c>
    </row>
    <row r="11" spans="1:10" s="4" customFormat="1" ht="12" thickBot="1">
      <c r="A11" s="102" t="s">
        <v>94</v>
      </c>
      <c r="B11" s="102" t="s">
        <v>12</v>
      </c>
      <c r="C11" s="104" t="s">
        <v>13</v>
      </c>
      <c r="D11" s="104" t="s">
        <v>105</v>
      </c>
      <c r="E11" s="105" t="s">
        <v>14</v>
      </c>
      <c r="F11" s="185" t="s">
        <v>162</v>
      </c>
      <c r="G11" s="106" t="s">
        <v>15</v>
      </c>
      <c r="H11" s="103" t="s">
        <v>16</v>
      </c>
      <c r="I11" s="106" t="s">
        <v>15</v>
      </c>
      <c r="J11" s="103" t="s">
        <v>16</v>
      </c>
    </row>
    <row r="12" spans="1:10" s="4" customFormat="1" ht="12.75">
      <c r="A12" s="107">
        <v>1</v>
      </c>
      <c r="B12" s="86" t="s">
        <v>17</v>
      </c>
      <c r="C12" s="109"/>
      <c r="D12" s="110"/>
      <c r="E12" s="109"/>
      <c r="F12" s="109"/>
      <c r="G12" s="111"/>
      <c r="H12" s="109"/>
      <c r="I12" s="112"/>
      <c r="J12" s="86"/>
    </row>
    <row r="13" spans="1:9" s="4" customFormat="1" ht="13.5" customHeight="1">
      <c r="A13" s="107">
        <f>A12+1</f>
        <v>2</v>
      </c>
      <c r="B13" s="4" t="s">
        <v>18</v>
      </c>
      <c r="C13" s="109"/>
      <c r="D13" s="110"/>
      <c r="E13" s="109"/>
      <c r="F13" s="109"/>
      <c r="G13" s="111"/>
      <c r="H13" s="113" t="str">
        <f t="shared" si="0" ref="H13:H73">IF(G13=0,"",ROUND(E13*G13,0))</f>
        <v/>
      </c>
      <c r="I13" s="112"/>
    </row>
    <row r="14" spans="1:9" s="4" customFormat="1" ht="12.75">
      <c r="A14" s="107">
        <f t="shared" si="1" ref="A14:A75">A13+1</f>
        <v>3</v>
      </c>
      <c r="B14" s="4" t="s">
        <v>19</v>
      </c>
      <c r="C14" s="109"/>
      <c r="D14" s="110"/>
      <c r="E14" s="109"/>
      <c r="F14" s="109"/>
      <c r="G14" s="111"/>
      <c r="H14" s="113" t="str">
        <f t="shared" si="0"/>
        <v/>
      </c>
      <c r="I14" s="112"/>
    </row>
    <row r="15" spans="1:9" s="4" customFormat="1" ht="12.75">
      <c r="A15" s="107">
        <f t="shared" si="1"/>
        <v>4</v>
      </c>
      <c r="B15" s="4" t="s">
        <v>20</v>
      </c>
      <c r="C15" s="109"/>
      <c r="D15" s="110"/>
      <c r="E15" s="109"/>
      <c r="F15" s="109"/>
      <c r="G15" s="111"/>
      <c r="H15" s="113" t="str">
        <f t="shared" si="0"/>
        <v/>
      </c>
      <c r="I15" s="112"/>
    </row>
    <row r="16" spans="1:10" s="4" customFormat="1" ht="12.75">
      <c r="A16" s="107">
        <f t="shared" si="1"/>
        <v>5</v>
      </c>
      <c r="B16" s="86" t="s">
        <v>21</v>
      </c>
      <c r="C16" s="109"/>
      <c r="D16" s="110"/>
      <c r="E16" s="109"/>
      <c r="F16" s="109"/>
      <c r="G16" s="111"/>
      <c r="H16" s="113" t="str">
        <f t="shared" si="0"/>
        <v/>
      </c>
      <c r="I16" s="112"/>
      <c r="J16" s="86"/>
    </row>
    <row r="17" spans="1:9" s="4" customFormat="1" ht="12.75">
      <c r="A17" s="107">
        <f t="shared" si="1"/>
        <v>6</v>
      </c>
      <c r="B17" s="4" t="s">
        <v>22</v>
      </c>
      <c r="C17" s="109"/>
      <c r="D17" s="110"/>
      <c r="E17" s="109"/>
      <c r="F17" s="109"/>
      <c r="G17" s="111"/>
      <c r="H17" s="113" t="str">
        <f t="shared" si="0"/>
        <v/>
      </c>
      <c r="I17" s="112"/>
    </row>
    <row r="18" spans="1:9" s="4" customFormat="1" ht="12.75">
      <c r="A18" s="107">
        <f t="shared" si="1"/>
        <v>7</v>
      </c>
      <c r="B18" s="4" t="s">
        <v>23</v>
      </c>
      <c r="C18" s="109"/>
      <c r="D18" s="110"/>
      <c r="E18" s="109"/>
      <c r="F18" s="109"/>
      <c r="G18" s="111"/>
      <c r="H18" s="113" t="str">
        <f t="shared" si="0"/>
        <v/>
      </c>
      <c r="I18" s="112"/>
    </row>
    <row r="19" spans="1:13" s="4" customFormat="1" ht="12.75">
      <c r="A19" s="107">
        <f t="shared" si="1"/>
        <v>8</v>
      </c>
      <c r="B19" s="114" t="s">
        <v>128</v>
      </c>
      <c r="C19" s="109"/>
      <c r="D19" s="110"/>
      <c r="E19" s="109"/>
      <c r="F19" s="109"/>
      <c r="G19" s="111"/>
      <c r="H19" s="113" t="str">
        <f t="shared" si="0"/>
        <v/>
      </c>
      <c r="I19" s="112"/>
      <c r="J19" s="114"/>
      <c r="M19" s="115"/>
    </row>
    <row r="20" spans="1:13" s="4" customFormat="1" ht="11.25">
      <c r="A20" s="107">
        <f t="shared" si="1"/>
        <v>9</v>
      </c>
      <c r="B20" s="4" t="s">
        <v>25</v>
      </c>
      <c r="C20" s="109"/>
      <c r="D20" s="110"/>
      <c r="E20" s="109"/>
      <c r="F20" s="109"/>
      <c r="G20" s="111"/>
      <c r="H20" s="113" t="str">
        <f t="shared" si="0"/>
        <v/>
      </c>
      <c r="K20" s="107"/>
      <c r="L20" s="107"/>
      <c r="M20" s="107"/>
    </row>
    <row r="21" spans="1:13" s="4" customFormat="1" ht="11.25">
      <c r="A21" s="107">
        <f t="shared" si="1"/>
        <v>10</v>
      </c>
      <c r="B21" s="4" t="s">
        <v>26</v>
      </c>
      <c r="C21" s="109"/>
      <c r="D21" s="110"/>
      <c r="E21" s="109"/>
      <c r="F21" s="109"/>
      <c r="G21" s="111"/>
      <c r="H21" s="113" t="str">
        <f t="shared" si="0"/>
        <v/>
      </c>
      <c r="K21" s="116"/>
      <c r="L21" s="117"/>
      <c r="M21" s="117"/>
    </row>
    <row r="22" spans="1:9" s="4" customFormat="1" ht="12.75">
      <c r="A22" s="107">
        <f t="shared" si="1"/>
        <v>11</v>
      </c>
      <c r="B22" s="4" t="s">
        <v>27</v>
      </c>
      <c r="C22" s="109"/>
      <c r="D22" s="110"/>
      <c r="E22" s="109"/>
      <c r="F22" s="109"/>
      <c r="G22" s="111"/>
      <c r="H22" s="113" t="str">
        <f t="shared" si="0"/>
        <v/>
      </c>
      <c r="I22" s="112"/>
    </row>
    <row r="23" spans="1:9" s="4" customFormat="1" ht="12.75">
      <c r="A23" s="107">
        <f t="shared" si="1"/>
        <v>12</v>
      </c>
      <c r="B23" s="4" t="s">
        <v>28</v>
      </c>
      <c r="C23" s="109"/>
      <c r="D23" s="110"/>
      <c r="E23" s="109"/>
      <c r="F23" s="109"/>
      <c r="G23" s="111"/>
      <c r="H23" s="113" t="str">
        <f t="shared" si="0"/>
        <v/>
      </c>
      <c r="I23" s="112"/>
    </row>
    <row r="24" spans="1:9" s="4" customFormat="1" ht="12.75">
      <c r="A24" s="107">
        <f t="shared" si="1"/>
        <v>13</v>
      </c>
      <c r="B24" s="4" t="s">
        <v>29</v>
      </c>
      <c r="C24" s="109"/>
      <c r="D24" s="110"/>
      <c r="E24" s="109"/>
      <c r="F24" s="109"/>
      <c r="G24" s="111"/>
      <c r="H24" s="113" t="str">
        <f t="shared" si="0"/>
        <v/>
      </c>
      <c r="I24" s="112"/>
    </row>
    <row r="25" spans="1:9" s="4" customFormat="1" ht="12.75">
      <c r="A25" s="107">
        <f t="shared" si="1"/>
        <v>14</v>
      </c>
      <c r="B25" s="4" t="s">
        <v>30</v>
      </c>
      <c r="C25" s="109"/>
      <c r="D25" s="110"/>
      <c r="E25" s="109"/>
      <c r="F25" s="109"/>
      <c r="G25" s="111"/>
      <c r="H25" s="113" t="str">
        <f t="shared" si="0"/>
        <v/>
      </c>
      <c r="I25" s="112"/>
    </row>
    <row r="26" spans="1:9" s="4" customFormat="1" ht="12.75">
      <c r="A26" s="107">
        <f t="shared" si="1"/>
        <v>15</v>
      </c>
      <c r="B26" s="4" t="s">
        <v>31</v>
      </c>
      <c r="C26" s="109"/>
      <c r="D26" s="110"/>
      <c r="E26" s="109"/>
      <c r="F26" s="109"/>
      <c r="G26" s="111"/>
      <c r="H26" s="113" t="str">
        <f t="shared" si="0"/>
        <v/>
      </c>
      <c r="I26" s="112"/>
    </row>
    <row r="27" spans="1:10" s="4" customFormat="1" ht="12.75">
      <c r="A27" s="107">
        <f t="shared" si="1"/>
        <v>16</v>
      </c>
      <c r="B27" s="86" t="s">
        <v>32</v>
      </c>
      <c r="C27" s="109"/>
      <c r="D27" s="110"/>
      <c r="E27" s="109"/>
      <c r="F27" s="109"/>
      <c r="G27" s="111"/>
      <c r="H27" s="113" t="str">
        <f t="shared" si="0"/>
        <v/>
      </c>
      <c r="I27" s="112"/>
      <c r="J27" s="86"/>
    </row>
    <row r="28" spans="1:9" s="4" customFormat="1" ht="12.75">
      <c r="A28" s="107">
        <f t="shared" si="1"/>
        <v>17</v>
      </c>
      <c r="B28" s="4" t="s">
        <v>33</v>
      </c>
      <c r="C28" s="109"/>
      <c r="D28" s="110"/>
      <c r="E28" s="109"/>
      <c r="F28" s="109"/>
      <c r="G28" s="111"/>
      <c r="H28" s="113" t="str">
        <f t="shared" si="0"/>
        <v/>
      </c>
      <c r="I28" s="112"/>
    </row>
    <row r="29" spans="1:9" s="4" customFormat="1" ht="12.75">
      <c r="A29" s="107">
        <f t="shared" si="1"/>
        <v>18</v>
      </c>
      <c r="B29" s="4" t="s">
        <v>34</v>
      </c>
      <c r="C29" s="109"/>
      <c r="D29" s="110"/>
      <c r="E29" s="109"/>
      <c r="F29" s="109"/>
      <c r="G29" s="111"/>
      <c r="H29" s="113" t="str">
        <f t="shared" si="0"/>
        <v/>
      </c>
      <c r="I29" s="112"/>
    </row>
    <row r="30" spans="1:10" s="4" customFormat="1" ht="12.75">
      <c r="A30" s="107">
        <f t="shared" si="1"/>
        <v>19</v>
      </c>
      <c r="B30" s="114" t="s">
        <v>129</v>
      </c>
      <c r="C30" s="109"/>
      <c r="D30" s="110"/>
      <c r="E30" s="109"/>
      <c r="F30" s="109"/>
      <c r="G30" s="111"/>
      <c r="H30" s="113" t="str">
        <f t="shared" si="0"/>
        <v/>
      </c>
      <c r="I30" s="112"/>
      <c r="J30" s="114"/>
    </row>
    <row r="31" spans="1:9" s="4" customFormat="1" ht="12.75">
      <c r="A31" s="107">
        <f t="shared" si="1"/>
        <v>20</v>
      </c>
      <c r="B31" s="4" t="s">
        <v>35</v>
      </c>
      <c r="C31" s="109"/>
      <c r="D31" s="110"/>
      <c r="E31" s="109"/>
      <c r="F31" s="109"/>
      <c r="G31" s="111"/>
      <c r="H31" s="113" t="str">
        <f t="shared" si="0"/>
        <v/>
      </c>
      <c r="I31" s="112"/>
    </row>
    <row r="32" spans="1:9" s="4" customFormat="1" ht="12.75">
      <c r="A32" s="107">
        <f t="shared" si="1"/>
        <v>21</v>
      </c>
      <c r="B32" s="4" t="s">
        <v>36</v>
      </c>
      <c r="C32" s="109"/>
      <c r="D32" s="110"/>
      <c r="E32" s="109"/>
      <c r="F32" s="109"/>
      <c r="G32" s="111"/>
      <c r="H32" s="113" t="str">
        <f t="shared" si="0"/>
        <v/>
      </c>
      <c r="I32" s="112"/>
    </row>
    <row r="33" spans="1:9" s="4" customFormat="1" ht="12.75">
      <c r="A33" s="107">
        <f t="shared" si="1"/>
        <v>22</v>
      </c>
      <c r="B33" s="4" t="s">
        <v>37</v>
      </c>
      <c r="C33" s="109">
        <v>0</v>
      </c>
      <c r="D33" s="110"/>
      <c r="E33" s="109">
        <f>SUM(C33:D33)</f>
        <v>0</v>
      </c>
      <c r="F33" s="109"/>
      <c r="G33" s="111"/>
      <c r="H33" s="113" t="str">
        <f t="shared" si="0"/>
        <v/>
      </c>
      <c r="I33" s="112"/>
    </row>
    <row r="34" spans="1:10" s="4" customFormat="1" ht="12.75">
      <c r="A34" s="107">
        <f t="shared" si="1"/>
        <v>23</v>
      </c>
      <c r="B34" s="86" t="s">
        <v>38</v>
      </c>
      <c r="C34" s="109"/>
      <c r="D34" s="110"/>
      <c r="E34" s="109"/>
      <c r="F34" s="109"/>
      <c r="G34" s="111"/>
      <c r="H34" s="113" t="str">
        <f t="shared" si="0"/>
        <v/>
      </c>
      <c r="I34" s="112"/>
      <c r="J34" s="86"/>
    </row>
    <row r="35" spans="1:11" s="4" customFormat="1" ht="12.75">
      <c r="A35" s="107">
        <f t="shared" si="1"/>
        <v>24</v>
      </c>
      <c r="B35" s="4" t="s">
        <v>39</v>
      </c>
      <c r="C35" s="110">
        <f>+'Marion TB'!Q6</f>
        <v>10080</v>
      </c>
      <c r="D35" s="110"/>
      <c r="E35" s="110">
        <f t="shared" si="2" ref="E35:E41">SUM(C35:D35)</f>
        <v>10080</v>
      </c>
      <c r="F35" s="110">
        <v>8604</v>
      </c>
      <c r="G35" s="118">
        <f>1-78.44%</f>
        <v>0.21560000000000001</v>
      </c>
      <c r="H35" s="420">
        <f>IF(G35=0,"",ROUND(E35*G35,0))</f>
        <v>2173</v>
      </c>
      <c r="K35" s="120"/>
    </row>
    <row r="36" spans="1:11" s="4" customFormat="1" ht="12.75">
      <c r="A36" s="107">
        <f t="shared" si="1"/>
        <v>25</v>
      </c>
      <c r="B36" s="4" t="s">
        <v>40</v>
      </c>
      <c r="C36" s="110">
        <f>+'Marion TB'!Q9</f>
        <v>7055.5307692307706</v>
      </c>
      <c r="D36" s="110"/>
      <c r="E36" s="110">
        <f t="shared" si="2"/>
        <v>7055.5307692307706</v>
      </c>
      <c r="F36" s="110">
        <v>3315</v>
      </c>
      <c r="G36" s="118">
        <f t="shared" si="3" ref="G36:G41">1-78.44%</f>
        <v>0.21560000000000001</v>
      </c>
      <c r="H36" s="420">
        <f t="shared" si="4" ref="H36:H41">IF(G36=0,"",ROUND(E36*G36,0))</f>
        <v>1521</v>
      </c>
      <c r="I36" s="118"/>
      <c r="J36" s="121"/>
      <c r="K36" s="120"/>
    </row>
    <row r="37" spans="1:13" s="4" customFormat="1" ht="11.25">
      <c r="A37" s="107">
        <f t="shared" si="1"/>
        <v>26</v>
      </c>
      <c r="B37" s="114" t="s">
        <v>130</v>
      </c>
      <c r="C37" s="109">
        <v>0</v>
      </c>
      <c r="D37" s="110"/>
      <c r="E37" s="109">
        <f t="shared" si="2"/>
        <v>0</v>
      </c>
      <c r="F37" s="109"/>
      <c r="G37" s="118">
        <f t="shared" si="3"/>
        <v>0.21560000000000001</v>
      </c>
      <c r="H37" s="420">
        <f t="shared" si="4"/>
        <v>0</v>
      </c>
      <c r="I37" s="118"/>
      <c r="J37" s="121"/>
      <c r="K37" s="108"/>
      <c r="L37" s="107"/>
      <c r="M37" s="107"/>
    </row>
    <row r="38" spans="1:13" s="4" customFormat="1" ht="11.25">
      <c r="A38" s="107">
        <f t="shared" si="1"/>
        <v>27</v>
      </c>
      <c r="B38" s="4" t="s">
        <v>42</v>
      </c>
      <c r="C38" s="109">
        <f>+'Marion TB'!Q17+'Marion TB'!Q18</f>
        <v>113878.71999999999</v>
      </c>
      <c r="D38" s="110"/>
      <c r="E38" s="109">
        <f t="shared" si="2"/>
        <v>113878.71999999999</v>
      </c>
      <c r="F38" s="109">
        <v>111218</v>
      </c>
      <c r="G38" s="118">
        <f t="shared" si="3"/>
        <v>0.21560000000000001</v>
      </c>
      <c r="H38" s="420">
        <f t="shared" si="4"/>
        <v>24552</v>
      </c>
      <c r="I38" s="118"/>
      <c r="J38" s="121"/>
      <c r="K38" s="116"/>
      <c r="L38" s="117"/>
      <c r="M38" s="117"/>
    </row>
    <row r="39" spans="1:10" s="4" customFormat="1" ht="11.25">
      <c r="A39" s="107">
        <f t="shared" si="1"/>
        <v>28</v>
      </c>
      <c r="B39" s="4" t="s">
        <v>43</v>
      </c>
      <c r="C39" s="109">
        <v>0</v>
      </c>
      <c r="D39" s="110"/>
      <c r="E39" s="109">
        <f t="shared" si="2"/>
        <v>0</v>
      </c>
      <c r="F39" s="109"/>
      <c r="G39" s="118">
        <f t="shared" si="3"/>
        <v>0.21560000000000001</v>
      </c>
      <c r="H39" s="420">
        <f t="shared" si="4"/>
        <v>0</v>
      </c>
      <c r="I39" s="118"/>
      <c r="J39" s="121"/>
    </row>
    <row r="40" spans="1:9" s="4" customFormat="1" ht="12.75">
      <c r="A40" s="107">
        <f t="shared" si="1"/>
        <v>29</v>
      </c>
      <c r="B40" s="4" t="s">
        <v>44</v>
      </c>
      <c r="C40" s="109">
        <v>0</v>
      </c>
      <c r="D40" s="110"/>
      <c r="E40" s="109">
        <f t="shared" si="2"/>
        <v>0</v>
      </c>
      <c r="F40" s="109"/>
      <c r="G40" s="118">
        <f t="shared" si="3"/>
        <v>0.21560000000000001</v>
      </c>
      <c r="H40" s="420">
        <f t="shared" si="4"/>
        <v>0</v>
      </c>
      <c r="I40" s="112"/>
    </row>
    <row r="41" spans="1:9" s="4" customFormat="1" ht="12.75">
      <c r="A41" s="107">
        <f t="shared" si="1"/>
        <v>30</v>
      </c>
      <c r="B41" s="4" t="s">
        <v>45</v>
      </c>
      <c r="C41" s="109">
        <v>0</v>
      </c>
      <c r="D41" s="110"/>
      <c r="E41" s="109">
        <f t="shared" si="2"/>
        <v>0</v>
      </c>
      <c r="F41" s="109"/>
      <c r="G41" s="118">
        <f t="shared" si="3"/>
        <v>0.21560000000000001</v>
      </c>
      <c r="H41" s="420">
        <f t="shared" si="4"/>
        <v>0</v>
      </c>
      <c r="I41" s="112"/>
    </row>
    <row r="42" spans="1:10" s="4" customFormat="1" ht="12.75">
      <c r="A42" s="107">
        <f t="shared" si="1"/>
        <v>31</v>
      </c>
      <c r="B42" s="86" t="s">
        <v>131</v>
      </c>
      <c r="C42" s="109"/>
      <c r="D42" s="110"/>
      <c r="E42" s="109"/>
      <c r="F42" s="109"/>
      <c r="G42" s="111"/>
      <c r="H42" s="113" t="str">
        <f t="shared" si="0"/>
        <v/>
      </c>
      <c r="I42" s="112"/>
      <c r="J42" s="86"/>
    </row>
    <row r="43" spans="1:9" s="4" customFormat="1" ht="12.75">
      <c r="A43" s="107">
        <f t="shared" si="1"/>
        <v>32</v>
      </c>
      <c r="B43" s="4" t="s">
        <v>132</v>
      </c>
      <c r="C43" s="109"/>
      <c r="D43" s="110"/>
      <c r="E43" s="109"/>
      <c r="F43" s="109"/>
      <c r="G43" s="111"/>
      <c r="H43" s="113" t="str">
        <f t="shared" si="0"/>
        <v/>
      </c>
      <c r="I43" s="112"/>
    </row>
    <row r="44" spans="1:9" s="4" customFormat="1" ht="12.75">
      <c r="A44" s="107">
        <f t="shared" si="1"/>
        <v>33</v>
      </c>
      <c r="B44" s="4" t="s">
        <v>133</v>
      </c>
      <c r="C44" s="109"/>
      <c r="D44" s="110"/>
      <c r="E44" s="109"/>
      <c r="F44" s="109"/>
      <c r="G44" s="111"/>
      <c r="H44" s="113" t="str">
        <f t="shared" si="0"/>
        <v/>
      </c>
      <c r="I44" s="112"/>
    </row>
    <row r="45" spans="1:9" s="4" customFormat="1" ht="12.75">
      <c r="A45" s="107">
        <f t="shared" si="1"/>
        <v>34</v>
      </c>
      <c r="B45" s="4" t="s">
        <v>134</v>
      </c>
      <c r="C45" s="109"/>
      <c r="D45" s="110"/>
      <c r="E45" s="109"/>
      <c r="F45" s="109"/>
      <c r="G45" s="111"/>
      <c r="H45" s="113" t="str">
        <f t="shared" si="0"/>
        <v/>
      </c>
      <c r="I45" s="112"/>
    </row>
    <row r="46" spans="1:9" s="4" customFormat="1" ht="12.75">
      <c r="A46" s="107">
        <f t="shared" si="1"/>
        <v>35</v>
      </c>
      <c r="B46" s="4" t="s">
        <v>135</v>
      </c>
      <c r="C46" s="109"/>
      <c r="D46" s="110"/>
      <c r="E46" s="109"/>
      <c r="F46" s="109"/>
      <c r="G46" s="111"/>
      <c r="H46" s="113" t="str">
        <f t="shared" si="0"/>
        <v/>
      </c>
      <c r="I46" s="112"/>
    </row>
    <row r="47" spans="1:9" s="4" customFormat="1" ht="12.75">
      <c r="A47" s="107">
        <f t="shared" si="1"/>
        <v>36</v>
      </c>
      <c r="B47" s="4" t="s">
        <v>136</v>
      </c>
      <c r="C47" s="109"/>
      <c r="D47" s="110"/>
      <c r="E47" s="109"/>
      <c r="F47" s="109"/>
      <c r="G47" s="111"/>
      <c r="H47" s="113" t="str">
        <f t="shared" si="0"/>
        <v/>
      </c>
      <c r="I47" s="112"/>
    </row>
    <row r="48" spans="1:9" s="4" customFormat="1" ht="12.75">
      <c r="A48" s="107">
        <f t="shared" si="1"/>
        <v>37</v>
      </c>
      <c r="B48" s="4" t="s">
        <v>137</v>
      </c>
      <c r="C48" s="109"/>
      <c r="D48" s="110"/>
      <c r="E48" s="109"/>
      <c r="F48" s="109"/>
      <c r="G48" s="111"/>
      <c r="H48" s="113" t="str">
        <f t="shared" si="0"/>
        <v/>
      </c>
      <c r="I48" s="112"/>
    </row>
    <row r="49" spans="1:9" s="4" customFormat="1" ht="12.75">
      <c r="A49" s="107">
        <f t="shared" si="1"/>
        <v>38</v>
      </c>
      <c r="B49" s="4" t="s">
        <v>138</v>
      </c>
      <c r="C49" s="109"/>
      <c r="D49" s="110"/>
      <c r="E49" s="109"/>
      <c r="F49" s="109"/>
      <c r="G49" s="111"/>
      <c r="H49" s="113" t="str">
        <f t="shared" si="0"/>
        <v/>
      </c>
      <c r="I49" s="112"/>
    </row>
    <row r="50" spans="1:9" s="4" customFormat="1" ht="12.75">
      <c r="A50" s="107">
        <f t="shared" si="1"/>
        <v>39</v>
      </c>
      <c r="B50" s="4" t="s">
        <v>139</v>
      </c>
      <c r="C50" s="109"/>
      <c r="D50" s="110"/>
      <c r="E50" s="109"/>
      <c r="F50" s="109"/>
      <c r="G50" s="111"/>
      <c r="H50" s="113" t="str">
        <f t="shared" si="0"/>
        <v/>
      </c>
      <c r="I50" s="112"/>
    </row>
    <row r="51" spans="1:10" s="4" customFormat="1" ht="12.75">
      <c r="A51" s="107">
        <f t="shared" si="1"/>
        <v>40</v>
      </c>
      <c r="B51" s="86" t="s">
        <v>46</v>
      </c>
      <c r="C51" s="109"/>
      <c r="D51" s="110"/>
      <c r="E51" s="109"/>
      <c r="F51" s="109"/>
      <c r="G51" s="122"/>
      <c r="H51" s="113" t="str">
        <f t="shared" si="0"/>
        <v/>
      </c>
      <c r="I51" s="112"/>
      <c r="J51" s="86"/>
    </row>
    <row r="52" spans="1:9" s="4" customFormat="1" ht="12.75">
      <c r="A52" s="107">
        <f t="shared" si="1"/>
        <v>41</v>
      </c>
      <c r="B52" s="4" t="s">
        <v>140</v>
      </c>
      <c r="C52" s="109"/>
      <c r="D52" s="110"/>
      <c r="E52" s="109"/>
      <c r="F52" s="109"/>
      <c r="G52" s="122"/>
      <c r="H52" s="113" t="str">
        <f t="shared" si="0"/>
        <v/>
      </c>
      <c r="I52" s="112"/>
    </row>
    <row r="53" spans="1:9" s="4" customFormat="1" ht="12.75">
      <c r="A53" s="107">
        <f t="shared" si="1"/>
        <v>42</v>
      </c>
      <c r="B53" s="4" t="s">
        <v>141</v>
      </c>
      <c r="C53" s="109"/>
      <c r="D53" s="110"/>
      <c r="E53" s="109"/>
      <c r="F53" s="109"/>
      <c r="G53" s="122"/>
      <c r="H53" s="113" t="str">
        <f t="shared" si="0"/>
        <v/>
      </c>
      <c r="I53" s="112"/>
    </row>
    <row r="54" spans="1:9" s="4" customFormat="1" ht="12.75">
      <c r="A54" s="107">
        <f t="shared" si="1"/>
        <v>43</v>
      </c>
      <c r="B54" s="4" t="s">
        <v>142</v>
      </c>
      <c r="C54" s="109"/>
      <c r="D54" s="110"/>
      <c r="E54" s="109"/>
      <c r="F54" s="109"/>
      <c r="G54" s="122"/>
      <c r="H54" s="113" t="str">
        <f t="shared" si="0"/>
        <v/>
      </c>
      <c r="I54" s="112"/>
    </row>
    <row r="55" spans="1:9" s="4" customFormat="1" ht="12.75">
      <c r="A55" s="107">
        <f t="shared" si="1"/>
        <v>44</v>
      </c>
      <c r="B55" s="4" t="s">
        <v>143</v>
      </c>
      <c r="C55" s="109"/>
      <c r="D55" s="110"/>
      <c r="E55" s="109"/>
      <c r="F55" s="109"/>
      <c r="G55" s="122"/>
      <c r="H55" s="113" t="str">
        <f t="shared" si="0"/>
        <v/>
      </c>
      <c r="I55" s="112"/>
    </row>
    <row r="56" spans="1:9" s="4" customFormat="1" ht="12.75">
      <c r="A56" s="107">
        <f t="shared" si="1"/>
        <v>45</v>
      </c>
      <c r="B56" s="4" t="s">
        <v>56</v>
      </c>
      <c r="C56" s="109"/>
      <c r="D56" s="110"/>
      <c r="E56" s="109"/>
      <c r="F56" s="109"/>
      <c r="G56" s="122"/>
      <c r="H56" s="113" t="str">
        <f t="shared" si="0"/>
        <v/>
      </c>
      <c r="I56" s="112"/>
    </row>
    <row r="57" spans="1:9" s="4" customFormat="1" ht="12.75">
      <c r="A57" s="107">
        <f t="shared" si="1"/>
        <v>46</v>
      </c>
      <c r="B57" s="4" t="s">
        <v>144</v>
      </c>
      <c r="C57" s="109"/>
      <c r="D57" s="110"/>
      <c r="E57" s="109"/>
      <c r="F57" s="109"/>
      <c r="G57" s="122"/>
      <c r="H57" s="113" t="str">
        <f t="shared" si="0"/>
        <v/>
      </c>
      <c r="I57" s="112"/>
    </row>
    <row r="58" spans="1:9" s="4" customFormat="1" ht="12.75">
      <c r="A58" s="107">
        <f t="shared" si="1"/>
        <v>47</v>
      </c>
      <c r="B58" s="4" t="s">
        <v>145</v>
      </c>
      <c r="C58" s="109"/>
      <c r="D58" s="110"/>
      <c r="E58" s="109"/>
      <c r="F58" s="109"/>
      <c r="G58" s="122"/>
      <c r="H58" s="113" t="str">
        <f t="shared" si="0"/>
        <v/>
      </c>
      <c r="I58" s="112"/>
    </row>
    <row r="59" spans="1:9" s="4" customFormat="1" ht="12.75">
      <c r="A59" s="107">
        <f t="shared" si="1"/>
        <v>48</v>
      </c>
      <c r="B59" s="4" t="s">
        <v>146</v>
      </c>
      <c r="C59" s="109"/>
      <c r="D59" s="110"/>
      <c r="E59" s="109"/>
      <c r="F59" s="109"/>
      <c r="G59" s="122"/>
      <c r="H59" s="113" t="str">
        <f t="shared" si="0"/>
        <v/>
      </c>
      <c r="I59" s="112"/>
    </row>
    <row r="60" spans="1:9" s="4" customFormat="1" ht="12.75">
      <c r="A60" s="107">
        <f t="shared" si="1"/>
        <v>49</v>
      </c>
      <c r="B60" s="4" t="s">
        <v>147</v>
      </c>
      <c r="C60" s="109"/>
      <c r="D60" s="110"/>
      <c r="E60" s="109"/>
      <c r="F60" s="109"/>
      <c r="G60" s="122"/>
      <c r="H60" s="113" t="str">
        <f t="shared" si="0"/>
        <v/>
      </c>
      <c r="I60" s="112"/>
    </row>
    <row r="61" spans="1:10" s="4" customFormat="1" ht="12.75">
      <c r="A61" s="107">
        <f t="shared" si="1"/>
        <v>50</v>
      </c>
      <c r="B61" s="86" t="s">
        <v>58</v>
      </c>
      <c r="C61" s="109"/>
      <c r="D61" s="110"/>
      <c r="E61" s="109"/>
      <c r="F61" s="109"/>
      <c r="G61" s="122"/>
      <c r="H61" s="113" t="str">
        <f t="shared" si="0"/>
        <v/>
      </c>
      <c r="I61" s="112"/>
      <c r="J61" s="86"/>
    </row>
    <row r="62" spans="1:11" s="4" customFormat="1" ht="12.75">
      <c r="A62" s="107">
        <f t="shared" si="1"/>
        <v>51</v>
      </c>
      <c r="B62" s="123" t="s">
        <v>59</v>
      </c>
      <c r="C62" s="109"/>
      <c r="D62" s="110"/>
      <c r="E62" s="109"/>
      <c r="F62" s="109"/>
      <c r="G62" s="124"/>
      <c r="H62" s="125"/>
      <c r="J62" s="123"/>
      <c r="K62" s="120"/>
    </row>
    <row r="63" spans="1:10" s="4" customFormat="1" ht="12.75">
      <c r="A63" s="107">
        <f t="shared" si="1"/>
        <v>52</v>
      </c>
      <c r="B63" s="123" t="s">
        <v>60</v>
      </c>
      <c r="C63" s="109"/>
      <c r="E63" s="109"/>
      <c r="F63" s="109"/>
      <c r="G63" s="122"/>
      <c r="H63" s="113" t="str">
        <f t="shared" si="0"/>
        <v/>
      </c>
      <c r="I63" s="112"/>
      <c r="J63" s="123"/>
    </row>
    <row r="64" spans="1:10" s="4" customFormat="1" ht="12.75">
      <c r="A64" s="107">
        <f t="shared" si="1"/>
        <v>53</v>
      </c>
      <c r="B64" s="123" t="s">
        <v>148</v>
      </c>
      <c r="C64" s="109"/>
      <c r="D64" s="110"/>
      <c r="E64" s="109"/>
      <c r="F64" s="109"/>
      <c r="G64" s="122"/>
      <c r="H64" s="113"/>
      <c r="I64" s="112"/>
      <c r="J64" s="123"/>
    </row>
    <row r="65" spans="1:11" s="4" customFormat="1" ht="12.75">
      <c r="A65" s="107">
        <f t="shared" si="1"/>
        <v>54</v>
      </c>
      <c r="B65" s="123" t="s">
        <v>62</v>
      </c>
      <c r="C65" s="109"/>
      <c r="D65" s="110"/>
      <c r="E65" s="109"/>
      <c r="F65" s="109"/>
      <c r="G65" s="122"/>
      <c r="H65" s="113" t="str">
        <f t="shared" si="0"/>
        <v/>
      </c>
      <c r="I65" s="112"/>
      <c r="J65" s="123"/>
      <c r="K65" s="4" t="s">
        <v>160</v>
      </c>
    </row>
    <row r="66" spans="1:11" s="4" customFormat="1" ht="12.75">
      <c r="A66" s="107">
        <f t="shared" si="1"/>
        <v>55</v>
      </c>
      <c r="B66" s="123" t="s">
        <v>63</v>
      </c>
      <c r="C66" s="109"/>
      <c r="D66" s="110"/>
      <c r="E66" s="109"/>
      <c r="F66" s="109"/>
      <c r="G66" s="122"/>
      <c r="H66" s="113" t="str">
        <f t="shared" si="0"/>
        <v/>
      </c>
      <c r="I66" s="112"/>
      <c r="J66" s="123"/>
      <c r="K66" s="4" t="s">
        <v>159</v>
      </c>
    </row>
    <row r="67" spans="1:10" s="4" customFormat="1" ht="12.75">
      <c r="A67" s="107">
        <f t="shared" si="1"/>
        <v>56</v>
      </c>
      <c r="B67" s="123" t="s">
        <v>99</v>
      </c>
      <c r="C67" s="109"/>
      <c r="D67" s="110"/>
      <c r="E67" s="109"/>
      <c r="F67" s="109"/>
      <c r="G67" s="122"/>
      <c r="H67" s="113" t="str">
        <f t="shared" si="0"/>
        <v/>
      </c>
      <c r="I67" s="112"/>
      <c r="J67" s="123"/>
    </row>
    <row r="68" spans="1:10" s="4" customFormat="1" ht="12.75">
      <c r="A68" s="107">
        <f t="shared" si="1"/>
        <v>57</v>
      </c>
      <c r="B68" s="123" t="s">
        <v>65</v>
      </c>
      <c r="C68" s="109"/>
      <c r="D68" s="110"/>
      <c r="E68" s="109"/>
      <c r="F68" s="109"/>
      <c r="G68" s="122"/>
      <c r="H68" s="113" t="str">
        <f t="shared" si="0"/>
        <v/>
      </c>
      <c r="I68" s="112"/>
      <c r="J68" s="123"/>
    </row>
    <row r="69" spans="1:10" s="4" customFormat="1" ht="12.75">
      <c r="A69" s="107">
        <f t="shared" si="1"/>
        <v>58</v>
      </c>
      <c r="B69" s="123" t="s">
        <v>66</v>
      </c>
      <c r="C69" s="109"/>
      <c r="D69" s="110"/>
      <c r="E69" s="109"/>
      <c r="F69" s="109"/>
      <c r="G69" s="122"/>
      <c r="H69" s="113" t="str">
        <f t="shared" si="0"/>
        <v/>
      </c>
      <c r="I69" s="112"/>
      <c r="J69" s="123"/>
    </row>
    <row r="70" spans="1:10" s="4" customFormat="1" ht="12.75">
      <c r="A70" s="107">
        <f t="shared" si="1"/>
        <v>59</v>
      </c>
      <c r="B70" s="123" t="s">
        <v>100</v>
      </c>
      <c r="C70" s="109"/>
      <c r="D70" s="110"/>
      <c r="E70" s="109"/>
      <c r="F70" s="109"/>
      <c r="G70" s="122"/>
      <c r="H70" s="113" t="str">
        <f t="shared" si="0"/>
        <v/>
      </c>
      <c r="I70" s="112"/>
      <c r="J70" s="123"/>
    </row>
    <row r="71" spans="1:10" s="4" customFormat="1" ht="12.75">
      <c r="A71" s="107">
        <f t="shared" si="1"/>
        <v>60</v>
      </c>
      <c r="B71" s="123" t="s">
        <v>68</v>
      </c>
      <c r="C71" s="109"/>
      <c r="D71" s="110"/>
      <c r="E71" s="109"/>
      <c r="F71" s="109"/>
      <c r="G71" s="122"/>
      <c r="H71" s="113" t="str">
        <f t="shared" si="0"/>
        <v/>
      </c>
      <c r="I71" s="112"/>
      <c r="J71" s="123"/>
    </row>
    <row r="72" spans="1:10" s="4" customFormat="1" ht="12.75">
      <c r="A72" s="107">
        <f t="shared" si="1"/>
        <v>61</v>
      </c>
      <c r="B72" s="123" t="s">
        <v>69</v>
      </c>
      <c r="C72" s="109"/>
      <c r="D72" s="110"/>
      <c r="E72" s="109"/>
      <c r="F72" s="109"/>
      <c r="G72" s="122"/>
      <c r="H72" s="113" t="str">
        <f t="shared" si="0"/>
        <v/>
      </c>
      <c r="I72" s="112"/>
      <c r="J72" s="123"/>
    </row>
    <row r="73" spans="1:10" s="4" customFormat="1" ht="12.75">
      <c r="A73" s="107">
        <f t="shared" si="1"/>
        <v>62</v>
      </c>
      <c r="B73" s="126" t="s">
        <v>149</v>
      </c>
      <c r="C73" s="109"/>
      <c r="D73" s="110"/>
      <c r="E73" s="109"/>
      <c r="F73" s="109"/>
      <c r="G73" s="122"/>
      <c r="H73" s="113" t="str">
        <f t="shared" si="0"/>
        <v/>
      </c>
      <c r="I73" s="112"/>
      <c r="J73" s="126"/>
    </row>
    <row r="74" spans="1:12" s="4" customFormat="1" ht="12.75">
      <c r="A74" s="107">
        <f t="shared" si="1"/>
        <v>63</v>
      </c>
      <c r="B74" s="126"/>
      <c r="C74" s="109"/>
      <c r="D74" s="110"/>
      <c r="E74" s="109"/>
      <c r="F74" s="109"/>
      <c r="G74" s="122"/>
      <c r="H74" s="113"/>
      <c r="K74" s="127">
        <f>SUM(D75:D75)</f>
        <v>0</v>
      </c>
      <c r="L74" s="126" t="s">
        <v>150</v>
      </c>
    </row>
    <row r="75" spans="1:12" s="4" customFormat="1" ht="12" thickBot="1">
      <c r="A75" s="107">
        <f t="shared" si="1"/>
        <v>64</v>
      </c>
      <c r="B75" s="87" t="s">
        <v>151</v>
      </c>
      <c r="C75" s="128">
        <f>SUM(C13:C73)</f>
        <v>131014.25076923076</v>
      </c>
      <c r="D75" s="129">
        <f>SUM(D13:D73)</f>
        <v>0</v>
      </c>
      <c r="E75" s="128">
        <f>SUM(E13:E73)</f>
        <v>131014.25076923076</v>
      </c>
      <c r="F75" s="183"/>
      <c r="G75" s="130" t="s">
        <v>152</v>
      </c>
      <c r="H75" s="128">
        <f>SUM(H13:H73)</f>
        <v>28246</v>
      </c>
      <c r="J75" s="128">
        <f>SUM(J13:J73)</f>
        <v>0</v>
      </c>
      <c r="K75" s="131">
        <f>SUM(D75:D75)-H75</f>
        <v>-28246</v>
      </c>
      <c r="L75" s="132">
        <f>SUM(D75:D75)-H75</f>
        <v>-28246</v>
      </c>
    </row>
    <row r="76" spans="1:12" s="4" customFormat="1" ht="12" thickTop="1">
      <c r="A76" s="107"/>
      <c r="C76" s="44"/>
      <c r="D76" s="44"/>
      <c r="E76" s="133">
        <f>SUM(C75:D75)</f>
        <v>131014.25076923076</v>
      </c>
      <c r="F76" s="133"/>
      <c r="G76" s="134"/>
      <c r="H76" s="44"/>
      <c r="K76" s="131">
        <f>E75-C75-H75</f>
        <v>-28246</v>
      </c>
      <c r="L76" s="86"/>
    </row>
    <row r="77" spans="3:8" s="4" customFormat="1" ht="11.25">
      <c r="C77" s="44"/>
      <c r="D77" s="44"/>
      <c r="E77" s="135" t="e">
        <f>E76-#REF!</f>
        <v>#REF!</v>
      </c>
      <c r="F77" s="135"/>
      <c r="G77" s="134"/>
      <c r="H77" s="44"/>
    </row>
    <row r="78" spans="2:8" s="4" customFormat="1" ht="11.25">
      <c r="B78" s="186" t="s">
        <v>163</v>
      </c>
      <c r="C78" s="44"/>
      <c r="D78" s="44"/>
      <c r="E78" s="44"/>
      <c r="F78" s="44"/>
      <c r="G78" s="111"/>
      <c r="H78" s="44"/>
    </row>
    <row r="79" spans="3:8" s="4" customFormat="1" ht="11.25">
      <c r="C79" s="44"/>
      <c r="D79" s="44"/>
      <c r="E79" s="44"/>
      <c r="F79" s="44"/>
      <c r="G79" s="111"/>
      <c r="H79" s="44"/>
    </row>
    <row r="80" spans="3:8" s="4" customFormat="1" ht="11.25">
      <c r="C80" s="44"/>
      <c r="D80" s="44"/>
      <c r="E80" s="44"/>
      <c r="F80" s="44"/>
      <c r="G80" s="111"/>
      <c r="H80" s="44"/>
    </row>
    <row r="81" s="4" customFormat="1" ht="11.25">
      <c r="G81" s="41"/>
    </row>
    <row r="82" spans="2:7" s="4" customFormat="1" ht="11.25">
      <c r="B82" s="254" t="s">
        <v>210</v>
      </c>
      <c r="G82" s="41"/>
    </row>
    <row r="83" spans="2:7" s="4" customFormat="1" ht="11.25">
      <c r="B83" s="4" t="s">
        <v>201</v>
      </c>
      <c r="C83" s="44">
        <f>+H75</f>
        <v>28246</v>
      </c>
      <c r="G83" s="41"/>
    </row>
    <row r="84" spans="2:7" s="4" customFormat="1" ht="11.25">
      <c r="B84" s="4" t="s">
        <v>202</v>
      </c>
      <c r="C84" s="44">
        <f>-'MARION A 10'!H75</f>
        <v>-18414</v>
      </c>
      <c r="G84" s="41"/>
    </row>
    <row r="85" spans="2:7" s="4" customFormat="1" ht="11.25">
      <c r="B85" s="4" t="s">
        <v>179</v>
      </c>
      <c r="C85" s="44">
        <f>-'MARION A 12'!G112</f>
        <v>-2257.1999999999998</v>
      </c>
      <c r="G85" s="41"/>
    </row>
    <row r="86" spans="2:7" s="4" customFormat="1" ht="13.5">
      <c r="B86" s="4" t="s">
        <v>195</v>
      </c>
      <c r="C86" s="223">
        <f>+'MARION A 12'!N112</f>
        <v>563.98649999999998</v>
      </c>
      <c r="G86" s="41"/>
    </row>
    <row r="87" spans="2:7" s="4" customFormat="1" ht="11.25">
      <c r="B87" s="4" t="s">
        <v>71</v>
      </c>
      <c r="C87" s="253">
        <f>SUM(C83:C86)</f>
        <v>8138.7865000000002</v>
      </c>
      <c r="G87" s="41"/>
    </row>
    <row r="88" spans="2:7" s="4" customFormat="1" ht="11.25">
      <c r="B88" s="4" t="s">
        <v>203</v>
      </c>
      <c r="C88" s="44">
        <v>-16641</v>
      </c>
      <c r="G88" s="41"/>
    </row>
    <row r="89" s="4" customFormat="1" ht="11.25">
      <c r="G89" s="41"/>
    </row>
    <row r="90" s="4" customFormat="1" ht="11.25">
      <c r="G90" s="41"/>
    </row>
    <row r="91" s="4" customFormat="1" ht="11.25">
      <c r="G91" s="41"/>
    </row>
    <row r="92" s="4" customFormat="1" ht="11.25">
      <c r="G92" s="41"/>
    </row>
    <row r="93" s="4" customFormat="1" ht="11.25">
      <c r="G93" s="41"/>
    </row>
    <row r="94" s="4" customFormat="1" ht="11.25">
      <c r="G94" s="41"/>
    </row>
    <row r="95" s="4" customFormat="1" ht="11.25">
      <c r="G95" s="41"/>
    </row>
    <row r="96" s="4" customFormat="1" ht="11.25">
      <c r="G96" s="41"/>
    </row>
    <row r="97" s="4" customFormat="1" ht="11.25">
      <c r="G97" s="41"/>
    </row>
    <row r="98" s="4" customFormat="1" ht="11.25">
      <c r="G98" s="41"/>
    </row>
    <row r="99" s="4" customFormat="1" ht="11.25">
      <c r="G99" s="41"/>
    </row>
    <row r="100" s="4" customFormat="1" ht="11.25">
      <c r="G100" s="41"/>
    </row>
    <row r="101" s="4" customFormat="1" ht="11.25">
      <c r="G101" s="41"/>
    </row>
    <row r="102" s="4" customFormat="1" ht="11.25">
      <c r="G102" s="41"/>
    </row>
    <row r="103" s="4" customFormat="1" ht="11.25">
      <c r="G103" s="41"/>
    </row>
    <row r="104" s="4" customFormat="1" ht="11.25">
      <c r="G104" s="41"/>
    </row>
    <row r="105" s="4" customFormat="1" ht="11.25">
      <c r="G105" s="41"/>
    </row>
    <row r="106" s="4" customFormat="1" ht="11.25">
      <c r="G106" s="41"/>
    </row>
    <row r="107" s="4" customFormat="1" ht="11.25">
      <c r="G107" s="41"/>
    </row>
    <row r="108" s="4" customFormat="1" ht="11.25">
      <c r="G108" s="41"/>
    </row>
    <row r="109" s="4" customFormat="1" ht="11.25">
      <c r="G109" s="41"/>
    </row>
    <row r="110" s="4" customFormat="1" ht="11.25">
      <c r="G110" s="41"/>
    </row>
    <row r="111" s="4" customFormat="1" ht="11.25">
      <c r="G111" s="41"/>
    </row>
    <row r="112" s="4" customFormat="1" ht="11.25">
      <c r="G112" s="41"/>
    </row>
    <row r="113" s="4" customFormat="1" ht="11.25">
      <c r="G113" s="41"/>
    </row>
    <row r="114" s="4" customFormat="1" ht="11.25">
      <c r="G114" s="41"/>
    </row>
    <row r="115" s="4" customFormat="1" ht="11.25">
      <c r="G115" s="41"/>
    </row>
    <row r="116" s="4" customFormat="1" ht="11.25">
      <c r="G116" s="41"/>
    </row>
    <row r="117" s="4" customFormat="1" ht="11.25">
      <c r="G117" s="41"/>
    </row>
    <row r="118" s="4" customFormat="1" ht="11.25">
      <c r="G118" s="41"/>
    </row>
    <row r="119" s="4" customFormat="1" ht="11.25">
      <c r="G119" s="41"/>
    </row>
    <row r="120" s="4" customFormat="1" ht="11.25">
      <c r="G120" s="41"/>
    </row>
    <row r="121" s="4" customFormat="1" ht="11.25">
      <c r="G121" s="41"/>
    </row>
    <row r="122" s="4" customFormat="1" ht="11.25">
      <c r="G122" s="41"/>
    </row>
    <row r="123" s="4" customFormat="1" ht="11.25">
      <c r="G123" s="41"/>
    </row>
    <row r="124" s="4" customFormat="1" ht="11.25">
      <c r="G124" s="41"/>
    </row>
    <row r="125" s="4" customFormat="1" ht="11.25">
      <c r="G125" s="41"/>
    </row>
    <row r="126" s="4" customFormat="1" ht="11.25">
      <c r="G126" s="41"/>
    </row>
    <row r="127" s="4" customFormat="1" ht="11.25">
      <c r="G127" s="41"/>
    </row>
    <row r="128" s="4" customFormat="1" ht="11.25">
      <c r="G128" s="41"/>
    </row>
    <row r="129" s="4" customFormat="1" ht="11.25">
      <c r="G129" s="41"/>
    </row>
    <row r="130" s="4" customFormat="1" ht="11.25">
      <c r="G130" s="41"/>
    </row>
    <row r="131" s="4" customFormat="1" ht="11.25">
      <c r="G131" s="41"/>
    </row>
    <row r="132" s="4" customFormat="1" ht="11.25">
      <c r="G132" s="41"/>
    </row>
    <row r="133" s="4" customFormat="1" ht="11.25">
      <c r="G133" s="41"/>
    </row>
    <row r="134" s="4" customFormat="1" ht="11.25">
      <c r="G134" s="41"/>
    </row>
    <row r="135" s="4" customFormat="1" ht="11.25">
      <c r="G135" s="41"/>
    </row>
    <row r="136" s="4" customFormat="1" ht="11.25">
      <c r="G136" s="41"/>
    </row>
    <row r="137" s="4" customFormat="1" ht="11.25">
      <c r="G137" s="41"/>
    </row>
    <row r="138" spans="1:7" s="4" customFormat="1" ht="11.25">
      <c r="A138" s="136"/>
      <c r="B138" s="136"/>
      <c r="G138" s="41"/>
    </row>
    <row r="139" spans="1:7" s="4" customFormat="1" ht="11.25">
      <c r="A139" s="136"/>
      <c r="B139" s="136"/>
      <c r="G139" s="41"/>
    </row>
    <row r="140" spans="1:7" s="4" customFormat="1" ht="11.25">
      <c r="A140" s="136"/>
      <c r="B140" s="136"/>
      <c r="G140" s="41"/>
    </row>
    <row r="141" spans="1:7" s="4" customFormat="1" ht="11.25">
      <c r="A141" s="136"/>
      <c r="B141" s="136"/>
      <c r="G141" s="41"/>
    </row>
    <row r="142" spans="1:7" s="4" customFormat="1" ht="11.25">
      <c r="A142" s="136"/>
      <c r="B142" s="136"/>
      <c r="G142" s="41"/>
    </row>
    <row r="143" s="4" customFormat="1" ht="11.25">
      <c r="G143" s="41"/>
    </row>
    <row r="144" s="4" customFormat="1" ht="11.25">
      <c r="G144" s="41"/>
    </row>
    <row r="145" s="4" customFormat="1" ht="11.25">
      <c r="G145" s="41"/>
    </row>
    <row r="146" s="4" customFormat="1" ht="11.25">
      <c r="G146" s="41"/>
    </row>
    <row r="147" s="4" customFormat="1" ht="11.25">
      <c r="G147" s="41"/>
    </row>
    <row r="148" s="4" customFormat="1" ht="11.25">
      <c r="G148" s="41"/>
    </row>
    <row r="149" s="4" customFormat="1" ht="11.25">
      <c r="G149" s="41"/>
    </row>
    <row r="150" s="4" customFormat="1" ht="11.25">
      <c r="G150" s="41"/>
    </row>
    <row r="151" s="4" customFormat="1" ht="11.25">
      <c r="G151" s="41"/>
    </row>
    <row r="152" s="4" customFormat="1" ht="11.25">
      <c r="G152" s="41"/>
    </row>
    <row r="153" s="4" customFormat="1" ht="11.25">
      <c r="G153" s="41"/>
    </row>
    <row r="154" s="4" customFormat="1" ht="11.25">
      <c r="G154" s="41"/>
    </row>
    <row r="155" s="4" customFormat="1" ht="11.25">
      <c r="G155" s="41"/>
    </row>
    <row r="156" s="4" customFormat="1" ht="11.25">
      <c r="G156" s="41"/>
    </row>
    <row r="157" s="4" customFormat="1" ht="11.25">
      <c r="G157" s="41"/>
    </row>
    <row r="158" s="4" customFormat="1" ht="11.25">
      <c r="G158" s="41"/>
    </row>
    <row r="159" s="4" customFormat="1" ht="11.25">
      <c r="G159" s="41"/>
    </row>
    <row r="160" s="4" customFormat="1" ht="11.25">
      <c r="G160" s="41"/>
    </row>
    <row r="161" s="4" customFormat="1" ht="11.25">
      <c r="G161" s="41"/>
    </row>
    <row r="162" s="4" customFormat="1" ht="11.25">
      <c r="G162" s="41"/>
    </row>
    <row r="163" s="4" customFormat="1" ht="11.25">
      <c r="G163" s="41"/>
    </row>
    <row r="164" s="4" customFormat="1" ht="11.25">
      <c r="G164" s="41"/>
    </row>
    <row r="165" s="4" customFormat="1" ht="11.25">
      <c r="G165" s="41"/>
    </row>
    <row r="166" s="4" customFormat="1" ht="11.25">
      <c r="G166" s="41"/>
    </row>
    <row r="167" s="4" customFormat="1" ht="11.25">
      <c r="G167" s="41"/>
    </row>
    <row r="168" s="4" customFormat="1" ht="11.25">
      <c r="G168" s="41"/>
    </row>
    <row r="169" s="4" customFormat="1" ht="11.25">
      <c r="G169" s="41"/>
    </row>
    <row r="170" s="4" customFormat="1" ht="11.25">
      <c r="G170" s="41"/>
    </row>
    <row r="171" s="4" customFormat="1" ht="11.25">
      <c r="G171" s="41"/>
    </row>
    <row r="172" spans="1:7" s="4" customFormat="1" ht="11.25">
      <c r="A172" s="136"/>
      <c r="B172" s="136"/>
      <c r="G172" s="41"/>
    </row>
    <row r="173" s="4" customFormat="1" ht="11.25">
      <c r="G173" s="41"/>
    </row>
    <row r="174" s="4" customFormat="1" ht="11.25">
      <c r="G174" s="41"/>
    </row>
    <row r="175" s="4" customFormat="1" ht="11.25">
      <c r="G175" s="41"/>
    </row>
    <row r="176" s="4" customFormat="1" ht="11.25">
      <c r="G176" s="41"/>
    </row>
    <row r="177" s="4" customFormat="1" ht="11.25">
      <c r="G177" s="41"/>
    </row>
    <row r="178" s="4" customFormat="1" ht="11.25">
      <c r="G178" s="41"/>
    </row>
    <row r="179" s="4" customFormat="1" ht="11.25">
      <c r="G179" s="41"/>
    </row>
    <row r="180" s="4" customFormat="1" ht="11.25">
      <c r="G180" s="41"/>
    </row>
    <row r="181" s="4" customFormat="1" ht="11.25">
      <c r="G181" s="41"/>
    </row>
    <row r="182" s="4" customFormat="1" ht="11.25">
      <c r="G182" s="41"/>
    </row>
    <row r="183" s="4" customFormat="1" ht="11.25">
      <c r="G183" s="41"/>
    </row>
    <row r="184" s="4" customFormat="1" ht="11.25">
      <c r="G184" s="41"/>
    </row>
    <row r="185" s="4" customFormat="1" ht="11.25">
      <c r="G185" s="41"/>
    </row>
    <row r="186" s="4" customFormat="1" ht="11.25">
      <c r="G186" s="41"/>
    </row>
    <row r="187" s="4" customFormat="1" ht="11.25">
      <c r="G187" s="41"/>
    </row>
    <row r="188" s="4" customFormat="1" ht="11.25">
      <c r="G188" s="41"/>
    </row>
    <row r="189" s="4" customFormat="1" ht="11.25">
      <c r="G189" s="41"/>
    </row>
    <row r="190" s="4" customFormat="1" ht="11.25">
      <c r="G190" s="41"/>
    </row>
    <row r="191" s="4" customFormat="1" ht="11.25">
      <c r="G191" s="41"/>
    </row>
    <row r="192" s="4" customFormat="1" ht="11.25">
      <c r="G192" s="41"/>
    </row>
    <row r="193" s="4" customFormat="1" ht="11.25">
      <c r="G193" s="41"/>
    </row>
    <row r="194" s="4" customFormat="1" ht="11.25">
      <c r="G194" s="41"/>
    </row>
    <row r="195" s="4" customFormat="1" ht="11.25">
      <c r="G195" s="41"/>
    </row>
    <row r="196" s="4" customFormat="1" ht="11.25">
      <c r="G196" s="41"/>
    </row>
    <row r="197" s="4" customFormat="1" ht="11.25">
      <c r="G197" s="41"/>
    </row>
    <row r="198" s="4" customFormat="1" ht="11.25">
      <c r="G198" s="41"/>
    </row>
    <row r="199" s="4" customFormat="1" ht="11.25">
      <c r="G199" s="41"/>
    </row>
    <row r="200" s="4" customFormat="1" ht="11.25">
      <c r="G200" s="41"/>
    </row>
    <row r="201" s="4" customFormat="1" ht="11.25">
      <c r="G201" s="41"/>
    </row>
    <row r="202" s="4" customFormat="1" ht="11.25">
      <c r="G202" s="41"/>
    </row>
    <row r="203" s="4" customFormat="1" ht="11.25">
      <c r="G203" s="41"/>
    </row>
    <row r="204" s="4" customFormat="1" ht="11.25">
      <c r="G204" s="41"/>
    </row>
    <row r="205" s="4" customFormat="1" ht="11.25">
      <c r="G205" s="41"/>
    </row>
    <row r="206" s="4" customFormat="1" ht="11.25">
      <c r="G206" s="41"/>
    </row>
    <row r="207" s="4" customFormat="1" ht="11.25">
      <c r="G207" s="41"/>
    </row>
    <row r="208" s="4" customFormat="1" ht="11.25">
      <c r="G208" s="41"/>
    </row>
    <row r="209" s="4" customFormat="1" ht="11.25">
      <c r="G209" s="41"/>
    </row>
    <row r="210" s="4" customFormat="1" ht="11.25">
      <c r="G210" s="41"/>
    </row>
    <row r="211" s="4" customFormat="1" ht="11.25">
      <c r="G211" s="41"/>
    </row>
    <row r="212" s="4" customFormat="1" ht="11.25">
      <c r="G212" s="41"/>
    </row>
    <row r="213" s="4" customFormat="1" ht="11.25">
      <c r="G213" s="41"/>
    </row>
    <row r="214" s="4" customFormat="1" ht="11.25">
      <c r="G214" s="41"/>
    </row>
    <row r="215" s="4" customFormat="1" ht="11.25">
      <c r="G215" s="41"/>
    </row>
    <row r="216" s="4" customFormat="1" ht="11.25">
      <c r="G216" s="41"/>
    </row>
    <row r="217" s="4" customFormat="1" ht="11.25">
      <c r="G217" s="41"/>
    </row>
    <row r="218" s="4" customFormat="1" ht="11.25">
      <c r="G218" s="41"/>
    </row>
    <row r="219" s="4" customFormat="1" ht="11.25">
      <c r="G219" s="41"/>
    </row>
    <row r="220" s="4" customFormat="1" ht="11.25">
      <c r="G220" s="41"/>
    </row>
    <row r="221" s="4" customFormat="1" ht="11.25">
      <c r="G221" s="41"/>
    </row>
    <row r="222" s="4" customFormat="1" ht="11.25">
      <c r="G222" s="41"/>
    </row>
    <row r="223" s="4" customFormat="1" ht="11.25">
      <c r="G223" s="41"/>
    </row>
    <row r="224" s="4" customFormat="1" ht="11.25">
      <c r="G224" s="41"/>
    </row>
    <row r="225" s="4" customFormat="1" ht="11.25">
      <c r="G225" s="41"/>
    </row>
    <row r="226" s="4" customFormat="1" ht="11.25">
      <c r="G226" s="41"/>
    </row>
    <row r="227" s="4" customFormat="1" ht="11.25">
      <c r="G227" s="41"/>
    </row>
    <row r="228" s="4" customFormat="1" ht="11.25">
      <c r="G228" s="41"/>
    </row>
    <row r="229" s="4" customFormat="1" ht="11.25">
      <c r="G229" s="41"/>
    </row>
    <row r="230" s="4" customFormat="1" ht="11.25">
      <c r="G230" s="41"/>
    </row>
    <row r="231" s="4" customFormat="1" ht="11.25">
      <c r="G231" s="41"/>
    </row>
    <row r="232" s="4" customFormat="1" ht="11.25">
      <c r="G232" s="41"/>
    </row>
    <row r="233" s="4" customFormat="1" ht="11.25">
      <c r="G233" s="41"/>
    </row>
    <row r="234" s="4" customFormat="1" ht="11.25">
      <c r="G234" s="41"/>
    </row>
    <row r="235" s="4" customFormat="1" ht="11.25">
      <c r="G235" s="41"/>
    </row>
    <row r="236" s="4" customFormat="1" ht="11.25">
      <c r="G236" s="41"/>
    </row>
    <row r="237" s="4" customFormat="1" ht="11.25">
      <c r="G237" s="41"/>
    </row>
    <row r="238" s="4" customFormat="1" ht="11.25">
      <c r="G238" s="41"/>
    </row>
    <row r="239" s="4" customFormat="1" ht="11.25">
      <c r="G239" s="41"/>
    </row>
    <row r="240" s="4" customFormat="1" ht="11.25">
      <c r="G240" s="41"/>
    </row>
    <row r="241" spans="1:7" s="4" customFormat="1" ht="11.25">
      <c r="A241" s="86"/>
      <c r="G241" s="41"/>
    </row>
    <row r="242" s="4" customFormat="1" ht="11.25">
      <c r="G242" s="41"/>
    </row>
    <row r="243" s="4" customFormat="1" ht="11.25">
      <c r="G243" s="41"/>
    </row>
    <row r="244" s="4" customFormat="1" ht="11.25">
      <c r="G244" s="41"/>
    </row>
    <row r="245" s="4" customFormat="1" ht="11.25">
      <c r="G245" s="41"/>
    </row>
    <row r="246" s="4" customFormat="1" ht="11.25">
      <c r="G246" s="41"/>
    </row>
    <row r="247" s="4" customFormat="1" ht="11.25">
      <c r="G247" s="41"/>
    </row>
    <row r="248" s="4" customFormat="1" ht="11.25">
      <c r="G248" s="41"/>
    </row>
    <row r="249" s="4" customFormat="1" ht="11.25">
      <c r="G249" s="41"/>
    </row>
    <row r="250" s="4" customFormat="1" ht="11.25">
      <c r="G250" s="41"/>
    </row>
    <row r="251" s="4" customFormat="1" ht="11.25">
      <c r="G251" s="41"/>
    </row>
    <row r="252" s="4" customFormat="1" ht="11.25">
      <c r="G252" s="41"/>
    </row>
    <row r="253" s="4" customFormat="1" ht="11.25">
      <c r="G253" s="41"/>
    </row>
    <row r="254" s="4" customFormat="1" ht="11.25">
      <c r="G254" s="41"/>
    </row>
    <row r="255" s="4" customFormat="1" ht="11.25">
      <c r="G255" s="41"/>
    </row>
    <row r="256" s="4" customFormat="1" ht="11.25">
      <c r="G256" s="41"/>
    </row>
    <row r="257" s="4" customFormat="1" ht="11.25">
      <c r="G257" s="41"/>
    </row>
    <row r="258" spans="1:7" s="4" customFormat="1" ht="11.25">
      <c r="A258" s="136"/>
      <c r="G258" s="41"/>
    </row>
    <row r="259" spans="1:7" s="4" customFormat="1" ht="11.25">
      <c r="A259" s="136"/>
      <c r="G259" s="41"/>
    </row>
    <row r="260" spans="1:7" s="4" customFormat="1" ht="11.25">
      <c r="A260" s="136"/>
      <c r="G260" s="41"/>
    </row>
    <row r="261" spans="1:7" s="4" customFormat="1" ht="11.25">
      <c r="A261" s="136"/>
      <c r="G261" s="41"/>
    </row>
    <row r="262" spans="1:7" s="4" customFormat="1" ht="11.25">
      <c r="A262" s="136"/>
      <c r="G262" s="41"/>
    </row>
    <row r="263" spans="1:7" s="4" customFormat="1" ht="11.25">
      <c r="A263" s="136"/>
      <c r="G263" s="41"/>
    </row>
    <row r="264" spans="1:7" s="4" customFormat="1" ht="11.25">
      <c r="A264" s="136"/>
      <c r="G264" s="41"/>
    </row>
    <row r="265" spans="1:7" s="4" customFormat="1" ht="11.25">
      <c r="A265" s="136"/>
      <c r="G265" s="41"/>
    </row>
    <row r="266" spans="1:7" s="4" customFormat="1" ht="11.25">
      <c r="A266" s="136"/>
      <c r="G266" s="41"/>
    </row>
    <row r="267" spans="1:7" s="4" customFormat="1" ht="11.25">
      <c r="A267" s="136"/>
      <c r="G267" s="41"/>
    </row>
    <row r="268" spans="1:7" s="4" customFormat="1" ht="11.25">
      <c r="A268" s="136"/>
      <c r="G268" s="41"/>
    </row>
    <row r="269" spans="1:7" s="4" customFormat="1" ht="11.25">
      <c r="A269" s="136"/>
      <c r="G269" s="41"/>
    </row>
    <row r="270" spans="1:7" s="4" customFormat="1" ht="11.25">
      <c r="A270" s="136"/>
      <c r="G270" s="41"/>
    </row>
    <row r="271" spans="1:7" s="4" customFormat="1" ht="11.25">
      <c r="A271" s="136"/>
      <c r="G271" s="41"/>
    </row>
    <row r="272" spans="1:7" s="4" customFormat="1" ht="11.25">
      <c r="A272" s="136"/>
      <c r="G272" s="41"/>
    </row>
    <row r="273" spans="1:7" s="4" customFormat="1" ht="11.25">
      <c r="A273" s="136"/>
      <c r="G273" s="41"/>
    </row>
    <row r="274" spans="1:7" s="4" customFormat="1" ht="11.25">
      <c r="A274" s="136"/>
      <c r="G274" s="41"/>
    </row>
    <row r="275" spans="1:7" s="4" customFormat="1" ht="11.25">
      <c r="A275" s="136"/>
      <c r="G275" s="41"/>
    </row>
    <row r="276" spans="1:7" s="4" customFormat="1" ht="11.25">
      <c r="A276" s="136"/>
      <c r="G276" s="41"/>
    </row>
    <row r="277" spans="1:7" s="4" customFormat="1" ht="11.25">
      <c r="A277" s="136"/>
      <c r="G277" s="41"/>
    </row>
    <row r="278" spans="1:7" s="4" customFormat="1" ht="11.25">
      <c r="A278" s="136"/>
      <c r="G278" s="41"/>
    </row>
    <row r="279" spans="1:7" s="4" customFormat="1" ht="11.25">
      <c r="A279" s="136"/>
      <c r="G279" s="41"/>
    </row>
    <row r="280" spans="1:7" s="4" customFormat="1" ht="11.25">
      <c r="A280" s="136"/>
      <c r="G280" s="41"/>
    </row>
    <row r="281" spans="1:7" s="4" customFormat="1" ht="11.25">
      <c r="A281" s="136"/>
      <c r="G281" s="41"/>
    </row>
    <row r="282" spans="1:7" s="4" customFormat="1" ht="11.25">
      <c r="A282" s="136"/>
      <c r="G282" s="41"/>
    </row>
    <row r="283" spans="1:7" s="4" customFormat="1" ht="11.25">
      <c r="A283" s="136"/>
      <c r="G283" s="41"/>
    </row>
    <row r="284" spans="1:7" s="4" customFormat="1" ht="11.25">
      <c r="A284" s="136"/>
      <c r="G284" s="41"/>
    </row>
    <row r="285" spans="1:7" s="4" customFormat="1" ht="11.25">
      <c r="A285" s="136"/>
      <c r="G285" s="41"/>
    </row>
    <row r="286" spans="1:7" s="4" customFormat="1" ht="11.25">
      <c r="A286" s="136"/>
      <c r="G286" s="41"/>
    </row>
    <row r="287" spans="1:7" s="4" customFormat="1" ht="11.25">
      <c r="A287" s="136"/>
      <c r="G287" s="41"/>
    </row>
    <row r="288" spans="1:7" s="4" customFormat="1" ht="11.25">
      <c r="A288" s="136"/>
      <c r="G288" s="41"/>
    </row>
    <row r="289" spans="1:7" s="4" customFormat="1" ht="11.25">
      <c r="A289" s="136"/>
      <c r="G289" s="41"/>
    </row>
    <row r="290" spans="1:7" s="4" customFormat="1" ht="11.25">
      <c r="A290" s="136"/>
      <c r="G290" s="41"/>
    </row>
    <row r="291" spans="1:7" s="4" customFormat="1" ht="11.25">
      <c r="A291" s="136"/>
      <c r="G291" s="41"/>
    </row>
    <row r="292" spans="1:7" s="4" customFormat="1" ht="11.25">
      <c r="A292" s="136"/>
      <c r="G292" s="41"/>
    </row>
    <row r="293" spans="1:7" s="4" customFormat="1" ht="11.25">
      <c r="A293" s="136"/>
      <c r="G293" s="41"/>
    </row>
    <row r="294" spans="1:7" s="4" customFormat="1" ht="11.25">
      <c r="A294" s="136"/>
      <c r="G294" s="41"/>
    </row>
    <row r="295" spans="1:7" s="4" customFormat="1" ht="11.25">
      <c r="A295" s="136"/>
      <c r="G295" s="41"/>
    </row>
    <row r="296" spans="1:7" s="4" customFormat="1" ht="11.25">
      <c r="A296" s="136"/>
      <c r="G296" s="41"/>
    </row>
    <row r="297" spans="1:7" s="4" customFormat="1" ht="11.25">
      <c r="A297" s="136"/>
      <c r="G297" s="41"/>
    </row>
    <row r="298" spans="1:7" s="4" customFormat="1" ht="11.25">
      <c r="A298" s="136"/>
      <c r="G298" s="41"/>
    </row>
    <row r="299" spans="1:7" s="4" customFormat="1" ht="11.25">
      <c r="A299" s="136"/>
      <c r="G299" s="41"/>
    </row>
    <row r="300" spans="1:7" s="4" customFormat="1" ht="11.25">
      <c r="A300" s="136"/>
      <c r="G300" s="41"/>
    </row>
    <row r="301" spans="1:7" s="4" customFormat="1" ht="11.25">
      <c r="A301" s="136"/>
      <c r="G301" s="41"/>
    </row>
    <row r="302" spans="1:7" s="4" customFormat="1" ht="11.25">
      <c r="A302" s="136"/>
      <c r="G302" s="41"/>
    </row>
    <row r="303" spans="1:7" s="4" customFormat="1" ht="11.25">
      <c r="A303" s="136"/>
      <c r="G303" s="41"/>
    </row>
    <row r="304" spans="1:7" s="4" customFormat="1" ht="11.25">
      <c r="A304" s="136"/>
      <c r="G304" s="41"/>
    </row>
    <row r="305" spans="1:7" s="4" customFormat="1" ht="11.25">
      <c r="A305" s="136"/>
      <c r="G305" s="41"/>
    </row>
    <row r="306" spans="1:7" s="4" customFormat="1" ht="11.25">
      <c r="A306" s="136"/>
      <c r="G306" s="41"/>
    </row>
    <row r="307" spans="1:7" s="4" customFormat="1" ht="11.25">
      <c r="A307" s="136"/>
      <c r="G307" s="41"/>
    </row>
    <row r="308" spans="1:7" s="4" customFormat="1" ht="11.25">
      <c r="A308" s="136"/>
      <c r="G308" s="41"/>
    </row>
    <row r="309" spans="1:7" s="4" customFormat="1" ht="11.25">
      <c r="A309" s="136"/>
      <c r="G309" s="41"/>
    </row>
    <row r="310" spans="1:7" s="4" customFormat="1" ht="11.25">
      <c r="A310" s="136"/>
      <c r="G310" s="41"/>
    </row>
    <row r="311" spans="1:7" s="4" customFormat="1" ht="11.25">
      <c r="A311" s="136"/>
      <c r="G311" s="41"/>
    </row>
    <row r="312" spans="1:7" s="4" customFormat="1" ht="11.25">
      <c r="A312" s="136"/>
      <c r="G312" s="41"/>
    </row>
    <row r="313" s="4" customFormat="1" ht="11.25">
      <c r="G313" s="41"/>
    </row>
    <row r="314" s="4" customFormat="1" ht="11.25">
      <c r="G314" s="41"/>
    </row>
    <row r="315" s="4" customFormat="1" ht="11.25">
      <c r="G315" s="41"/>
    </row>
    <row r="316" s="4" customFormat="1" ht="11.25">
      <c r="G316" s="41"/>
    </row>
    <row r="317" s="4" customFormat="1" ht="11.25">
      <c r="G317" s="41"/>
    </row>
    <row r="318" s="4" customFormat="1" ht="11.25">
      <c r="G318" s="41"/>
    </row>
    <row r="319" s="4" customFormat="1" ht="11.25">
      <c r="G319" s="41"/>
    </row>
    <row r="320" s="4" customFormat="1" ht="11.25">
      <c r="G320" s="41"/>
    </row>
    <row r="321" s="4" customFormat="1" ht="11.25">
      <c r="G321" s="41"/>
    </row>
    <row r="322" s="4" customFormat="1" ht="11.25">
      <c r="G322" s="41"/>
    </row>
    <row r="323" s="4" customFormat="1" ht="11.25">
      <c r="G323" s="41"/>
    </row>
    <row r="324" s="4" customFormat="1" ht="11.25">
      <c r="G324" s="41"/>
    </row>
    <row r="325" s="4" customFormat="1" ht="11.25">
      <c r="G325" s="41"/>
    </row>
    <row r="326" s="4" customFormat="1" ht="11.25">
      <c r="G326" s="41"/>
    </row>
    <row r="327" s="4" customFormat="1" ht="11.25">
      <c r="G327" s="41"/>
    </row>
    <row r="328" s="4" customFormat="1" ht="11.25">
      <c r="G328" s="41"/>
    </row>
    <row r="329" s="4" customFormat="1" ht="11.25">
      <c r="G329" s="41"/>
    </row>
    <row r="330" s="4" customFormat="1" ht="11.25">
      <c r="G330" s="41"/>
    </row>
    <row r="331" s="4" customFormat="1" ht="11.25">
      <c r="G331" s="41"/>
    </row>
    <row r="332" s="4" customFormat="1" ht="11.25">
      <c r="G332" s="41"/>
    </row>
    <row r="333" s="4" customFormat="1" ht="11.25">
      <c r="G333" s="41"/>
    </row>
    <row r="334" s="4" customFormat="1" ht="11.25">
      <c r="G334" s="41"/>
    </row>
    <row r="335" s="4" customFormat="1" ht="11.25">
      <c r="G335" s="41"/>
    </row>
    <row r="336" s="4" customFormat="1" ht="11.25">
      <c r="G336" s="41"/>
    </row>
    <row r="337" s="4" customFormat="1" ht="11.25">
      <c r="G337" s="41"/>
    </row>
    <row r="338" s="4" customFormat="1" ht="11.25">
      <c r="G338" s="41"/>
    </row>
    <row r="339" s="4" customFormat="1" ht="11.25">
      <c r="G339" s="41"/>
    </row>
    <row r="340" s="4" customFormat="1" ht="11.25">
      <c r="G340" s="41"/>
    </row>
    <row r="341" s="4" customFormat="1" ht="11.25">
      <c r="G341" s="41"/>
    </row>
    <row r="342" s="4" customFormat="1" ht="11.25">
      <c r="G342" s="41"/>
    </row>
    <row r="343" s="4" customFormat="1" ht="11.25">
      <c r="G343" s="41"/>
    </row>
    <row r="344" s="4" customFormat="1" ht="11.25">
      <c r="G344" s="41"/>
    </row>
    <row r="345" s="4" customFormat="1" ht="11.25">
      <c r="G345" s="41"/>
    </row>
    <row r="346" s="4" customFormat="1" ht="11.25">
      <c r="G346" s="41"/>
    </row>
    <row r="347" s="4" customFormat="1" ht="11.25">
      <c r="G347" s="41"/>
    </row>
    <row r="348" s="4" customFormat="1" ht="11.25">
      <c r="G348" s="41"/>
    </row>
    <row r="349" s="4" customFormat="1" ht="11.25">
      <c r="G349" s="41"/>
    </row>
    <row r="350" s="4" customFormat="1" ht="11.25">
      <c r="G350" s="41"/>
    </row>
    <row r="351" s="4" customFormat="1" ht="11.25">
      <c r="G351" s="41"/>
    </row>
    <row r="352" s="4" customFormat="1" ht="11.25">
      <c r="G352" s="41"/>
    </row>
    <row r="353" s="4" customFormat="1" ht="11.25">
      <c r="G353" s="41"/>
    </row>
  </sheetData>
  <pageMargins left="0.7" right="0.7" top="0.75" bottom="0.75" header="0.3" footer="0.3"/>
  <pageSetup horizontalDpi="300" verticalDpi="300" orientation="portrait" r:id="rId1"/>
  <headerFooter>
    <oddFooter>&amp;L&amp;"Times New Roman,Regular"&amp;9O3129680.v1</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L366"/>
  <sheetViews>
    <sheetView workbookViewId="0" topLeftCell="A1"/>
  </sheetViews>
  <sheetFormatPr defaultColWidth="10.85546875" defaultRowHeight="12"/>
  <cols>
    <col min="1" max="1" width="4" style="115" customWidth="1"/>
    <col min="2" max="2" width="35" style="115" customWidth="1"/>
    <col min="3" max="5" width="11.7142857142857" style="115" customWidth="1"/>
    <col min="6" max="6" width="11.7142857142857" style="54" customWidth="1"/>
    <col min="7" max="10" width="11.7142857142857" style="115" customWidth="1"/>
    <col min="11" max="16384" width="10.8571428571429" style="115"/>
  </cols>
  <sheetData>
    <row r="1" spans="1:10" ht="12">
      <c r="A1" s="137" t="s">
        <v>88</v>
      </c>
      <c r="B1" s="137"/>
      <c r="F1" s="4"/>
      <c r="H1" s="137"/>
      <c r="J1" s="138" t="s">
        <v>1</v>
      </c>
    </row>
    <row r="2" spans="1:10" ht="12">
      <c r="A2" s="137" t="s">
        <v>114</v>
      </c>
      <c r="B2" s="137"/>
      <c r="F2" s="4"/>
      <c r="H2" s="137"/>
      <c r="J2" s="138"/>
    </row>
    <row r="3" spans="1:10" ht="12">
      <c r="A3" s="137"/>
      <c r="B3" s="139"/>
      <c r="F3" s="4"/>
      <c r="H3" s="137"/>
      <c r="J3" s="140" t="s">
        <v>89</v>
      </c>
    </row>
    <row r="4" spans="1:10" ht="12" customHeight="1">
      <c r="A4" s="137" t="s">
        <v>585</v>
      </c>
      <c r="B4" s="139"/>
      <c r="C4" s="730" t="s">
        <v>115</v>
      </c>
      <c r="D4" s="730"/>
      <c r="E4" s="731"/>
      <c r="F4" s="731"/>
      <c r="G4" s="731"/>
      <c r="H4" s="731"/>
      <c r="J4" s="138" t="s">
        <v>4</v>
      </c>
    </row>
    <row r="5" spans="1:10" ht="12" customHeight="1">
      <c r="A5" s="386" t="s">
        <v>586</v>
      </c>
      <c r="B5" s="139"/>
      <c r="C5" s="730"/>
      <c r="D5" s="730"/>
      <c r="E5" s="731"/>
      <c r="F5" s="731"/>
      <c r="G5" s="731"/>
      <c r="H5" s="731"/>
      <c r="J5" s="138" t="s">
        <v>157</v>
      </c>
    </row>
    <row r="6" spans="1:10" ht="12" customHeight="1">
      <c r="A6" s="137" t="s">
        <v>158</v>
      </c>
      <c r="B6" s="137"/>
      <c r="C6" s="730"/>
      <c r="D6" s="730"/>
      <c r="E6" s="731"/>
      <c r="F6" s="731"/>
      <c r="G6" s="731"/>
      <c r="H6" s="731"/>
      <c r="J6" s="138"/>
    </row>
    <row r="7" spans="1:10" ht="12" customHeight="1">
      <c r="A7" s="141" t="s">
        <v>123</v>
      </c>
      <c r="B7" s="139"/>
      <c r="C7" s="142"/>
      <c r="D7" s="142"/>
      <c r="F7" s="4"/>
      <c r="H7" s="137"/>
      <c r="J7" s="138" t="s">
        <v>90</v>
      </c>
    </row>
    <row r="8" spans="1:10" ht="12.75" thickBot="1">
      <c r="A8" s="143"/>
      <c r="B8" s="143"/>
      <c r="C8" s="143"/>
      <c r="D8" s="143"/>
      <c r="E8" s="143"/>
      <c r="F8" s="93"/>
      <c r="G8" s="143"/>
      <c r="H8" s="143"/>
      <c r="I8" s="143"/>
      <c r="J8" s="143"/>
    </row>
    <row r="9" spans="1:10" ht="12">
      <c r="A9" s="137"/>
      <c r="B9" s="144" t="s">
        <v>7</v>
      </c>
      <c r="C9" s="145">
        <v>-2</v>
      </c>
      <c r="D9" s="146" t="s">
        <v>124</v>
      </c>
      <c r="E9" s="145">
        <v>-9</v>
      </c>
      <c r="F9" s="97"/>
      <c r="G9" s="145">
        <v>-10</v>
      </c>
      <c r="H9" s="147" t="s">
        <v>153</v>
      </c>
      <c r="I9" s="147" t="s">
        <v>154</v>
      </c>
      <c r="J9" s="147" t="s">
        <v>154</v>
      </c>
    </row>
    <row r="10" spans="1:10" ht="12">
      <c r="A10" s="148" t="s">
        <v>91</v>
      </c>
      <c r="B10" s="144"/>
      <c r="C10" s="148" t="s">
        <v>8</v>
      </c>
      <c r="D10" s="718" t="s">
        <v>659</v>
      </c>
      <c r="E10" s="148" t="s">
        <v>10</v>
      </c>
      <c r="F10" s="184" t="s">
        <v>161</v>
      </c>
      <c r="G10" s="144" t="s">
        <v>11</v>
      </c>
      <c r="H10" s="148" t="s">
        <v>125</v>
      </c>
      <c r="I10" s="150" t="s">
        <v>11</v>
      </c>
      <c r="J10" s="148" t="s">
        <v>126</v>
      </c>
    </row>
    <row r="11" spans="1:10" ht="15" thickBot="1">
      <c r="A11" s="151" t="s">
        <v>94</v>
      </c>
      <c r="B11" s="151" t="s">
        <v>12</v>
      </c>
      <c r="C11" s="152" t="s">
        <v>127</v>
      </c>
      <c r="D11" s="149" t="s">
        <v>658</v>
      </c>
      <c r="E11" s="153" t="s">
        <v>14</v>
      </c>
      <c r="F11" s="185" t="s">
        <v>162</v>
      </c>
      <c r="G11" s="151" t="s">
        <v>15</v>
      </c>
      <c r="H11" s="152" t="s">
        <v>16</v>
      </c>
      <c r="I11" s="154" t="s">
        <v>15</v>
      </c>
      <c r="J11" s="152" t="s">
        <v>16</v>
      </c>
    </row>
    <row r="12" spans="1:8" ht="12">
      <c r="A12" s="155">
        <v>1</v>
      </c>
      <c r="B12" s="137" t="s">
        <v>17</v>
      </c>
      <c r="C12" s="156"/>
      <c r="D12" s="157"/>
      <c r="E12" s="156"/>
      <c r="F12" s="109"/>
      <c r="G12" s="158"/>
      <c r="H12" s="156"/>
    </row>
    <row r="13" spans="1:8" ht="12">
      <c r="A13" s="155">
        <f>A12+1</f>
        <v>2</v>
      </c>
      <c r="B13" s="115" t="s">
        <v>18</v>
      </c>
      <c r="C13" s="156"/>
      <c r="D13" s="157"/>
      <c r="E13" s="159"/>
      <c r="F13" s="109"/>
      <c r="G13" s="158"/>
      <c r="H13" s="160" t="str">
        <f t="shared" si="0" ref="H13:H34">IF(G13=0,"",ROUND(E13*G13,0))</f>
        <v/>
      </c>
    </row>
    <row r="14" spans="1:8" ht="12">
      <c r="A14" s="155">
        <f t="shared" si="1" ref="A14:A75">A13+1</f>
        <v>3</v>
      </c>
      <c r="B14" s="115" t="s">
        <v>19</v>
      </c>
      <c r="C14" s="156"/>
      <c r="D14" s="157"/>
      <c r="E14" s="159"/>
      <c r="F14" s="109"/>
      <c r="G14" s="158"/>
      <c r="H14" s="160" t="str">
        <f t="shared" si="0"/>
        <v/>
      </c>
    </row>
    <row r="15" spans="1:8" ht="12">
      <c r="A15" s="155">
        <f t="shared" si="1"/>
        <v>4</v>
      </c>
      <c r="B15" s="115" t="s">
        <v>20</v>
      </c>
      <c r="C15" s="156"/>
      <c r="D15" s="157"/>
      <c r="E15" s="159"/>
      <c r="F15" s="109"/>
      <c r="G15" s="158"/>
      <c r="H15" s="160" t="str">
        <f t="shared" si="0"/>
        <v/>
      </c>
    </row>
    <row r="16" spans="1:8" ht="12">
      <c r="A16" s="155">
        <f t="shared" si="1"/>
        <v>5</v>
      </c>
      <c r="B16" s="137" t="s">
        <v>21</v>
      </c>
      <c r="C16" s="156"/>
      <c r="D16" s="157"/>
      <c r="E16" s="159"/>
      <c r="F16" s="109"/>
      <c r="G16" s="158"/>
      <c r="H16" s="160" t="str">
        <f t="shared" si="0"/>
        <v/>
      </c>
    </row>
    <row r="17" spans="1:8" ht="12">
      <c r="A17" s="155">
        <f t="shared" si="1"/>
        <v>6</v>
      </c>
      <c r="B17" s="115" t="s">
        <v>22</v>
      </c>
      <c r="C17" s="156"/>
      <c r="D17" s="157"/>
      <c r="E17" s="159"/>
      <c r="F17" s="109"/>
      <c r="G17" s="158"/>
      <c r="H17" s="160" t="str">
        <f t="shared" si="0"/>
        <v/>
      </c>
    </row>
    <row r="18" spans="1:8" ht="12">
      <c r="A18" s="155">
        <f t="shared" si="1"/>
        <v>7</v>
      </c>
      <c r="B18" s="115" t="s">
        <v>23</v>
      </c>
      <c r="C18" s="156"/>
      <c r="D18" s="157"/>
      <c r="E18" s="159"/>
      <c r="F18" s="109"/>
      <c r="G18" s="158"/>
      <c r="H18" s="160" t="str">
        <f t="shared" si="0"/>
        <v/>
      </c>
    </row>
    <row r="19" spans="1:8" ht="12">
      <c r="A19" s="155">
        <f t="shared" si="1"/>
        <v>8</v>
      </c>
      <c r="B19" s="161" t="s">
        <v>128</v>
      </c>
      <c r="C19" s="156"/>
      <c r="D19" s="157"/>
      <c r="E19" s="159"/>
      <c r="F19" s="109"/>
      <c r="G19" s="158"/>
      <c r="H19" s="160" t="str">
        <f t="shared" si="0"/>
        <v/>
      </c>
    </row>
    <row r="20" spans="1:8" ht="12">
      <c r="A20" s="155">
        <f t="shared" si="1"/>
        <v>9</v>
      </c>
      <c r="B20" s="115" t="s">
        <v>25</v>
      </c>
      <c r="C20" s="156"/>
      <c r="D20" s="157"/>
      <c r="E20" s="159"/>
      <c r="F20" s="109"/>
      <c r="G20" s="158"/>
      <c r="H20" s="160" t="str">
        <f t="shared" si="0"/>
        <v/>
      </c>
    </row>
    <row r="21" spans="1:8" ht="12">
      <c r="A21" s="155">
        <f t="shared" si="1"/>
        <v>10</v>
      </c>
      <c r="B21" s="115" t="s">
        <v>26</v>
      </c>
      <c r="C21" s="156"/>
      <c r="D21" s="157"/>
      <c r="E21" s="159"/>
      <c r="F21" s="109"/>
      <c r="G21" s="158"/>
      <c r="H21" s="160" t="str">
        <f t="shared" si="0"/>
        <v/>
      </c>
    </row>
    <row r="22" spans="1:8" ht="12">
      <c r="A22" s="155">
        <f t="shared" si="1"/>
        <v>11</v>
      </c>
      <c r="B22" s="115" t="s">
        <v>27</v>
      </c>
      <c r="C22" s="156"/>
      <c r="D22" s="157"/>
      <c r="E22" s="159"/>
      <c r="F22" s="109"/>
      <c r="G22" s="158"/>
      <c r="H22" s="160" t="str">
        <f t="shared" si="0"/>
        <v/>
      </c>
    </row>
    <row r="23" spans="1:8" ht="12">
      <c r="A23" s="155">
        <f t="shared" si="1"/>
        <v>12</v>
      </c>
      <c r="B23" s="115" t="s">
        <v>28</v>
      </c>
      <c r="C23" s="156"/>
      <c r="D23" s="157"/>
      <c r="E23" s="159"/>
      <c r="F23" s="109"/>
      <c r="G23" s="158"/>
      <c r="H23" s="160" t="str">
        <f t="shared" si="0"/>
        <v/>
      </c>
    </row>
    <row r="24" spans="1:8" ht="12">
      <c r="A24" s="155">
        <f t="shared" si="1"/>
        <v>13</v>
      </c>
      <c r="B24" s="115" t="s">
        <v>29</v>
      </c>
      <c r="C24" s="156"/>
      <c r="D24" s="157"/>
      <c r="E24" s="159"/>
      <c r="F24" s="109"/>
      <c r="G24" s="158"/>
      <c r="H24" s="160" t="str">
        <f t="shared" si="0"/>
        <v/>
      </c>
    </row>
    <row r="25" spans="1:8" ht="12">
      <c r="A25" s="155">
        <f t="shared" si="1"/>
        <v>14</v>
      </c>
      <c r="B25" s="115" t="s">
        <v>30</v>
      </c>
      <c r="C25" s="156"/>
      <c r="D25" s="157"/>
      <c r="E25" s="159"/>
      <c r="F25" s="109"/>
      <c r="G25" s="158"/>
      <c r="H25" s="160" t="str">
        <f t="shared" si="0"/>
        <v/>
      </c>
    </row>
    <row r="26" spans="1:8" ht="12">
      <c r="A26" s="155">
        <f t="shared" si="1"/>
        <v>15</v>
      </c>
      <c r="B26" s="115" t="s">
        <v>31</v>
      </c>
      <c r="C26" s="156"/>
      <c r="D26" s="157"/>
      <c r="E26" s="159"/>
      <c r="F26" s="109"/>
      <c r="G26" s="158"/>
      <c r="H26" s="160" t="str">
        <f t="shared" si="0"/>
        <v/>
      </c>
    </row>
    <row r="27" spans="1:8" ht="12">
      <c r="A27" s="155">
        <f t="shared" si="1"/>
        <v>16</v>
      </c>
      <c r="B27" s="137" t="s">
        <v>32</v>
      </c>
      <c r="C27" s="156"/>
      <c r="D27" s="157"/>
      <c r="E27" s="159"/>
      <c r="F27" s="109"/>
      <c r="G27" s="158"/>
      <c r="H27" s="160" t="str">
        <f t="shared" si="0"/>
        <v/>
      </c>
    </row>
    <row r="28" spans="1:8" ht="12">
      <c r="A28" s="155">
        <f t="shared" si="1"/>
        <v>17</v>
      </c>
      <c r="B28" s="115" t="s">
        <v>33</v>
      </c>
      <c r="C28" s="156"/>
      <c r="D28" s="157"/>
      <c r="E28" s="159"/>
      <c r="F28" s="109"/>
      <c r="G28" s="158"/>
      <c r="H28" s="160" t="str">
        <f t="shared" si="0"/>
        <v/>
      </c>
    </row>
    <row r="29" spans="1:8" ht="12">
      <c r="A29" s="155">
        <f t="shared" si="1"/>
        <v>18</v>
      </c>
      <c r="B29" s="115" t="s">
        <v>34</v>
      </c>
      <c r="C29" s="156"/>
      <c r="D29" s="157"/>
      <c r="E29" s="159"/>
      <c r="F29" s="109"/>
      <c r="G29" s="158"/>
      <c r="H29" s="160" t="str">
        <f t="shared" si="0"/>
        <v/>
      </c>
    </row>
    <row r="30" spans="1:8" ht="12">
      <c r="A30" s="155">
        <f t="shared" si="1"/>
        <v>19</v>
      </c>
      <c r="B30" s="161" t="s">
        <v>129</v>
      </c>
      <c r="C30" s="156"/>
      <c r="D30" s="157"/>
      <c r="E30" s="159"/>
      <c r="F30" s="109"/>
      <c r="G30" s="158"/>
      <c r="H30" s="160" t="str">
        <f t="shared" si="0"/>
        <v/>
      </c>
    </row>
    <row r="31" spans="1:8" ht="12">
      <c r="A31" s="155">
        <f t="shared" si="1"/>
        <v>20</v>
      </c>
      <c r="B31" s="115" t="s">
        <v>35</v>
      </c>
      <c r="C31" s="156"/>
      <c r="D31" s="157"/>
      <c r="E31" s="159"/>
      <c r="F31" s="109"/>
      <c r="G31" s="158"/>
      <c r="H31" s="160" t="str">
        <f t="shared" si="0"/>
        <v/>
      </c>
    </row>
    <row r="32" spans="1:8" ht="12">
      <c r="A32" s="155">
        <f t="shared" si="1"/>
        <v>21</v>
      </c>
      <c r="B32" s="115" t="s">
        <v>36</v>
      </c>
      <c r="C32" s="156"/>
      <c r="D32" s="157"/>
      <c r="E32" s="159"/>
      <c r="F32" s="109"/>
      <c r="G32" s="158"/>
      <c r="H32" s="160" t="str">
        <f t="shared" si="0"/>
        <v/>
      </c>
    </row>
    <row r="33" spans="1:8" ht="12">
      <c r="A33" s="155">
        <f t="shared" si="1"/>
        <v>22</v>
      </c>
      <c r="B33" s="115" t="s">
        <v>37</v>
      </c>
      <c r="C33" s="156"/>
      <c r="D33" s="157"/>
      <c r="E33" s="159"/>
      <c r="F33" s="109"/>
      <c r="G33" s="162"/>
      <c r="H33" s="163" t="str">
        <f t="shared" si="0"/>
        <v/>
      </c>
    </row>
    <row r="34" spans="1:8" ht="12">
      <c r="A34" s="155">
        <f t="shared" si="1"/>
        <v>23</v>
      </c>
      <c r="B34" s="137" t="s">
        <v>38</v>
      </c>
      <c r="C34" s="156"/>
      <c r="D34" s="157"/>
      <c r="E34" s="159"/>
      <c r="F34" s="109"/>
      <c r="G34" s="162"/>
      <c r="H34" s="163" t="str">
        <f t="shared" si="0"/>
        <v/>
      </c>
    </row>
    <row r="35" spans="1:9" ht="12">
      <c r="A35" s="155">
        <f t="shared" si="1"/>
        <v>24</v>
      </c>
      <c r="B35" s="115" t="s">
        <v>39</v>
      </c>
      <c r="C35" s="156">
        <v>0</v>
      </c>
      <c r="D35" s="157"/>
      <c r="E35" s="159">
        <f t="shared" si="2" ref="E35:E41">SUM(C35:D35)</f>
        <v>0</v>
      </c>
      <c r="F35" s="110"/>
      <c r="G35" s="118"/>
      <c r="H35" s="119" t="str">
        <f>IF(G35=0,"",ROUND(F35*G35,0))</f>
        <v/>
      </c>
      <c r="I35" s="182"/>
    </row>
    <row r="36" spans="1:10" ht="12">
      <c r="A36" s="155">
        <f t="shared" si="1"/>
        <v>25</v>
      </c>
      <c r="B36" s="115" t="s">
        <v>40</v>
      </c>
      <c r="C36" s="156">
        <f>-'Marion TB'!Q35</f>
        <v>-774.1438461538462</v>
      </c>
      <c r="D36" s="157">
        <f>+'MAR AnnDepr'!Q6</f>
        <v>44.916666666666636</v>
      </c>
      <c r="E36" s="159">
        <f t="shared" si="2"/>
        <v>-729.22717948717957</v>
      </c>
      <c r="F36" s="110">
        <v>-1172</v>
      </c>
      <c r="G36" s="118">
        <f>+'MARION A 6'!G35</f>
        <v>0.21560000000000001</v>
      </c>
      <c r="H36" s="119">
        <f>IF(G36=0,"",ROUND(E36*G36,0))</f>
        <v>-157</v>
      </c>
      <c r="I36" s="164"/>
      <c r="J36" s="165"/>
    </row>
    <row r="37" spans="1:10" ht="12">
      <c r="A37" s="155">
        <f t="shared" si="1"/>
        <v>26</v>
      </c>
      <c r="B37" s="161" t="s">
        <v>130</v>
      </c>
      <c r="C37" s="156">
        <v>0</v>
      </c>
      <c r="D37" s="157"/>
      <c r="E37" s="159">
        <f t="shared" si="2"/>
        <v>0</v>
      </c>
      <c r="F37" s="109"/>
      <c r="G37" s="118">
        <f>+'MARION A 6'!G36</f>
        <v>0.21560000000000001</v>
      </c>
      <c r="H37" s="119">
        <f t="shared" si="3" ref="H37:H42">IF(G37=0,"",ROUND(E37*G37,0))</f>
        <v>0</v>
      </c>
      <c r="I37" s="164"/>
      <c r="J37" s="165"/>
    </row>
    <row r="38" spans="1:10" ht="12">
      <c r="A38" s="155">
        <f t="shared" si="1"/>
        <v>27</v>
      </c>
      <c r="B38" s="115" t="s">
        <v>42</v>
      </c>
      <c r="C38" s="156">
        <f>-'Marion TB'!Q43-'Marion TB'!Q44</f>
        <v>86113.856923076935</v>
      </c>
      <c r="D38" s="157">
        <f>+'MAR AnnDepr'!Q12</f>
        <v>24.036666666666253</v>
      </c>
      <c r="E38" s="159">
        <f t="shared" si="2"/>
        <v>86137.893589743602</v>
      </c>
      <c r="F38" s="109">
        <v>65826</v>
      </c>
      <c r="G38" s="118">
        <f>+'MARION A 6'!G37</f>
        <v>0.21560000000000001</v>
      </c>
      <c r="H38" s="119">
        <f t="shared" si="3"/>
        <v>18571</v>
      </c>
      <c r="I38" s="164"/>
      <c r="J38" s="165"/>
    </row>
    <row r="39" spans="1:10" ht="12">
      <c r="A39" s="155">
        <f t="shared" si="1"/>
        <v>28</v>
      </c>
      <c r="B39" s="115" t="s">
        <v>43</v>
      </c>
      <c r="C39" s="156">
        <v>0</v>
      </c>
      <c r="D39" s="157"/>
      <c r="E39" s="159">
        <f t="shared" si="2"/>
        <v>0</v>
      </c>
      <c r="F39" s="109"/>
      <c r="G39" s="118">
        <f>+'MARION A 6'!G38</f>
        <v>0.21560000000000001</v>
      </c>
      <c r="H39" s="119">
        <f t="shared" si="3"/>
        <v>0</v>
      </c>
      <c r="I39" s="164"/>
      <c r="J39" s="165"/>
    </row>
    <row r="40" spans="1:10" ht="12">
      <c r="A40" s="155">
        <f t="shared" si="1"/>
        <v>29</v>
      </c>
      <c r="B40" s="115" t="s">
        <v>44</v>
      </c>
      <c r="C40" s="156">
        <v>0</v>
      </c>
      <c r="D40" s="157"/>
      <c r="E40" s="159">
        <f t="shared" si="2"/>
        <v>0</v>
      </c>
      <c r="F40" s="109"/>
      <c r="G40" s="118">
        <f>+'MARION A 6'!G39</f>
        <v>0.21560000000000001</v>
      </c>
      <c r="H40" s="119">
        <f t="shared" si="3"/>
        <v>0</v>
      </c>
      <c r="I40" s="164"/>
      <c r="J40" s="165"/>
    </row>
    <row r="41" spans="1:8" ht="12">
      <c r="A41" s="155">
        <f t="shared" si="1"/>
        <v>30</v>
      </c>
      <c r="B41" s="115" t="s">
        <v>45</v>
      </c>
      <c r="C41" s="156">
        <v>0</v>
      </c>
      <c r="D41" s="157"/>
      <c r="E41" s="159">
        <f t="shared" si="2"/>
        <v>0</v>
      </c>
      <c r="F41" s="109"/>
      <c r="G41" s="118">
        <f>+'MARION A 6'!G40</f>
        <v>0.21560000000000001</v>
      </c>
      <c r="H41" s="119">
        <f t="shared" si="3"/>
        <v>0</v>
      </c>
    </row>
    <row r="42" spans="1:8" ht="12">
      <c r="A42" s="155">
        <f t="shared" si="1"/>
        <v>31</v>
      </c>
      <c r="B42" s="137" t="s">
        <v>131</v>
      </c>
      <c r="C42" s="156"/>
      <c r="D42" s="157"/>
      <c r="E42" s="159"/>
      <c r="F42" s="109"/>
      <c r="G42" s="162"/>
      <c r="H42" s="119" t="str">
        <f t="shared" si="3"/>
        <v/>
      </c>
    </row>
    <row r="43" spans="1:8" ht="12">
      <c r="A43" s="155">
        <f t="shared" si="1"/>
        <v>32</v>
      </c>
      <c r="B43" s="115" t="s">
        <v>132</v>
      </c>
      <c r="C43" s="156"/>
      <c r="D43" s="157"/>
      <c r="E43" s="159"/>
      <c r="F43" s="109"/>
      <c r="G43" s="162"/>
      <c r="H43" s="163" t="str">
        <f t="shared" si="4" ref="H43:H62">IF(G43=0,"",ROUND(E43*G43,0))</f>
        <v/>
      </c>
    </row>
    <row r="44" spans="1:8" ht="12">
      <c r="A44" s="155">
        <f t="shared" si="1"/>
        <v>33</v>
      </c>
      <c r="B44" s="115" t="s">
        <v>133</v>
      </c>
      <c r="C44" s="156"/>
      <c r="D44" s="157"/>
      <c r="E44" s="159"/>
      <c r="F44" s="109"/>
      <c r="G44" s="158"/>
      <c r="H44" s="160" t="str">
        <f t="shared" si="4"/>
        <v/>
      </c>
    </row>
    <row r="45" spans="1:8" ht="12">
      <c r="A45" s="155">
        <f t="shared" si="1"/>
        <v>34</v>
      </c>
      <c r="B45" s="115" t="s">
        <v>134</v>
      </c>
      <c r="C45" s="156"/>
      <c r="D45" s="157"/>
      <c r="E45" s="159"/>
      <c r="F45" s="109"/>
      <c r="G45" s="158"/>
      <c r="H45" s="160" t="str">
        <f t="shared" si="4"/>
        <v/>
      </c>
    </row>
    <row r="46" spans="1:8" ht="12">
      <c r="A46" s="155">
        <f t="shared" si="1"/>
        <v>35</v>
      </c>
      <c r="B46" s="115" t="s">
        <v>135</v>
      </c>
      <c r="C46" s="156"/>
      <c r="D46" s="157"/>
      <c r="E46" s="159"/>
      <c r="F46" s="109"/>
      <c r="G46" s="158"/>
      <c r="H46" s="160" t="str">
        <f t="shared" si="4"/>
        <v/>
      </c>
    </row>
    <row r="47" spans="1:8" ht="12">
      <c r="A47" s="155">
        <f t="shared" si="1"/>
        <v>36</v>
      </c>
      <c r="B47" s="115" t="s">
        <v>51</v>
      </c>
      <c r="C47" s="156"/>
      <c r="D47" s="157"/>
      <c r="E47" s="159"/>
      <c r="F47" s="109"/>
      <c r="G47" s="158"/>
      <c r="H47" s="160" t="str">
        <f t="shared" si="4"/>
        <v/>
      </c>
    </row>
    <row r="48" spans="1:8" ht="12">
      <c r="A48" s="155">
        <f t="shared" si="1"/>
        <v>37</v>
      </c>
      <c r="B48" s="115" t="s">
        <v>137</v>
      </c>
      <c r="C48" s="156"/>
      <c r="D48" s="157"/>
      <c r="E48" s="159"/>
      <c r="F48" s="109"/>
      <c r="G48" s="158"/>
      <c r="H48" s="160" t="str">
        <f t="shared" si="4"/>
        <v/>
      </c>
    </row>
    <row r="49" spans="1:8" ht="12">
      <c r="A49" s="155">
        <f t="shared" si="1"/>
        <v>38</v>
      </c>
      <c r="B49" s="115" t="s">
        <v>138</v>
      </c>
      <c r="C49" s="156"/>
      <c r="D49" s="157"/>
      <c r="E49" s="159"/>
      <c r="F49" s="109"/>
      <c r="G49" s="158"/>
      <c r="H49" s="160" t="str">
        <f t="shared" si="4"/>
        <v/>
      </c>
    </row>
    <row r="50" spans="1:8" ht="12">
      <c r="A50" s="155">
        <f t="shared" si="1"/>
        <v>39</v>
      </c>
      <c r="B50" s="115" t="s">
        <v>139</v>
      </c>
      <c r="C50" s="156"/>
      <c r="D50" s="157"/>
      <c r="E50" s="159"/>
      <c r="F50" s="109"/>
      <c r="G50" s="158"/>
      <c r="H50" s="160" t="str">
        <f t="shared" si="4"/>
        <v/>
      </c>
    </row>
    <row r="51" spans="1:8" ht="12">
      <c r="A51" s="155">
        <f t="shared" si="1"/>
        <v>40</v>
      </c>
      <c r="B51" s="137" t="s">
        <v>46</v>
      </c>
      <c r="C51" s="156"/>
      <c r="D51" s="157"/>
      <c r="E51" s="159"/>
      <c r="F51" s="109"/>
      <c r="G51" s="158"/>
      <c r="H51" s="160" t="str">
        <f t="shared" si="4"/>
        <v/>
      </c>
    </row>
    <row r="52" spans="1:8" ht="12">
      <c r="A52" s="155">
        <f t="shared" si="1"/>
        <v>41</v>
      </c>
      <c r="B52" s="115" t="s">
        <v>140</v>
      </c>
      <c r="C52" s="156"/>
      <c r="D52" s="157"/>
      <c r="E52" s="159"/>
      <c r="F52" s="109"/>
      <c r="G52" s="158"/>
      <c r="H52" s="160" t="str">
        <f t="shared" si="4"/>
        <v/>
      </c>
    </row>
    <row r="53" spans="1:8" ht="12">
      <c r="A53" s="155">
        <f t="shared" si="1"/>
        <v>42</v>
      </c>
      <c r="B53" s="115" t="s">
        <v>141</v>
      </c>
      <c r="C53" s="156"/>
      <c r="D53" s="157"/>
      <c r="E53" s="159"/>
      <c r="F53" s="109"/>
      <c r="G53" s="158"/>
      <c r="H53" s="160" t="str">
        <f t="shared" si="4"/>
        <v/>
      </c>
    </row>
    <row r="54" spans="1:8" ht="12">
      <c r="A54" s="155">
        <f t="shared" si="1"/>
        <v>43</v>
      </c>
      <c r="B54" s="115" t="s">
        <v>142</v>
      </c>
      <c r="C54" s="156"/>
      <c r="D54" s="157"/>
      <c r="E54" s="159"/>
      <c r="F54" s="109"/>
      <c r="G54" s="158"/>
      <c r="H54" s="160" t="str">
        <f t="shared" si="4"/>
        <v/>
      </c>
    </row>
    <row r="55" spans="1:8" ht="12">
      <c r="A55" s="155">
        <f t="shared" si="1"/>
        <v>44</v>
      </c>
      <c r="B55" s="115" t="s">
        <v>143</v>
      </c>
      <c r="C55" s="156"/>
      <c r="D55" s="157"/>
      <c r="E55" s="159"/>
      <c r="F55" s="109"/>
      <c r="G55" s="158"/>
      <c r="H55" s="160" t="str">
        <f t="shared" si="4"/>
        <v/>
      </c>
    </row>
    <row r="56" spans="1:8" ht="12">
      <c r="A56" s="155">
        <f t="shared" si="1"/>
        <v>45</v>
      </c>
      <c r="B56" s="115" t="s">
        <v>56</v>
      </c>
      <c r="C56" s="156"/>
      <c r="D56" s="157"/>
      <c r="E56" s="159"/>
      <c r="F56" s="109"/>
      <c r="G56" s="158"/>
      <c r="H56" s="160" t="str">
        <f t="shared" si="4"/>
        <v/>
      </c>
    </row>
    <row r="57" spans="1:8" ht="12">
      <c r="A57" s="155">
        <f t="shared" si="1"/>
        <v>46</v>
      </c>
      <c r="B57" s="115" t="s">
        <v>144</v>
      </c>
      <c r="C57" s="156"/>
      <c r="D57" s="157"/>
      <c r="E57" s="159"/>
      <c r="F57" s="109"/>
      <c r="G57" s="158"/>
      <c r="H57" s="160" t="str">
        <f t="shared" si="4"/>
        <v/>
      </c>
    </row>
    <row r="58" spans="1:8" ht="12">
      <c r="A58" s="155">
        <f t="shared" si="1"/>
        <v>47</v>
      </c>
      <c r="B58" s="115" t="s">
        <v>145</v>
      </c>
      <c r="C58" s="156"/>
      <c r="D58" s="157"/>
      <c r="E58" s="159"/>
      <c r="F58" s="109"/>
      <c r="G58" s="158"/>
      <c r="H58" s="160" t="str">
        <f t="shared" si="4"/>
        <v/>
      </c>
    </row>
    <row r="59" spans="1:8" ht="12">
      <c r="A59" s="155">
        <f t="shared" si="1"/>
        <v>48</v>
      </c>
      <c r="B59" s="115" t="s">
        <v>146</v>
      </c>
      <c r="C59" s="156"/>
      <c r="D59" s="157"/>
      <c r="E59" s="159"/>
      <c r="F59" s="109"/>
      <c r="G59" s="158"/>
      <c r="H59" s="160" t="str">
        <f t="shared" si="4"/>
        <v/>
      </c>
    </row>
    <row r="60" spans="1:8" ht="12">
      <c r="A60" s="155">
        <f t="shared" si="1"/>
        <v>49</v>
      </c>
      <c r="B60" s="115" t="s">
        <v>147</v>
      </c>
      <c r="C60" s="156"/>
      <c r="D60" s="157"/>
      <c r="E60" s="159"/>
      <c r="F60" s="109"/>
      <c r="G60" s="158"/>
      <c r="H60" s="160" t="str">
        <f t="shared" si="4"/>
        <v/>
      </c>
    </row>
    <row r="61" spans="1:8" ht="12">
      <c r="A61" s="155">
        <f t="shared" si="1"/>
        <v>50</v>
      </c>
      <c r="B61" s="137" t="s">
        <v>58</v>
      </c>
      <c r="C61" s="156"/>
      <c r="D61" s="157"/>
      <c r="E61" s="159"/>
      <c r="F61" s="109"/>
      <c r="G61" s="158"/>
      <c r="H61" s="160" t="str">
        <f t="shared" si="4"/>
        <v/>
      </c>
    </row>
    <row r="62" spans="1:8" ht="12">
      <c r="A62" s="155">
        <f t="shared" si="1"/>
        <v>51</v>
      </c>
      <c r="B62" s="166" t="s">
        <v>59</v>
      </c>
      <c r="C62" s="156"/>
      <c r="D62" s="157"/>
      <c r="E62" s="159"/>
      <c r="F62" s="109"/>
      <c r="G62" s="158"/>
      <c r="H62" s="160" t="str">
        <f t="shared" si="4"/>
        <v/>
      </c>
    </row>
    <row r="63" spans="1:8" ht="12">
      <c r="A63" s="155">
        <f t="shared" si="1"/>
        <v>52</v>
      </c>
      <c r="B63" s="166" t="s">
        <v>60</v>
      </c>
      <c r="C63" s="156"/>
      <c r="D63" s="157"/>
      <c r="E63" s="159"/>
      <c r="F63" s="109"/>
      <c r="G63" s="158"/>
      <c r="H63" s="160"/>
    </row>
    <row r="64" spans="1:8" ht="12">
      <c r="A64" s="155">
        <f t="shared" si="1"/>
        <v>53</v>
      </c>
      <c r="B64" s="166" t="s">
        <v>148</v>
      </c>
      <c r="D64" s="157"/>
      <c r="E64" s="159"/>
      <c r="F64" s="109"/>
      <c r="G64" s="158"/>
      <c r="H64" s="160" t="str">
        <f t="shared" si="5" ref="H64:H73">IF(G64=0,"",ROUND(E64*G64,0))</f>
        <v/>
      </c>
    </row>
    <row r="65" spans="1:11" ht="12">
      <c r="A65" s="155">
        <f t="shared" si="1"/>
        <v>54</v>
      </c>
      <c r="B65" s="166" t="s">
        <v>62</v>
      </c>
      <c r="C65" s="156"/>
      <c r="D65" s="157"/>
      <c r="E65" s="159"/>
      <c r="F65" s="109"/>
      <c r="G65" s="158"/>
      <c r="H65" s="160" t="str">
        <f t="shared" si="5"/>
        <v/>
      </c>
      <c r="K65" s="4" t="s">
        <v>160</v>
      </c>
    </row>
    <row r="66" spans="1:11" ht="12">
      <c r="A66" s="155">
        <f t="shared" si="1"/>
        <v>55</v>
      </c>
      <c r="B66" s="166" t="s">
        <v>63</v>
      </c>
      <c r="C66" s="156"/>
      <c r="D66" s="157"/>
      <c r="E66" s="159"/>
      <c r="F66" s="109"/>
      <c r="G66" s="158"/>
      <c r="H66" s="160" t="str">
        <f t="shared" si="5"/>
        <v/>
      </c>
      <c r="K66" s="4" t="s">
        <v>159</v>
      </c>
    </row>
    <row r="67" spans="1:8" ht="12">
      <c r="A67" s="155">
        <f t="shared" si="1"/>
        <v>56</v>
      </c>
      <c r="B67" s="166" t="s">
        <v>99</v>
      </c>
      <c r="C67" s="156"/>
      <c r="D67" s="157"/>
      <c r="E67" s="159"/>
      <c r="F67" s="109"/>
      <c r="G67" s="158"/>
      <c r="H67" s="160" t="str">
        <f t="shared" si="5"/>
        <v/>
      </c>
    </row>
    <row r="68" spans="1:8" ht="12">
      <c r="A68" s="155">
        <f t="shared" si="1"/>
        <v>57</v>
      </c>
      <c r="B68" s="166" t="s">
        <v>65</v>
      </c>
      <c r="C68" s="156"/>
      <c r="D68" s="157"/>
      <c r="E68" s="159"/>
      <c r="F68" s="109"/>
      <c r="G68" s="158"/>
      <c r="H68" s="160" t="str">
        <f t="shared" si="5"/>
        <v/>
      </c>
    </row>
    <row r="69" spans="1:8" ht="12">
      <c r="A69" s="155">
        <f t="shared" si="1"/>
        <v>58</v>
      </c>
      <c r="B69" s="166" t="s">
        <v>66</v>
      </c>
      <c r="C69" s="156"/>
      <c r="D69" s="157"/>
      <c r="E69" s="159"/>
      <c r="F69" s="109"/>
      <c r="G69" s="158"/>
      <c r="H69" s="160" t="str">
        <f t="shared" si="5"/>
        <v/>
      </c>
    </row>
    <row r="70" spans="1:8" ht="12">
      <c r="A70" s="155">
        <f t="shared" si="1"/>
        <v>59</v>
      </c>
      <c r="B70" s="166" t="s">
        <v>100</v>
      </c>
      <c r="C70" s="156"/>
      <c r="D70" s="157"/>
      <c r="E70" s="159"/>
      <c r="F70" s="109"/>
      <c r="G70" s="158"/>
      <c r="H70" s="160" t="str">
        <f t="shared" si="5"/>
        <v/>
      </c>
    </row>
    <row r="71" spans="1:8" ht="12">
      <c r="A71" s="155">
        <f t="shared" si="1"/>
        <v>60</v>
      </c>
      <c r="B71" s="166" t="s">
        <v>68</v>
      </c>
      <c r="C71" s="156"/>
      <c r="D71" s="157"/>
      <c r="E71" s="159"/>
      <c r="F71" s="109"/>
      <c r="G71" s="158"/>
      <c r="H71" s="160" t="str">
        <f t="shared" si="5"/>
        <v/>
      </c>
    </row>
    <row r="72" spans="1:8" ht="12">
      <c r="A72" s="155">
        <f t="shared" si="1"/>
        <v>61</v>
      </c>
      <c r="B72" s="166" t="s">
        <v>69</v>
      </c>
      <c r="C72" s="156"/>
      <c r="D72" s="157"/>
      <c r="E72" s="159"/>
      <c r="F72" s="109"/>
      <c r="G72" s="158"/>
      <c r="H72" s="160" t="str">
        <f t="shared" si="5"/>
        <v/>
      </c>
    </row>
    <row r="73" spans="1:8" ht="12">
      <c r="A73" s="155">
        <f t="shared" si="1"/>
        <v>62</v>
      </c>
      <c r="B73" s="167" t="s">
        <v>149</v>
      </c>
      <c r="C73" s="156"/>
      <c r="D73" s="157"/>
      <c r="E73" s="159"/>
      <c r="F73" s="109"/>
      <c r="G73" s="158"/>
      <c r="H73" s="160" t="str">
        <f t="shared" si="5"/>
        <v/>
      </c>
    </row>
    <row r="74" spans="1:12" ht="12">
      <c r="A74" s="155">
        <f t="shared" si="1"/>
        <v>63</v>
      </c>
      <c r="C74" s="160"/>
      <c r="D74" s="163"/>
      <c r="E74" s="160"/>
      <c r="F74" s="109"/>
      <c r="G74" s="168"/>
      <c r="H74" s="160"/>
      <c r="L74" s="115" t="s">
        <v>155</v>
      </c>
    </row>
    <row r="75" spans="1:12" ht="12.75" thickBot="1">
      <c r="A75" s="155">
        <f t="shared" si="1"/>
        <v>64</v>
      </c>
      <c r="B75" s="137" t="s">
        <v>156</v>
      </c>
      <c r="C75" s="169">
        <f>SUM(C12:C74)</f>
        <v>85339.713076923086</v>
      </c>
      <c r="D75" s="170">
        <f>SUM(D12:D74)</f>
        <v>68.953333333332893</v>
      </c>
      <c r="E75" s="169">
        <f>SUM(E12:E74)</f>
        <v>85408.666410256425</v>
      </c>
      <c r="F75" s="183"/>
      <c r="G75" s="171" t="s">
        <v>152</v>
      </c>
      <c r="H75" s="169">
        <f>SUM(H12:H74)</f>
        <v>18414</v>
      </c>
      <c r="J75" s="169">
        <f>SUM(J12:J74)</f>
        <v>0</v>
      </c>
      <c r="K75" s="172">
        <f>SUM(D75:D75)</f>
        <v>68.953333333332893</v>
      </c>
      <c r="L75" s="172">
        <f>SUM(D75:D75)</f>
        <v>68.953333333332893</v>
      </c>
    </row>
    <row r="76" spans="1:11" ht="15" thickTop="1">
      <c r="A76" s="144"/>
      <c r="B76" s="137"/>
      <c r="C76" s="173"/>
      <c r="D76" s="174"/>
      <c r="E76" s="175">
        <f>SUM(C75:D75)</f>
        <v>85408.666410256425</v>
      </c>
      <c r="F76" s="133"/>
      <c r="G76" s="158"/>
      <c r="H76" s="173"/>
      <c r="K76" s="176">
        <f>E75-C75</f>
        <v>68.953333333338378</v>
      </c>
    </row>
    <row r="77" spans="1:8" ht="12">
      <c r="A77" s="144"/>
      <c r="B77" s="144"/>
      <c r="C77" s="177"/>
      <c r="D77" s="177"/>
      <c r="E77" s="177"/>
      <c r="F77" s="135"/>
      <c r="G77" s="178"/>
      <c r="H77" s="177"/>
    </row>
    <row r="78" spans="1:8" ht="12">
      <c r="A78" s="144"/>
      <c r="B78" s="137"/>
      <c r="C78" s="176"/>
      <c r="D78" s="176"/>
      <c r="E78" s="172">
        <f>SUM(C75:D75)</f>
        <v>85408.666410256425</v>
      </c>
      <c r="F78" s="44"/>
      <c r="G78" s="158"/>
      <c r="H78" s="176"/>
    </row>
    <row r="79" spans="1:8" ht="12">
      <c r="A79" s="144"/>
      <c r="B79" s="137"/>
      <c r="C79" s="176"/>
      <c r="D79" s="176"/>
      <c r="E79" s="176"/>
      <c r="F79" s="44"/>
      <c r="G79" s="158"/>
      <c r="H79" s="176"/>
    </row>
    <row r="80" spans="1:8" ht="12">
      <c r="A80" s="144"/>
      <c r="B80" s="137"/>
      <c r="C80" s="176"/>
      <c r="D80" s="176"/>
      <c r="E80" s="176"/>
      <c r="F80" s="44"/>
      <c r="G80" s="158"/>
      <c r="H80" s="176"/>
    </row>
    <row r="81" spans="1:8" ht="12">
      <c r="A81" s="144"/>
      <c r="B81" s="137"/>
      <c r="C81" s="176"/>
      <c r="D81" s="176"/>
      <c r="E81" s="176"/>
      <c r="F81" s="44"/>
      <c r="G81" s="158"/>
      <c r="H81" s="176"/>
    </row>
    <row r="82" spans="1:8" ht="12">
      <c r="A82" s="144"/>
      <c r="B82" s="137"/>
      <c r="C82" s="176"/>
      <c r="D82" s="176"/>
      <c r="E82" s="176"/>
      <c r="F82" s="44"/>
      <c r="G82" s="158"/>
      <c r="H82" s="176"/>
    </row>
    <row r="83" spans="1:8" ht="12">
      <c r="A83" s="144"/>
      <c r="B83" s="144"/>
      <c r="C83" s="179"/>
      <c r="D83" s="179"/>
      <c r="E83" s="176"/>
      <c r="F83" s="44"/>
      <c r="G83" s="180"/>
      <c r="H83" s="179"/>
    </row>
    <row r="84" spans="3:8" ht="12">
      <c r="C84" s="176"/>
      <c r="D84" s="176"/>
      <c r="E84" s="176"/>
      <c r="F84" s="44"/>
      <c r="G84" s="158"/>
      <c r="H84" s="176"/>
    </row>
    <row r="85" spans="3:8" ht="12">
      <c r="C85" s="176"/>
      <c r="D85" s="176"/>
      <c r="E85" s="176"/>
      <c r="F85" s="44"/>
      <c r="G85" s="158"/>
      <c r="H85" s="176"/>
    </row>
    <row r="86" spans="6:7" ht="12">
      <c r="F86" s="44"/>
      <c r="G86" s="158"/>
    </row>
    <row r="87" spans="6:7" ht="12">
      <c r="F87" s="44"/>
      <c r="G87" s="158"/>
    </row>
    <row r="88" spans="6:7" ht="12">
      <c r="F88" s="44"/>
      <c r="G88" s="158"/>
    </row>
    <row r="89" spans="6:7" ht="12">
      <c r="F89" s="4"/>
      <c r="G89" s="158"/>
    </row>
    <row r="90" spans="6:7" ht="12">
      <c r="F90" s="4"/>
      <c r="G90" s="158"/>
    </row>
    <row r="91" ht="12">
      <c r="F91" s="4"/>
    </row>
    <row r="92" ht="12">
      <c r="F92" s="4"/>
    </row>
    <row r="93" ht="12">
      <c r="F93" s="4"/>
    </row>
    <row r="94" ht="12">
      <c r="F94" s="4"/>
    </row>
    <row r="95" ht="12">
      <c r="F95" s="4"/>
    </row>
    <row r="96" spans="5:7" ht="12">
      <c r="E96" s="176"/>
      <c r="F96" s="4"/>
      <c r="G96" s="176"/>
    </row>
    <row r="97" ht="12">
      <c r="F97" s="4"/>
    </row>
    <row r="98" ht="12">
      <c r="F98" s="4"/>
    </row>
    <row r="99" ht="12">
      <c r="F99" s="4"/>
    </row>
    <row r="100" ht="12">
      <c r="F100" s="4"/>
    </row>
    <row r="101" ht="12">
      <c r="F101" s="4"/>
    </row>
    <row r="102" ht="12">
      <c r="F102" s="4"/>
    </row>
    <row r="103" ht="12">
      <c r="F103" s="4"/>
    </row>
    <row r="104" ht="12">
      <c r="F104" s="4"/>
    </row>
    <row r="105" ht="12">
      <c r="F105" s="4"/>
    </row>
    <row r="106" ht="12">
      <c r="F106" s="4"/>
    </row>
    <row r="107" ht="12">
      <c r="F107" s="4"/>
    </row>
    <row r="108" ht="12">
      <c r="F108" s="4"/>
    </row>
    <row r="109" ht="12">
      <c r="F109" s="4"/>
    </row>
    <row r="110" ht="12">
      <c r="F110" s="4"/>
    </row>
    <row r="111" ht="12">
      <c r="F111" s="4"/>
    </row>
    <row r="112" ht="12">
      <c r="F112" s="4"/>
    </row>
    <row r="113" ht="12">
      <c r="F113" s="4"/>
    </row>
    <row r="114" ht="12">
      <c r="F114" s="4"/>
    </row>
    <row r="115" ht="12">
      <c r="F115" s="4"/>
    </row>
    <row r="116" ht="12">
      <c r="F116" s="4"/>
    </row>
    <row r="117" ht="12">
      <c r="F117" s="4"/>
    </row>
    <row r="118" ht="12">
      <c r="F118" s="4"/>
    </row>
    <row r="119" ht="12">
      <c r="F119" s="4"/>
    </row>
    <row r="120" ht="12">
      <c r="F120" s="4"/>
    </row>
    <row r="121" ht="12">
      <c r="F121" s="4"/>
    </row>
    <row r="122" ht="12">
      <c r="F122" s="4"/>
    </row>
    <row r="123" ht="12">
      <c r="F123" s="4"/>
    </row>
    <row r="124" ht="12">
      <c r="F124" s="4"/>
    </row>
    <row r="125" ht="12">
      <c r="F125" s="4"/>
    </row>
    <row r="126" ht="12">
      <c r="F126" s="4"/>
    </row>
    <row r="127" spans="1:6" ht="12">
      <c r="A127" s="181"/>
      <c r="B127" s="181"/>
      <c r="F127" s="4"/>
    </row>
    <row r="128" spans="1:6" ht="12">
      <c r="A128" s="181"/>
      <c r="B128" s="181"/>
      <c r="F128" s="4"/>
    </row>
    <row r="129" spans="1:6" ht="12">
      <c r="A129" s="181"/>
      <c r="B129" s="181"/>
      <c r="F129" s="4"/>
    </row>
    <row r="130" spans="1:6" ht="12">
      <c r="A130" s="181"/>
      <c r="B130" s="181"/>
      <c r="F130" s="4"/>
    </row>
    <row r="131" spans="1:6" ht="12">
      <c r="A131" s="181"/>
      <c r="B131" s="181"/>
      <c r="F131" s="4"/>
    </row>
    <row r="132" ht="12">
      <c r="F132" s="4"/>
    </row>
    <row r="133" ht="12">
      <c r="F133" s="4"/>
    </row>
    <row r="134" ht="12">
      <c r="F134" s="4"/>
    </row>
    <row r="135" ht="12">
      <c r="F135" s="4"/>
    </row>
    <row r="136" ht="12">
      <c r="F136" s="4"/>
    </row>
    <row r="137" ht="12">
      <c r="F137" s="4"/>
    </row>
    <row r="138" ht="12">
      <c r="F138" s="4"/>
    </row>
    <row r="139" ht="12">
      <c r="F139" s="4"/>
    </row>
    <row r="140" ht="12">
      <c r="F140" s="4"/>
    </row>
    <row r="141" ht="12">
      <c r="F141" s="4"/>
    </row>
    <row r="142" ht="12">
      <c r="F142" s="4"/>
    </row>
    <row r="143" ht="12">
      <c r="F143" s="4"/>
    </row>
    <row r="144" ht="12">
      <c r="F144" s="4"/>
    </row>
    <row r="145" ht="12">
      <c r="F145" s="4"/>
    </row>
    <row r="146" ht="12">
      <c r="F146" s="4"/>
    </row>
    <row r="147" ht="12">
      <c r="F147" s="4"/>
    </row>
    <row r="148" ht="12">
      <c r="F148" s="4"/>
    </row>
    <row r="149" ht="12">
      <c r="F149" s="4"/>
    </row>
    <row r="150" ht="12">
      <c r="F150" s="4"/>
    </row>
    <row r="151" ht="12">
      <c r="F151" s="4"/>
    </row>
    <row r="152" ht="12">
      <c r="F152" s="4"/>
    </row>
    <row r="153" ht="12">
      <c r="F153" s="4"/>
    </row>
    <row r="154" ht="12">
      <c r="F154" s="4"/>
    </row>
    <row r="155" ht="12">
      <c r="F155" s="4"/>
    </row>
    <row r="156" ht="12">
      <c r="F156" s="4"/>
    </row>
    <row r="157" ht="12">
      <c r="F157" s="4"/>
    </row>
    <row r="158" ht="12">
      <c r="F158" s="4"/>
    </row>
    <row r="159" ht="12">
      <c r="F159" s="4"/>
    </row>
    <row r="160" ht="12">
      <c r="F160" s="4"/>
    </row>
    <row r="161" spans="1:6" ht="12">
      <c r="A161" s="181"/>
      <c r="B161" s="181"/>
      <c r="F161" s="4"/>
    </row>
    <row r="162" ht="12">
      <c r="F162" s="4"/>
    </row>
    <row r="163" ht="12">
      <c r="F163" s="4"/>
    </row>
    <row r="164" ht="12">
      <c r="F164" s="4"/>
    </row>
    <row r="165" ht="12">
      <c r="F165" s="4"/>
    </row>
    <row r="166" ht="12">
      <c r="F166" s="4"/>
    </row>
    <row r="167" ht="12">
      <c r="F167" s="4"/>
    </row>
    <row r="168" ht="12">
      <c r="F168" s="4"/>
    </row>
    <row r="169" ht="12">
      <c r="F169" s="4"/>
    </row>
    <row r="170" ht="12">
      <c r="F170" s="4"/>
    </row>
    <row r="171" ht="12">
      <c r="F171" s="4"/>
    </row>
    <row r="172" ht="12">
      <c r="F172" s="4"/>
    </row>
    <row r="173" ht="12">
      <c r="F173" s="4"/>
    </row>
    <row r="174" ht="12">
      <c r="F174" s="4"/>
    </row>
    <row r="175" ht="12">
      <c r="F175" s="4"/>
    </row>
    <row r="176" ht="12">
      <c r="F176" s="4"/>
    </row>
    <row r="177" ht="12">
      <c r="F177" s="4"/>
    </row>
    <row r="178" ht="12">
      <c r="F178" s="4"/>
    </row>
    <row r="179" ht="12">
      <c r="F179" s="4"/>
    </row>
    <row r="180" ht="12">
      <c r="F180" s="4"/>
    </row>
    <row r="181" ht="12">
      <c r="F181" s="4"/>
    </row>
    <row r="182" ht="12">
      <c r="F182" s="4"/>
    </row>
    <row r="183" ht="12">
      <c r="F183" s="4"/>
    </row>
    <row r="184" ht="12">
      <c r="F184" s="4"/>
    </row>
    <row r="185" ht="12">
      <c r="F185" s="4"/>
    </row>
    <row r="186" ht="12">
      <c r="F186" s="4"/>
    </row>
    <row r="187" ht="12">
      <c r="F187" s="4"/>
    </row>
    <row r="188" ht="12">
      <c r="F188" s="4"/>
    </row>
    <row r="189" ht="12">
      <c r="F189" s="4"/>
    </row>
    <row r="190" ht="12">
      <c r="F190" s="4"/>
    </row>
    <row r="191" ht="12">
      <c r="F191" s="4"/>
    </row>
    <row r="192" ht="12">
      <c r="F192" s="4"/>
    </row>
    <row r="193" ht="12">
      <c r="F193" s="4"/>
    </row>
    <row r="194" ht="12">
      <c r="F194" s="4"/>
    </row>
    <row r="195" ht="12">
      <c r="F195" s="4"/>
    </row>
    <row r="196" ht="12">
      <c r="F196" s="4"/>
    </row>
    <row r="197" ht="12">
      <c r="F197" s="4"/>
    </row>
    <row r="198" ht="12">
      <c r="F198" s="4"/>
    </row>
    <row r="199" ht="12">
      <c r="F199" s="4"/>
    </row>
    <row r="200" ht="12">
      <c r="F200" s="4"/>
    </row>
    <row r="201" ht="12">
      <c r="F201" s="4"/>
    </row>
    <row r="202" ht="12">
      <c r="F202" s="4"/>
    </row>
    <row r="203" ht="12">
      <c r="F203" s="4"/>
    </row>
    <row r="204" ht="12">
      <c r="F204" s="4"/>
    </row>
    <row r="205" ht="12">
      <c r="F205" s="4"/>
    </row>
    <row r="206" ht="12">
      <c r="F206" s="4"/>
    </row>
    <row r="207" ht="12">
      <c r="F207" s="4"/>
    </row>
    <row r="208" ht="12">
      <c r="F208" s="4"/>
    </row>
    <row r="209" ht="12">
      <c r="F209" s="4"/>
    </row>
    <row r="210" ht="12">
      <c r="F210" s="4"/>
    </row>
    <row r="211" ht="12">
      <c r="F211" s="4"/>
    </row>
    <row r="212" ht="12">
      <c r="F212" s="4"/>
    </row>
    <row r="213" ht="12">
      <c r="F213" s="4"/>
    </row>
    <row r="214" ht="12">
      <c r="F214" s="4"/>
    </row>
    <row r="215" ht="12">
      <c r="F215" s="4"/>
    </row>
    <row r="216" ht="12">
      <c r="F216" s="4"/>
    </row>
    <row r="217" ht="12">
      <c r="F217" s="4"/>
    </row>
    <row r="218" ht="12">
      <c r="F218" s="4"/>
    </row>
    <row r="219" ht="12">
      <c r="F219" s="4"/>
    </row>
    <row r="220" ht="12">
      <c r="F220" s="4"/>
    </row>
    <row r="221" ht="12">
      <c r="F221" s="4"/>
    </row>
    <row r="222" ht="12">
      <c r="F222" s="4"/>
    </row>
    <row r="223" ht="12">
      <c r="F223" s="4"/>
    </row>
    <row r="224" ht="12">
      <c r="F224" s="4"/>
    </row>
    <row r="225" ht="12">
      <c r="F225" s="4"/>
    </row>
    <row r="226" ht="12">
      <c r="F226" s="4"/>
    </row>
    <row r="227" ht="12">
      <c r="F227" s="4"/>
    </row>
    <row r="228" ht="12">
      <c r="F228" s="4"/>
    </row>
    <row r="229" ht="12">
      <c r="F229" s="4"/>
    </row>
    <row r="230" spans="1:6" ht="12">
      <c r="A230" s="137"/>
      <c r="F230" s="4"/>
    </row>
    <row r="231" ht="12">
      <c r="F231" s="4"/>
    </row>
    <row r="232" ht="12">
      <c r="F232" s="4"/>
    </row>
    <row r="233" ht="12">
      <c r="F233" s="4"/>
    </row>
    <row r="234" ht="12">
      <c r="F234" s="4"/>
    </row>
    <row r="235" ht="12">
      <c r="F235" s="4"/>
    </row>
    <row r="236" ht="12">
      <c r="F236" s="4"/>
    </row>
    <row r="237" ht="12">
      <c r="F237" s="4"/>
    </row>
    <row r="238" ht="12">
      <c r="F238" s="4"/>
    </row>
    <row r="239" ht="12">
      <c r="F239" s="4"/>
    </row>
    <row r="240" ht="12">
      <c r="F240" s="4"/>
    </row>
    <row r="241" ht="12">
      <c r="F241" s="4"/>
    </row>
    <row r="242" ht="12">
      <c r="F242" s="4"/>
    </row>
    <row r="243" ht="12">
      <c r="F243" s="4"/>
    </row>
    <row r="244" ht="12">
      <c r="F244" s="4"/>
    </row>
    <row r="245" ht="12">
      <c r="F245" s="4"/>
    </row>
    <row r="246" ht="12">
      <c r="F246" s="4"/>
    </row>
    <row r="247" spans="1:6" ht="12">
      <c r="A247" s="181"/>
      <c r="F247" s="4"/>
    </row>
    <row r="248" spans="1:6" ht="12">
      <c r="A248" s="181"/>
      <c r="F248" s="4"/>
    </row>
    <row r="249" spans="1:6" ht="12">
      <c r="A249" s="181"/>
      <c r="F249" s="4"/>
    </row>
    <row r="250" spans="1:6" ht="12">
      <c r="A250" s="181"/>
      <c r="F250" s="4"/>
    </row>
    <row r="251" spans="1:6" ht="12">
      <c r="A251" s="181"/>
      <c r="F251" s="4"/>
    </row>
    <row r="252" spans="1:6" ht="12">
      <c r="A252" s="181"/>
      <c r="F252" s="4"/>
    </row>
    <row r="253" spans="1:6" ht="12">
      <c r="A253" s="181"/>
      <c r="F253" s="4"/>
    </row>
    <row r="254" spans="1:6" ht="12">
      <c r="A254" s="181"/>
      <c r="F254" s="4"/>
    </row>
    <row r="255" spans="1:6" ht="12">
      <c r="A255" s="181"/>
      <c r="F255" s="4"/>
    </row>
    <row r="256" spans="1:6" ht="12">
      <c r="A256" s="181"/>
      <c r="F256" s="4"/>
    </row>
    <row r="257" spans="1:6" ht="12">
      <c r="A257" s="181"/>
      <c r="F257" s="4"/>
    </row>
    <row r="258" spans="1:6" ht="12">
      <c r="A258" s="181"/>
      <c r="F258" s="4"/>
    </row>
    <row r="259" spans="1:6" ht="12">
      <c r="A259" s="181"/>
      <c r="F259" s="4"/>
    </row>
    <row r="260" spans="1:6" ht="12">
      <c r="A260" s="181"/>
      <c r="F260" s="4"/>
    </row>
    <row r="261" spans="1:6" ht="12">
      <c r="A261" s="181"/>
      <c r="F261" s="4"/>
    </row>
    <row r="262" spans="1:6" ht="12">
      <c r="A262" s="181"/>
      <c r="F262" s="4"/>
    </row>
    <row r="263" spans="1:6" ht="12">
      <c r="A263" s="181"/>
      <c r="F263" s="4"/>
    </row>
    <row r="264" spans="1:6" ht="12">
      <c r="A264" s="181"/>
      <c r="F264" s="4"/>
    </row>
    <row r="265" spans="1:6" ht="12">
      <c r="A265" s="181"/>
      <c r="F265" s="4"/>
    </row>
    <row r="266" spans="1:6" ht="12">
      <c r="A266" s="181"/>
      <c r="F266" s="4"/>
    </row>
    <row r="267" spans="1:6" ht="12">
      <c r="A267" s="181"/>
      <c r="F267" s="4"/>
    </row>
    <row r="268" spans="1:6" ht="12">
      <c r="A268" s="181"/>
      <c r="F268" s="4"/>
    </row>
    <row r="269" spans="1:6" ht="12">
      <c r="A269" s="181"/>
      <c r="F269" s="4"/>
    </row>
    <row r="270" spans="1:6" ht="12">
      <c r="A270" s="181"/>
      <c r="F270" s="4"/>
    </row>
    <row r="271" spans="1:6" ht="12">
      <c r="A271" s="181"/>
      <c r="F271" s="4"/>
    </row>
    <row r="272" spans="1:6" ht="12">
      <c r="A272" s="181"/>
      <c r="F272" s="4"/>
    </row>
    <row r="273" spans="1:6" ht="12">
      <c r="A273" s="181"/>
      <c r="F273" s="4"/>
    </row>
    <row r="274" spans="1:6" ht="12">
      <c r="A274" s="181"/>
      <c r="F274" s="4"/>
    </row>
    <row r="275" spans="1:6" ht="12">
      <c r="A275" s="181"/>
      <c r="F275" s="4"/>
    </row>
    <row r="276" spans="1:6" ht="12">
      <c r="A276" s="181"/>
      <c r="F276" s="4"/>
    </row>
    <row r="277" spans="1:6" ht="12">
      <c r="A277" s="181"/>
      <c r="F277" s="4"/>
    </row>
    <row r="278" spans="1:6" ht="12">
      <c r="A278" s="181"/>
      <c r="F278" s="4"/>
    </row>
    <row r="279" spans="1:6" ht="12">
      <c r="A279" s="181"/>
      <c r="F279" s="4"/>
    </row>
    <row r="280" spans="1:6" ht="12">
      <c r="A280" s="181"/>
      <c r="F280" s="4"/>
    </row>
    <row r="281" spans="1:6" ht="12">
      <c r="A281" s="181"/>
      <c r="F281" s="4"/>
    </row>
    <row r="282" spans="1:6" ht="12">
      <c r="A282" s="181"/>
      <c r="F282" s="4"/>
    </row>
    <row r="283" spans="1:6" ht="12">
      <c r="A283" s="181"/>
      <c r="F283" s="4"/>
    </row>
    <row r="284" spans="1:6" ht="12">
      <c r="A284" s="181"/>
      <c r="F284" s="4"/>
    </row>
    <row r="285" spans="1:6" ht="12">
      <c r="A285" s="181"/>
      <c r="F285" s="4"/>
    </row>
    <row r="286" spans="1:6" ht="12">
      <c r="A286" s="181"/>
      <c r="F286" s="4"/>
    </row>
    <row r="287" spans="1:6" ht="12">
      <c r="A287" s="181"/>
      <c r="F287" s="4"/>
    </row>
    <row r="288" spans="1:6" ht="12">
      <c r="A288" s="181"/>
      <c r="F288" s="4"/>
    </row>
    <row r="289" spans="1:6" ht="12">
      <c r="A289" s="181"/>
      <c r="F289" s="4"/>
    </row>
    <row r="290" spans="1:6" ht="12">
      <c r="A290" s="181"/>
      <c r="F290" s="4"/>
    </row>
    <row r="291" spans="1:6" ht="12">
      <c r="A291" s="181"/>
      <c r="F291" s="4"/>
    </row>
    <row r="292" spans="1:6" ht="12">
      <c r="A292" s="181"/>
      <c r="F292" s="4"/>
    </row>
    <row r="293" spans="1:6" ht="12">
      <c r="A293" s="181"/>
      <c r="F293" s="4"/>
    </row>
    <row r="294" spans="1:6" ht="12">
      <c r="A294" s="181"/>
      <c r="F294" s="4"/>
    </row>
    <row r="295" spans="1:6" ht="12">
      <c r="A295" s="181"/>
      <c r="F295" s="4"/>
    </row>
    <row r="296" spans="1:6" ht="12">
      <c r="A296" s="181"/>
      <c r="F296" s="4"/>
    </row>
    <row r="297" spans="1:6" ht="12">
      <c r="A297" s="181"/>
      <c r="F297" s="4"/>
    </row>
    <row r="298" spans="1:6" ht="12">
      <c r="A298" s="181"/>
      <c r="F298" s="4"/>
    </row>
    <row r="299" spans="1:6" ht="12">
      <c r="A299" s="181"/>
      <c r="F299" s="4"/>
    </row>
    <row r="300" spans="1:6" ht="12">
      <c r="A300" s="181"/>
      <c r="F300" s="4"/>
    </row>
    <row r="301" spans="1:6" ht="12">
      <c r="A301" s="181"/>
      <c r="F301" s="4"/>
    </row>
    <row r="302" ht="12">
      <c r="F302" s="4"/>
    </row>
    <row r="303" ht="12">
      <c r="F303" s="4"/>
    </row>
    <row r="304" ht="12">
      <c r="F304" s="4"/>
    </row>
    <row r="305" ht="12">
      <c r="F305" s="4"/>
    </row>
    <row r="306" ht="12">
      <c r="F306" s="4"/>
    </row>
    <row r="307" ht="12">
      <c r="F307" s="4"/>
    </row>
    <row r="308" ht="12">
      <c r="F308" s="4"/>
    </row>
    <row r="309" ht="12">
      <c r="F309" s="4"/>
    </row>
    <row r="310" ht="12">
      <c r="F310" s="4"/>
    </row>
    <row r="311" ht="12">
      <c r="F311" s="4"/>
    </row>
    <row r="312" ht="12">
      <c r="F312" s="4"/>
    </row>
    <row r="313" ht="12">
      <c r="F313" s="4"/>
    </row>
    <row r="314" ht="12">
      <c r="F314" s="4"/>
    </row>
    <row r="315" ht="12">
      <c r="F315" s="4"/>
    </row>
    <row r="316" ht="12">
      <c r="F316" s="4"/>
    </row>
    <row r="317" ht="12">
      <c r="F317" s="4"/>
    </row>
    <row r="318" ht="12">
      <c r="F318" s="4"/>
    </row>
    <row r="319" ht="12">
      <c r="F319" s="4"/>
    </row>
    <row r="320" ht="12">
      <c r="F320" s="4"/>
    </row>
    <row r="321" ht="12">
      <c r="F321" s="4"/>
    </row>
    <row r="322" ht="12">
      <c r="F322" s="4"/>
    </row>
    <row r="323" ht="12">
      <c r="F323" s="4"/>
    </row>
    <row r="324" ht="12">
      <c r="F324" s="4"/>
    </row>
    <row r="325" ht="12">
      <c r="F325" s="4"/>
    </row>
    <row r="326" ht="12">
      <c r="F326" s="4"/>
    </row>
    <row r="327" ht="12">
      <c r="F327" s="4"/>
    </row>
    <row r="328" ht="12">
      <c r="F328" s="4"/>
    </row>
    <row r="329" ht="12">
      <c r="F329" s="4"/>
    </row>
    <row r="330" ht="12">
      <c r="F330" s="4"/>
    </row>
    <row r="331" ht="12">
      <c r="F331" s="4"/>
    </row>
    <row r="332" ht="12">
      <c r="F332" s="4"/>
    </row>
    <row r="333" ht="12">
      <c r="F333" s="4"/>
    </row>
    <row r="334" ht="12">
      <c r="F334" s="4"/>
    </row>
    <row r="335" ht="12">
      <c r="F335" s="4"/>
    </row>
    <row r="336" ht="12">
      <c r="F336" s="4"/>
    </row>
    <row r="337" ht="12">
      <c r="F337" s="4"/>
    </row>
    <row r="338" ht="12">
      <c r="F338" s="4"/>
    </row>
    <row r="339" ht="12">
      <c r="F339" s="4"/>
    </row>
    <row r="340" ht="12">
      <c r="F340" s="4"/>
    </row>
    <row r="341" ht="12">
      <c r="F341" s="4"/>
    </row>
    <row r="342" ht="12">
      <c r="F342" s="4"/>
    </row>
    <row r="343" ht="12">
      <c r="F343" s="4"/>
    </row>
    <row r="344" ht="12">
      <c r="F344" s="4"/>
    </row>
    <row r="345" ht="12">
      <c r="F345" s="4"/>
    </row>
    <row r="346" ht="12">
      <c r="F346" s="4"/>
    </row>
    <row r="347" ht="12">
      <c r="F347" s="4"/>
    </row>
    <row r="348" ht="12">
      <c r="F348" s="4"/>
    </row>
    <row r="349" ht="12">
      <c r="F349" s="4"/>
    </row>
    <row r="350" ht="12">
      <c r="F350" s="4"/>
    </row>
    <row r="351" ht="12">
      <c r="F351" s="4"/>
    </row>
    <row r="352" ht="12">
      <c r="F352" s="4"/>
    </row>
    <row r="353" ht="12">
      <c r="F353" s="4"/>
    </row>
    <row r="354" ht="12">
      <c r="F354" s="4"/>
    </row>
    <row r="355" ht="12">
      <c r="F355" s="4"/>
    </row>
    <row r="356" ht="12">
      <c r="F356" s="4"/>
    </row>
    <row r="357" ht="12">
      <c r="F357" s="4"/>
    </row>
    <row r="358" ht="12">
      <c r="F358" s="4"/>
    </row>
    <row r="359" ht="12">
      <c r="F359" s="4"/>
    </row>
    <row r="360" ht="12">
      <c r="F360" s="4"/>
    </row>
    <row r="361" ht="12">
      <c r="F361" s="4"/>
    </row>
    <row r="362" ht="12">
      <c r="F362" s="4"/>
    </row>
    <row r="363" ht="12">
      <c r="F363" s="4"/>
    </row>
    <row r="364" ht="12">
      <c r="F364" s="4"/>
    </row>
    <row r="365" ht="12">
      <c r="F365" s="4"/>
    </row>
    <row r="366" ht="12">
      <c r="F366" s="4"/>
    </row>
  </sheetData>
  <mergeCells count="1">
    <mergeCell ref="C4:H6"/>
  </mergeCells>
  <pageMargins left="0.7" right="0.7" top="0.75" bottom="0.75" header="0.3" footer="0.3"/>
  <pageSetup horizontalDpi="300" verticalDpi="300" orientation="portrait" r:id="rId1"/>
  <headerFooter>
    <oddFooter>&amp;L&amp;"Times New Roman,Regular"&amp;9O3129680.v1</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N113"/>
  <sheetViews>
    <sheetView workbookViewId="0" topLeftCell="A1"/>
  </sheetViews>
  <sheetFormatPr defaultColWidth="10.85546875" defaultRowHeight="12"/>
  <cols>
    <col min="1" max="1" width="4.42857142857143" style="115" customWidth="1"/>
    <col min="2" max="2" width="38" style="115" customWidth="1"/>
    <col min="3" max="5" width="14.8571428571429" style="115" customWidth="1"/>
    <col min="6" max="6" width="12.7142857142857" style="115" customWidth="1"/>
    <col min="7" max="7" width="11.7142857142857" style="115" customWidth="1"/>
    <col min="8" max="8" width="14.2857142857143" style="115" customWidth="1"/>
    <col min="9" max="11" width="11.7142857142857" style="115" customWidth="1"/>
    <col min="12" max="16384" width="10.8571428571429" style="115"/>
  </cols>
  <sheetData>
    <row r="1" spans="1:7" ht="12">
      <c r="A1" s="137" t="s">
        <v>288</v>
      </c>
      <c r="B1" s="137"/>
      <c r="C1" s="137"/>
      <c r="D1" s="137"/>
      <c r="F1" s="293"/>
      <c r="G1" s="292" t="s">
        <v>1</v>
      </c>
    </row>
    <row r="2" spans="1:7" ht="12">
      <c r="A2" s="137" t="s">
        <v>2</v>
      </c>
      <c r="B2" s="137"/>
      <c r="C2" s="137"/>
      <c r="D2" s="137"/>
      <c r="F2" s="293"/>
      <c r="G2" s="293"/>
    </row>
    <row r="3" spans="1:7" ht="12">
      <c r="A3" s="137"/>
      <c r="B3" s="137"/>
      <c r="C3" s="137"/>
      <c r="D3" s="137"/>
      <c r="F3" s="295"/>
      <c r="G3" s="294" t="s">
        <v>289</v>
      </c>
    </row>
    <row r="4" spans="1:7" ht="12">
      <c r="A4" s="137" t="s">
        <v>585</v>
      </c>
      <c r="B4" s="137"/>
      <c r="C4" s="137"/>
      <c r="D4" s="137"/>
      <c r="F4" s="141"/>
      <c r="G4" s="140" t="s">
        <v>4</v>
      </c>
    </row>
    <row r="5" spans="1:7" ht="12">
      <c r="A5" s="386" t="s">
        <v>586</v>
      </c>
      <c r="B5" s="137"/>
      <c r="C5" s="137"/>
      <c r="D5" s="137"/>
      <c r="F5" s="137"/>
      <c r="G5" s="138" t="s">
        <v>157</v>
      </c>
    </row>
    <row r="6" spans="1:7" ht="12">
      <c r="A6" s="137" t="s">
        <v>458</v>
      </c>
      <c r="B6" s="137"/>
      <c r="C6" s="137"/>
      <c r="D6" s="137"/>
      <c r="F6" s="137"/>
      <c r="G6" s="138"/>
    </row>
    <row r="7" spans="1:7" ht="12">
      <c r="A7" s="141" t="s">
        <v>290</v>
      </c>
      <c r="B7" s="137"/>
      <c r="C7" s="137"/>
      <c r="D7" s="137"/>
      <c r="F7" s="137"/>
      <c r="G7" s="138" t="s">
        <v>291</v>
      </c>
    </row>
    <row r="8" spans="1:7" ht="12">
      <c r="A8" s="137"/>
      <c r="B8" s="137"/>
      <c r="C8" s="137"/>
      <c r="D8" s="137"/>
      <c r="E8" s="137"/>
      <c r="F8" s="137"/>
      <c r="G8" s="137"/>
    </row>
    <row r="9" spans="1:7" ht="12.75" customHeight="1">
      <c r="A9" s="730" t="s">
        <v>292</v>
      </c>
      <c r="B9" s="730"/>
      <c r="C9" s="730"/>
      <c r="D9" s="730"/>
      <c r="E9" s="142"/>
      <c r="F9" s="142"/>
      <c r="G9" s="142"/>
    </row>
    <row r="10" spans="1:7" ht="12">
      <c r="A10" s="730"/>
      <c r="B10" s="730"/>
      <c r="C10" s="730"/>
      <c r="D10" s="730"/>
      <c r="E10" s="142"/>
      <c r="F10" s="142"/>
      <c r="G10" s="142"/>
    </row>
    <row r="11" spans="1:7" ht="12.75" thickBot="1">
      <c r="A11" s="143"/>
      <c r="B11" s="143"/>
      <c r="C11" s="296"/>
      <c r="D11" s="296"/>
      <c r="E11" s="296"/>
      <c r="F11" s="296"/>
      <c r="G11" s="296"/>
    </row>
    <row r="12" spans="1:7" ht="12">
      <c r="A12" s="137"/>
      <c r="B12" s="144" t="s">
        <v>7</v>
      </c>
      <c r="C12" s="148" t="s">
        <v>293</v>
      </c>
      <c r="D12" s="148" t="s">
        <v>124</v>
      </c>
      <c r="E12" s="297">
        <v>-4</v>
      </c>
      <c r="F12" s="297">
        <v>-5</v>
      </c>
      <c r="G12" s="297">
        <v>-6</v>
      </c>
    </row>
    <row r="13" spans="2:7" ht="12">
      <c r="B13" s="137"/>
      <c r="C13" s="299"/>
      <c r="D13" s="299"/>
      <c r="E13" s="299"/>
      <c r="F13" s="299" t="s">
        <v>11</v>
      </c>
      <c r="G13" s="299" t="s">
        <v>11</v>
      </c>
    </row>
    <row r="14" spans="1:7" ht="12">
      <c r="A14" s="144" t="s">
        <v>91</v>
      </c>
      <c r="B14" s="137"/>
      <c r="C14" s="299" t="s">
        <v>8</v>
      </c>
      <c r="D14" s="300"/>
      <c r="E14" s="299" t="s">
        <v>10</v>
      </c>
      <c r="F14" s="301" t="s">
        <v>15</v>
      </c>
      <c r="G14" s="301" t="s">
        <v>16</v>
      </c>
    </row>
    <row r="15" spans="1:7" ht="14.25">
      <c r="A15" s="151" t="s">
        <v>94</v>
      </c>
      <c r="B15" s="151" t="s">
        <v>219</v>
      </c>
      <c r="C15" s="302" t="s">
        <v>294</v>
      </c>
      <c r="D15" s="303" t="s">
        <v>105</v>
      </c>
      <c r="E15" s="302" t="s">
        <v>14</v>
      </c>
      <c r="F15" s="304" t="s">
        <v>295</v>
      </c>
      <c r="G15" s="304" t="s">
        <v>295</v>
      </c>
    </row>
    <row r="16" spans="1:7" ht="12">
      <c r="A16" s="155"/>
      <c r="C16" s="305"/>
      <c r="D16" s="305"/>
      <c r="E16" s="305"/>
      <c r="F16" s="306"/>
      <c r="G16" s="305"/>
    </row>
    <row r="17" spans="1:7" ht="12">
      <c r="A17" s="155">
        <v>1</v>
      </c>
      <c r="B17" s="137" t="s">
        <v>296</v>
      </c>
      <c r="C17" s="177"/>
      <c r="D17" s="177"/>
      <c r="E17" s="177"/>
      <c r="F17" s="307"/>
      <c r="G17" s="163" t="str">
        <f>IF(F17=0,"",ROUND(C17*F17,0))</f>
        <v/>
      </c>
    </row>
    <row r="18" spans="1:7" ht="12">
      <c r="A18" s="155">
        <f>A17+1</f>
        <v>2</v>
      </c>
      <c r="B18" s="137"/>
      <c r="C18" s="176"/>
      <c r="D18" s="176"/>
      <c r="E18" s="176"/>
      <c r="F18" s="162"/>
      <c r="G18" s="176"/>
    </row>
    <row r="19" spans="1:7" ht="12">
      <c r="A19" s="155">
        <f t="shared" si="0" ref="A19:A46">A18+1</f>
        <v>3</v>
      </c>
      <c r="B19" s="137" t="s">
        <v>184</v>
      </c>
      <c r="C19" s="308"/>
      <c r="D19" s="308"/>
      <c r="E19" s="308"/>
      <c r="F19" s="309"/>
      <c r="G19" s="163" t="str">
        <f>IF(F19=0,"",ROUND(E19*F19,0))</f>
        <v/>
      </c>
    </row>
    <row r="20" spans="1:7" ht="12">
      <c r="A20" s="155">
        <f t="shared" si="0"/>
        <v>4</v>
      </c>
      <c r="B20" s="137"/>
      <c r="C20" s="157"/>
      <c r="D20" s="157"/>
      <c r="E20" s="157"/>
      <c r="F20" s="309"/>
      <c r="G20" s="157"/>
    </row>
    <row r="21" spans="1:7" ht="12">
      <c r="A21" s="155">
        <f t="shared" si="0"/>
        <v>5</v>
      </c>
      <c r="B21" s="137" t="s">
        <v>297</v>
      </c>
      <c r="C21" s="308"/>
      <c r="D21" s="308"/>
      <c r="E21" s="308"/>
      <c r="F21" s="309"/>
      <c r="G21" s="163" t="str">
        <f>IF(F21=0,"",ROUND(E21*F21,0))</f>
        <v/>
      </c>
    </row>
    <row r="22" spans="1:7" ht="12">
      <c r="A22" s="155">
        <f t="shared" si="0"/>
        <v>6</v>
      </c>
      <c r="B22" s="137"/>
      <c r="C22" s="157"/>
      <c r="D22" s="157"/>
      <c r="E22" s="157"/>
      <c r="F22" s="309"/>
      <c r="G22" s="157"/>
    </row>
    <row r="23" spans="1:7" ht="12">
      <c r="A23" s="155">
        <f t="shared" si="0"/>
        <v>7</v>
      </c>
      <c r="B23" s="137" t="s">
        <v>298</v>
      </c>
      <c r="C23" s="308"/>
      <c r="D23" s="308"/>
      <c r="E23" s="308"/>
      <c r="F23" s="309"/>
      <c r="G23" s="163" t="str">
        <f>IF(F23=0,"",ROUND(E23*F23,0))</f>
        <v/>
      </c>
    </row>
    <row r="24" spans="1:7" ht="12">
      <c r="A24" s="155">
        <f t="shared" si="0"/>
        <v>8</v>
      </c>
      <c r="B24" s="137"/>
      <c r="C24" s="157"/>
      <c r="D24" s="157"/>
      <c r="E24" s="157"/>
      <c r="F24" s="309"/>
      <c r="G24" s="157"/>
    </row>
    <row r="25" spans="1:7" ht="12">
      <c r="A25" s="155">
        <f t="shared" si="0"/>
        <v>9</v>
      </c>
      <c r="B25" s="137" t="s">
        <v>299</v>
      </c>
      <c r="C25" s="308"/>
      <c r="D25" s="308"/>
      <c r="E25" s="308"/>
      <c r="F25" s="309"/>
      <c r="G25" s="163" t="str">
        <f>IF(F25=0,"",ROUND(E25*F25,0))</f>
        <v/>
      </c>
    </row>
    <row r="26" spans="1:7" ht="12">
      <c r="A26" s="155">
        <f t="shared" si="0"/>
        <v>10</v>
      </c>
      <c r="B26" s="137"/>
      <c r="C26" s="157"/>
      <c r="D26" s="157"/>
      <c r="E26" s="157"/>
      <c r="F26" s="309"/>
      <c r="G26" s="157"/>
    </row>
    <row r="27" spans="1:7" ht="12">
      <c r="A27" s="155">
        <f t="shared" si="0"/>
        <v>11</v>
      </c>
      <c r="B27" s="137" t="s">
        <v>188</v>
      </c>
      <c r="C27" s="308"/>
      <c r="D27" s="308"/>
      <c r="E27" s="308"/>
      <c r="G27" s="163" t="str">
        <f>IF(F43=0,"",ROUND(E27*F43,0))</f>
        <v/>
      </c>
    </row>
    <row r="28" spans="1:7" ht="12">
      <c r="A28" s="155">
        <f t="shared" si="0"/>
        <v>12</v>
      </c>
      <c r="B28" s="137"/>
      <c r="C28" s="310"/>
      <c r="D28" s="310"/>
      <c r="E28" s="310"/>
      <c r="F28" s="311"/>
      <c r="G28" s="310"/>
    </row>
    <row r="29" spans="1:7" ht="12">
      <c r="A29" s="155">
        <f t="shared" si="0"/>
        <v>13</v>
      </c>
      <c r="B29" s="137"/>
      <c r="C29" s="176"/>
      <c r="D29" s="176"/>
      <c r="E29" s="176"/>
      <c r="F29" s="312"/>
      <c r="G29" s="176"/>
    </row>
    <row r="30" spans="1:8" ht="12.75" thickBot="1">
      <c r="A30" s="155">
        <f t="shared" si="0"/>
        <v>14</v>
      </c>
      <c r="B30" s="137" t="s">
        <v>300</v>
      </c>
      <c r="C30" s="314">
        <f>SUM(C19:C28)</f>
        <v>0</v>
      </c>
      <c r="D30" s="314">
        <f>SUM(D19:D28)</f>
        <v>0</v>
      </c>
      <c r="E30" s="314">
        <f>SUM(E19:E28)</f>
        <v>0</v>
      </c>
      <c r="F30" s="315" t="s">
        <v>152</v>
      </c>
      <c r="G30" s="316" t="s">
        <v>152</v>
      </c>
      <c r="H30" s="172"/>
    </row>
    <row r="31" spans="1:7" ht="12.75" thickTop="1">
      <c r="A31" s="155">
        <f t="shared" si="0"/>
        <v>15</v>
      </c>
      <c r="B31" s="137"/>
      <c r="C31" s="176"/>
      <c r="D31" s="176"/>
      <c r="E31" s="176"/>
      <c r="F31" s="312"/>
      <c r="G31" s="176"/>
    </row>
    <row r="32" spans="1:7" ht="12">
      <c r="A32" s="155">
        <f t="shared" si="0"/>
        <v>16</v>
      </c>
      <c r="B32" s="137"/>
      <c r="C32" s="176"/>
      <c r="D32" s="176"/>
      <c r="E32" s="176"/>
      <c r="F32" s="317"/>
      <c r="G32" s="176"/>
    </row>
    <row r="33" spans="1:7" ht="12">
      <c r="A33" s="155">
        <f t="shared" si="0"/>
        <v>17</v>
      </c>
      <c r="B33" s="137" t="s">
        <v>164</v>
      </c>
      <c r="C33" s="308"/>
      <c r="D33" s="308"/>
      <c r="E33" s="308"/>
      <c r="F33" s="309"/>
      <c r="G33" s="308"/>
    </row>
    <row r="34" spans="1:7" ht="12">
      <c r="A34" s="155">
        <f t="shared" si="0"/>
        <v>18</v>
      </c>
      <c r="B34" s="137"/>
      <c r="C34" s="157"/>
      <c r="D34" s="157"/>
      <c r="E34" s="157"/>
      <c r="F34" s="309"/>
      <c r="G34" s="157"/>
    </row>
    <row r="35" spans="1:7" ht="12">
      <c r="A35" s="155">
        <f t="shared" si="0"/>
        <v>19</v>
      </c>
      <c r="B35" s="137" t="s">
        <v>184</v>
      </c>
      <c r="C35" s="308"/>
      <c r="D35" s="308"/>
      <c r="E35" s="308">
        <f>SUM(C35:D35)</f>
        <v>0</v>
      </c>
      <c r="F35" s="318"/>
      <c r="G35" s="163"/>
    </row>
    <row r="36" spans="1:7" ht="12">
      <c r="A36" s="155">
        <f t="shared" si="0"/>
        <v>20</v>
      </c>
      <c r="B36" s="137"/>
      <c r="C36" s="157"/>
      <c r="D36" s="157"/>
      <c r="E36" s="157"/>
      <c r="F36" s="309"/>
      <c r="G36" s="157"/>
    </row>
    <row r="37" spans="1:7" ht="12">
      <c r="A37" s="155">
        <f t="shared" si="0"/>
        <v>21</v>
      </c>
      <c r="B37" s="137" t="s">
        <v>297</v>
      </c>
      <c r="C37" s="308"/>
      <c r="D37" s="308"/>
      <c r="E37" s="308">
        <f>SUM(C37:D37)</f>
        <v>0</v>
      </c>
      <c r="F37" s="309"/>
      <c r="G37" s="163" t="str">
        <f>IF(F37=0,"",ROUND(E37*F37,0))</f>
        <v/>
      </c>
    </row>
    <row r="38" spans="1:7" ht="12">
      <c r="A38" s="155">
        <f t="shared" si="0"/>
        <v>22</v>
      </c>
      <c r="B38" s="137"/>
      <c r="C38" s="157"/>
      <c r="D38" s="157"/>
      <c r="E38" s="157"/>
      <c r="F38" s="309"/>
      <c r="G38" s="157"/>
    </row>
    <row r="39" spans="1:7" ht="12">
      <c r="A39" s="155">
        <f t="shared" si="0"/>
        <v>23</v>
      </c>
      <c r="B39" s="137" t="s">
        <v>299</v>
      </c>
      <c r="C39" s="308"/>
      <c r="D39" s="308"/>
      <c r="E39" s="308">
        <f>SUM(C39:D39)</f>
        <v>0</v>
      </c>
      <c r="F39" s="309"/>
      <c r="G39" s="163" t="str">
        <f>IF(F39=0,"",ROUND(E39*F39,0))</f>
        <v/>
      </c>
    </row>
    <row r="40" spans="1:7" ht="12">
      <c r="A40" s="155">
        <f t="shared" si="0"/>
        <v>24</v>
      </c>
      <c r="B40" s="137"/>
      <c r="C40" s="157"/>
      <c r="D40" s="157"/>
      <c r="E40" s="157"/>
      <c r="F40" s="309"/>
      <c r="G40" s="157"/>
    </row>
    <row r="41" spans="1:7" ht="12">
      <c r="A41" s="155">
        <f t="shared" si="0"/>
        <v>25</v>
      </c>
      <c r="B41" s="137" t="s">
        <v>187</v>
      </c>
      <c r="C41" s="308">
        <f>-'Marion TB'!Q87</f>
        <v>7200</v>
      </c>
      <c r="D41" s="308"/>
      <c r="E41" s="308">
        <f>SUM(C41:D41)</f>
        <v>7200</v>
      </c>
      <c r="F41" s="325">
        <f>+'MARION A 6'!G41</f>
        <v>0.21560000000000001</v>
      </c>
      <c r="G41" s="163">
        <f>IF(F41=0,"",ROUND(E41*F41,0))</f>
        <v>1552</v>
      </c>
    </row>
    <row r="42" spans="1:7" ht="12">
      <c r="A42" s="155">
        <f t="shared" si="0"/>
        <v>26</v>
      </c>
      <c r="B42" s="137"/>
      <c r="C42" s="157"/>
      <c r="D42" s="157"/>
      <c r="E42" s="157"/>
      <c r="F42" s="309"/>
      <c r="G42" s="157"/>
    </row>
    <row r="43" spans="1:7" ht="12">
      <c r="A43" s="155">
        <f t="shared" si="0"/>
        <v>27</v>
      </c>
      <c r="B43" s="137" t="s">
        <v>188</v>
      </c>
      <c r="C43" s="308"/>
      <c r="D43" s="308"/>
      <c r="E43" s="308">
        <f>SUM(C43:D43)</f>
        <v>0</v>
      </c>
      <c r="F43" s="318"/>
      <c r="G43" s="163"/>
    </row>
    <row r="44" spans="1:7" ht="12">
      <c r="A44" s="155">
        <f t="shared" si="0"/>
        <v>28</v>
      </c>
      <c r="B44" s="137"/>
      <c r="C44" s="310"/>
      <c r="D44" s="310"/>
      <c r="E44" s="310"/>
      <c r="F44" s="311"/>
      <c r="G44" s="310"/>
    </row>
    <row r="45" spans="1:7" ht="12">
      <c r="A45" s="155">
        <f t="shared" si="0"/>
        <v>29</v>
      </c>
      <c r="B45" s="137"/>
      <c r="C45" s="176"/>
      <c r="D45" s="176"/>
      <c r="E45" s="176"/>
      <c r="F45" s="312"/>
      <c r="G45" s="176"/>
    </row>
    <row r="46" spans="1:8" ht="12.75" thickBot="1">
      <c r="A46" s="155">
        <f t="shared" si="0"/>
        <v>30</v>
      </c>
      <c r="B46" s="137" t="s">
        <v>300</v>
      </c>
      <c r="C46" s="314">
        <f>SUM(C35:C44)</f>
        <v>7200</v>
      </c>
      <c r="D46" s="314">
        <f>SUM(D35:D44)</f>
        <v>0</v>
      </c>
      <c r="E46" s="314">
        <f>SUM(E35:E44)</f>
        <v>7200</v>
      </c>
      <c r="F46" s="311"/>
      <c r="G46" s="314">
        <f>SUM(G35:G44)</f>
        <v>1552</v>
      </c>
      <c r="H46" s="172" t="e">
        <f>E46-#REF!</f>
        <v>#REF!</v>
      </c>
    </row>
    <row r="47" ht="12.75" thickTop="1">
      <c r="A47" s="181"/>
    </row>
    <row r="48" ht="12">
      <c r="A48" s="181"/>
    </row>
    <row r="49" ht="12">
      <c r="A49" s="181"/>
    </row>
    <row r="50" spans="1:7" ht="12">
      <c r="A50" s="137" t="s">
        <v>301</v>
      </c>
      <c r="B50" s="137"/>
      <c r="C50" s="137"/>
      <c r="D50" s="137"/>
      <c r="F50" s="293"/>
      <c r="G50" s="292" t="s">
        <v>1</v>
      </c>
    </row>
    <row r="51" spans="1:7" ht="12">
      <c r="A51" s="137" t="s">
        <v>302</v>
      </c>
      <c r="B51" s="137"/>
      <c r="C51" s="137"/>
      <c r="D51" s="137"/>
      <c r="F51" s="293"/>
      <c r="G51" s="292"/>
    </row>
    <row r="52" spans="1:7" ht="12">
      <c r="A52" s="137"/>
      <c r="B52" s="137"/>
      <c r="C52" s="137"/>
      <c r="D52" s="137"/>
      <c r="F52" s="295"/>
      <c r="G52" s="294" t="s">
        <v>303</v>
      </c>
    </row>
    <row r="53" spans="1:7" ht="12">
      <c r="A53" s="137" t="s">
        <v>456</v>
      </c>
      <c r="B53" s="137"/>
      <c r="C53" s="137"/>
      <c r="D53" s="137"/>
      <c r="F53" s="141"/>
      <c r="G53" s="140" t="s">
        <v>4</v>
      </c>
    </row>
    <row r="54" spans="1:7" ht="12">
      <c r="A54" s="137" t="s">
        <v>457</v>
      </c>
      <c r="B54" s="137"/>
      <c r="C54" s="137"/>
      <c r="D54" s="137"/>
      <c r="F54" s="141"/>
      <c r="G54" s="140" t="s">
        <v>157</v>
      </c>
    </row>
    <row r="55" spans="1:7" ht="12">
      <c r="A55" s="137" t="s">
        <v>458</v>
      </c>
      <c r="B55" s="137"/>
      <c r="C55" s="137"/>
      <c r="D55" s="137"/>
      <c r="E55" s="137"/>
      <c r="F55" s="137"/>
      <c r="G55" s="137"/>
    </row>
    <row r="56" spans="1:7" ht="12">
      <c r="A56" s="141" t="s">
        <v>290</v>
      </c>
      <c r="B56" s="137"/>
      <c r="C56" s="137"/>
      <c r="D56" s="137"/>
      <c r="E56" s="137"/>
      <c r="F56" s="137"/>
      <c r="G56" s="137"/>
    </row>
    <row r="57" spans="1:7" ht="12">
      <c r="A57" s="137"/>
      <c r="B57" s="137"/>
      <c r="C57" s="137"/>
      <c r="D57" s="137"/>
      <c r="E57" s="137"/>
      <c r="F57" s="137"/>
      <c r="G57" s="137"/>
    </row>
    <row r="58" spans="1:7" ht="12">
      <c r="A58" s="732" t="s">
        <v>304</v>
      </c>
      <c r="B58" s="732"/>
      <c r="C58" s="732"/>
      <c r="D58" s="732"/>
      <c r="E58" s="731"/>
      <c r="F58" s="731"/>
      <c r="G58" s="731"/>
    </row>
    <row r="59" spans="1:7" ht="12">
      <c r="A59" s="732"/>
      <c r="B59" s="732"/>
      <c r="C59" s="732"/>
      <c r="D59" s="732"/>
      <c r="E59" s="731"/>
      <c r="F59" s="731"/>
      <c r="G59" s="731"/>
    </row>
    <row r="60" spans="1:7" ht="12.75" thickBot="1">
      <c r="A60" s="143"/>
      <c r="B60" s="143"/>
      <c r="C60" s="296"/>
      <c r="D60" s="296"/>
      <c r="E60" s="296"/>
      <c r="F60" s="296"/>
      <c r="G60" s="296"/>
    </row>
    <row r="61" spans="1:7" ht="12">
      <c r="A61" s="137"/>
      <c r="B61" s="144" t="s">
        <v>7</v>
      </c>
      <c r="C61" s="148" t="s">
        <v>293</v>
      </c>
      <c r="D61" s="148" t="s">
        <v>124</v>
      </c>
      <c r="E61" s="298">
        <v>-4</v>
      </c>
      <c r="F61" s="298">
        <v>-5</v>
      </c>
      <c r="G61" s="298">
        <v>-6</v>
      </c>
    </row>
    <row r="62" spans="1:7" ht="12.75">
      <c r="A62" s="148"/>
      <c r="B62" s="137"/>
      <c r="C62" s="319"/>
      <c r="D62" s="319"/>
      <c r="E62" s="299"/>
      <c r="F62" s="299" t="s">
        <v>11</v>
      </c>
      <c r="G62" s="299" t="s">
        <v>11</v>
      </c>
    </row>
    <row r="63" spans="1:7" ht="12">
      <c r="A63" s="148" t="s">
        <v>91</v>
      </c>
      <c r="B63" s="137"/>
      <c r="C63" s="299" t="s">
        <v>8</v>
      </c>
      <c r="E63" s="299" t="s">
        <v>10</v>
      </c>
      <c r="F63" s="301" t="s">
        <v>15</v>
      </c>
      <c r="G63" s="301" t="s">
        <v>16</v>
      </c>
    </row>
    <row r="64" spans="1:7" ht="14.25">
      <c r="A64" s="152" t="s">
        <v>94</v>
      </c>
      <c r="B64" s="152" t="s">
        <v>219</v>
      </c>
      <c r="C64" s="304" t="s">
        <v>127</v>
      </c>
      <c r="D64" s="153" t="s">
        <v>105</v>
      </c>
      <c r="E64" s="302" t="s">
        <v>14</v>
      </c>
      <c r="F64" s="304" t="s">
        <v>295</v>
      </c>
      <c r="G64" s="304" t="s">
        <v>295</v>
      </c>
    </row>
    <row r="65" spans="1:7" ht="12">
      <c r="A65" s="305"/>
      <c r="C65" s="305"/>
      <c r="D65" s="305"/>
      <c r="E65" s="305"/>
      <c r="F65" s="306"/>
      <c r="G65" s="305"/>
    </row>
    <row r="66" spans="1:7" ht="12">
      <c r="A66" s="155">
        <v>1</v>
      </c>
      <c r="B66" s="137" t="s">
        <v>296</v>
      </c>
      <c r="C66" s="177"/>
      <c r="D66" s="177"/>
      <c r="E66" s="177"/>
      <c r="F66" s="307"/>
      <c r="G66" s="177"/>
    </row>
    <row r="67" spans="1:7" ht="12">
      <c r="A67" s="155">
        <f>A66+1</f>
        <v>2</v>
      </c>
      <c r="B67" s="137"/>
      <c r="C67" s="176"/>
      <c r="D67" s="176"/>
      <c r="E67" s="176"/>
      <c r="F67" s="162"/>
      <c r="G67" s="176"/>
    </row>
    <row r="68" spans="1:7" ht="12">
      <c r="A68" s="155">
        <f t="shared" si="1" ref="A68:A95">A67+1</f>
        <v>3</v>
      </c>
      <c r="B68" s="137" t="s">
        <v>184</v>
      </c>
      <c r="C68" s="308"/>
      <c r="D68" s="308"/>
      <c r="E68" s="308">
        <f>SUM(C68:D68)</f>
        <v>0</v>
      </c>
      <c r="F68" s="309"/>
      <c r="G68" s="320" t="str">
        <f>IF(F68=0,"",ROUND(E68*F68,0))</f>
        <v/>
      </c>
    </row>
    <row r="69" spans="1:7" ht="12">
      <c r="A69" s="155">
        <f t="shared" si="1"/>
        <v>4</v>
      </c>
      <c r="B69" s="137"/>
      <c r="C69" s="157"/>
      <c r="D69" s="157"/>
      <c r="E69" s="157"/>
      <c r="F69" s="309"/>
      <c r="G69" s="157"/>
    </row>
    <row r="70" spans="1:7" ht="12">
      <c r="A70" s="155">
        <f t="shared" si="1"/>
        <v>5</v>
      </c>
      <c r="B70" s="137" t="s">
        <v>297</v>
      </c>
      <c r="C70" s="308"/>
      <c r="D70" s="308"/>
      <c r="E70" s="308">
        <f>SUM(C70:D70)</f>
        <v>0</v>
      </c>
      <c r="F70" s="309"/>
      <c r="G70" s="320" t="str">
        <f>IF(F70=0,"",ROUND(E70*F70,0))</f>
        <v/>
      </c>
    </row>
    <row r="71" spans="1:7" ht="12">
      <c r="A71" s="155">
        <f t="shared" si="1"/>
        <v>6</v>
      </c>
      <c r="B71" s="137"/>
      <c r="C71" s="157"/>
      <c r="D71" s="157"/>
      <c r="E71" s="157"/>
      <c r="F71" s="309"/>
      <c r="G71" s="157"/>
    </row>
    <row r="72" spans="1:7" ht="12">
      <c r="A72" s="155">
        <f t="shared" si="1"/>
        <v>7</v>
      </c>
      <c r="B72" s="137" t="s">
        <v>298</v>
      </c>
      <c r="C72" s="308"/>
      <c r="D72" s="308"/>
      <c r="E72" s="308">
        <f>SUM(C72:D72)</f>
        <v>0</v>
      </c>
      <c r="F72" s="309"/>
      <c r="G72" s="320" t="str">
        <f>IF(F72=0,"",ROUND(E72*F72,0))</f>
        <v/>
      </c>
    </row>
    <row r="73" spans="1:7" ht="12">
      <c r="A73" s="155">
        <f t="shared" si="1"/>
        <v>8</v>
      </c>
      <c r="B73" s="137"/>
      <c r="C73" s="157"/>
      <c r="D73" s="157"/>
      <c r="E73" s="157"/>
      <c r="F73" s="309"/>
      <c r="G73" s="157"/>
    </row>
    <row r="74" spans="1:7" ht="12">
      <c r="A74" s="155">
        <f t="shared" si="1"/>
        <v>9</v>
      </c>
      <c r="B74" s="137" t="s">
        <v>299</v>
      </c>
      <c r="C74" s="176"/>
      <c r="D74" s="176"/>
      <c r="E74" s="308">
        <f>SUM(C74:D74)</f>
        <v>0</v>
      </c>
      <c r="F74" s="309"/>
      <c r="G74" s="320" t="str">
        <f>IF(F74=0,"",ROUND(E74*F74,0))</f>
        <v/>
      </c>
    </row>
    <row r="75" spans="1:7" ht="12">
      <c r="A75" s="155">
        <f t="shared" si="1"/>
        <v>10</v>
      </c>
      <c r="B75" s="137"/>
      <c r="C75" s="157"/>
      <c r="D75" s="157"/>
      <c r="E75" s="157"/>
      <c r="F75" s="309"/>
      <c r="G75" s="157"/>
    </row>
    <row r="76" spans="1:7" ht="12">
      <c r="A76" s="155">
        <f t="shared" si="1"/>
        <v>11</v>
      </c>
      <c r="B76" s="137" t="s">
        <v>305</v>
      </c>
      <c r="C76" s="308"/>
      <c r="D76" s="308"/>
      <c r="E76" s="308">
        <f>SUM(C76:D76)</f>
        <v>0</v>
      </c>
      <c r="F76" s="309"/>
      <c r="G76" s="308" t="str">
        <f>IF(F76=0,"",ROUND(E76*F76,0))</f>
        <v/>
      </c>
    </row>
    <row r="77" spans="1:7" ht="12">
      <c r="A77" s="155">
        <f t="shared" si="1"/>
        <v>12</v>
      </c>
      <c r="B77" s="137"/>
      <c r="C77" s="310"/>
      <c r="D77" s="310"/>
      <c r="E77" s="310"/>
      <c r="F77" s="322"/>
      <c r="G77" s="310"/>
    </row>
    <row r="78" spans="1:7" ht="12">
      <c r="A78" s="155">
        <f t="shared" si="1"/>
        <v>13</v>
      </c>
      <c r="B78" s="137"/>
      <c r="C78" s="176"/>
      <c r="D78" s="176"/>
      <c r="E78" s="176"/>
      <c r="F78" s="317"/>
      <c r="G78" s="176"/>
    </row>
    <row r="79" spans="1:7" ht="12.75" thickBot="1">
      <c r="A79" s="155">
        <f t="shared" si="1"/>
        <v>14</v>
      </c>
      <c r="B79" s="137" t="s">
        <v>300</v>
      </c>
      <c r="C79" s="314">
        <f>SUM(C68:C77)</f>
        <v>0</v>
      </c>
      <c r="D79" s="314">
        <f>SUM(D68:D77)</f>
        <v>0</v>
      </c>
      <c r="E79" s="314">
        <f>SUM(E68:E77)</f>
        <v>0</v>
      </c>
      <c r="F79" s="324" t="s">
        <v>152</v>
      </c>
      <c r="G79" s="324" t="s">
        <v>152</v>
      </c>
    </row>
    <row r="80" spans="1:7" ht="12.75" thickTop="1">
      <c r="A80" s="155">
        <f t="shared" si="1"/>
        <v>15</v>
      </c>
      <c r="B80" s="137"/>
      <c r="C80" s="176"/>
      <c r="D80" s="176"/>
      <c r="E80" s="176"/>
      <c r="F80" s="317"/>
      <c r="G80" s="176"/>
    </row>
    <row r="81" spans="1:7" ht="12">
      <c r="A81" s="155">
        <f t="shared" si="1"/>
        <v>16</v>
      </c>
      <c r="B81" s="137"/>
      <c r="C81" s="176"/>
      <c r="D81" s="176"/>
      <c r="E81" s="176"/>
      <c r="F81" s="317"/>
      <c r="G81" s="176"/>
    </row>
    <row r="82" spans="1:7" ht="12">
      <c r="A82" s="155">
        <f t="shared" si="1"/>
        <v>17</v>
      </c>
      <c r="B82" s="137" t="s">
        <v>164</v>
      </c>
      <c r="C82" s="308"/>
      <c r="D82" s="308"/>
      <c r="E82" s="308"/>
      <c r="F82" s="309"/>
      <c r="G82" s="308"/>
    </row>
    <row r="83" spans="1:7" ht="12">
      <c r="A83" s="155">
        <f t="shared" si="1"/>
        <v>18</v>
      </c>
      <c r="B83" s="137"/>
      <c r="C83" s="157"/>
      <c r="D83" s="157"/>
      <c r="E83" s="157"/>
      <c r="F83" s="309"/>
      <c r="G83" s="157"/>
    </row>
    <row r="84" spans="1:7" ht="12">
      <c r="A84" s="155">
        <f t="shared" si="1"/>
        <v>19</v>
      </c>
      <c r="B84" s="137" t="s">
        <v>184</v>
      </c>
      <c r="C84" s="308"/>
      <c r="D84" s="308"/>
      <c r="E84" s="308">
        <f>SUM(C84:D84)</f>
        <v>0</v>
      </c>
      <c r="F84" s="318"/>
      <c r="G84" s="163"/>
    </row>
    <row r="85" spans="1:7" ht="12">
      <c r="A85" s="155">
        <f t="shared" si="1"/>
        <v>20</v>
      </c>
      <c r="B85" s="137"/>
      <c r="C85" s="157"/>
      <c r="D85" s="157"/>
      <c r="E85" s="157"/>
      <c r="F85" s="309"/>
      <c r="G85" s="157"/>
    </row>
    <row r="86" spans="1:7" ht="12">
      <c r="A86" s="155">
        <f t="shared" si="1"/>
        <v>21</v>
      </c>
      <c r="B86" s="137" t="s">
        <v>297</v>
      </c>
      <c r="C86" s="308"/>
      <c r="D86" s="308"/>
      <c r="E86" s="308">
        <f>SUM(C86:D86)</f>
        <v>0</v>
      </c>
      <c r="F86" s="309"/>
      <c r="G86" s="320"/>
    </row>
    <row r="87" spans="1:7" ht="12">
      <c r="A87" s="155">
        <f t="shared" si="1"/>
        <v>22</v>
      </c>
      <c r="B87" s="137"/>
      <c r="C87" s="157"/>
      <c r="D87" s="157"/>
      <c r="E87" s="157"/>
      <c r="F87" s="309"/>
      <c r="G87" s="157"/>
    </row>
    <row r="88" spans="1:7" ht="12">
      <c r="A88" s="155">
        <f t="shared" si="1"/>
        <v>23</v>
      </c>
      <c r="B88" s="137" t="s">
        <v>299</v>
      </c>
      <c r="C88" s="308"/>
      <c r="D88" s="308"/>
      <c r="E88" s="308">
        <f>SUM(C88:D88)</f>
        <v>0</v>
      </c>
      <c r="F88" s="309"/>
      <c r="G88" s="320"/>
    </row>
    <row r="89" spans="1:7" ht="12">
      <c r="A89" s="155">
        <f t="shared" si="1"/>
        <v>24</v>
      </c>
      <c r="B89" s="137"/>
      <c r="C89" s="157"/>
      <c r="D89" s="157"/>
      <c r="E89" s="157"/>
      <c r="F89" s="309"/>
      <c r="G89" s="157"/>
    </row>
    <row r="90" spans="1:7" ht="12">
      <c r="A90" s="155">
        <f t="shared" si="1"/>
        <v>25</v>
      </c>
      <c r="B90" s="137" t="s">
        <v>187</v>
      </c>
      <c r="C90" s="308">
        <f>+'Marion TB'!Q115</f>
        <v>2496.2999999999997</v>
      </c>
      <c r="D90" s="308"/>
      <c r="E90" s="308">
        <f>SUM(C90:D90)</f>
        <v>2496.2999999999997</v>
      </c>
      <c r="F90" s="325">
        <f>+F41</f>
        <v>0.21560000000000001</v>
      </c>
      <c r="G90" s="163">
        <f>IF(F90=0,"",ROUND(E90*F90,0))</f>
        <v>538</v>
      </c>
    </row>
    <row r="91" spans="1:7" ht="12">
      <c r="A91" s="155">
        <f t="shared" si="1"/>
        <v>26</v>
      </c>
      <c r="B91" s="137"/>
      <c r="C91" s="157"/>
      <c r="D91" s="157"/>
      <c r="E91" s="157"/>
      <c r="F91" s="309"/>
      <c r="G91" s="157"/>
    </row>
    <row r="92" spans="1:7" ht="12">
      <c r="A92" s="155">
        <f t="shared" si="1"/>
        <v>27</v>
      </c>
      <c r="B92" s="137" t="s">
        <v>305</v>
      </c>
      <c r="C92" s="308"/>
      <c r="D92" s="308"/>
      <c r="E92" s="308">
        <f>SUM(C92:D92)</f>
        <v>0</v>
      </c>
      <c r="F92" s="318"/>
      <c r="G92" s="163"/>
    </row>
    <row r="93" spans="1:7" ht="12">
      <c r="A93" s="155">
        <f t="shared" si="1"/>
        <v>28</v>
      </c>
      <c r="B93" s="137"/>
      <c r="C93" s="310"/>
      <c r="D93" s="310"/>
      <c r="E93" s="310"/>
      <c r="F93" s="311"/>
      <c r="G93" s="310"/>
    </row>
    <row r="94" spans="1:7" ht="12">
      <c r="A94" s="155">
        <f t="shared" si="1"/>
        <v>29</v>
      </c>
      <c r="B94" s="137"/>
      <c r="C94" s="176"/>
      <c r="D94" s="176"/>
      <c r="E94" s="176"/>
      <c r="F94" s="312"/>
      <c r="G94" s="176"/>
    </row>
    <row r="95" spans="1:7" ht="12.75" thickBot="1">
      <c r="A95" s="155">
        <f t="shared" si="1"/>
        <v>30</v>
      </c>
      <c r="B95" s="137" t="s">
        <v>300</v>
      </c>
      <c r="C95" s="314">
        <f>SUM(C84:C93)</f>
        <v>2496.2999999999997</v>
      </c>
      <c r="D95" s="314">
        <f>SUM(D84:D93)</f>
        <v>0</v>
      </c>
      <c r="E95" s="314">
        <f>SUM(E84:E93)</f>
        <v>2496.2999999999997</v>
      </c>
      <c r="F95" s="311"/>
      <c r="G95" s="314">
        <f>SUM(G84:G93)</f>
        <v>538</v>
      </c>
    </row>
    <row r="96" ht="12.75" thickTop="1">
      <c r="A96" s="181"/>
    </row>
    <row r="97" ht="12">
      <c r="A97" s="181"/>
    </row>
    <row r="98" ht="12">
      <c r="A98" s="181"/>
    </row>
    <row r="100" ht="12.75" thickBot="1"/>
    <row r="101" spans="2:14" s="4" customFormat="1" ht="15.75">
      <c r="B101" s="191" t="s">
        <v>164</v>
      </c>
      <c r="C101" s="192"/>
      <c r="D101" s="192"/>
      <c r="E101" s="192"/>
      <c r="F101" s="193"/>
      <c r="G101" s="193"/>
      <c r="H101" s="193"/>
      <c r="I101" s="192" t="s">
        <v>165</v>
      </c>
      <c r="J101" s="192"/>
      <c r="K101" s="192"/>
      <c r="L101" s="192"/>
      <c r="M101" s="193"/>
      <c r="N101" s="194"/>
    </row>
    <row r="102" spans="2:14" s="4" customFormat="1" ht="15.75">
      <c r="B102" s="195"/>
      <c r="C102" s="196" t="s">
        <v>166</v>
      </c>
      <c r="D102" s="196" t="s">
        <v>167</v>
      </c>
      <c r="E102" s="196" t="s">
        <v>167</v>
      </c>
      <c r="F102" s="197"/>
      <c r="G102" s="197"/>
      <c r="H102" s="197"/>
      <c r="I102" s="196" t="s">
        <v>168</v>
      </c>
      <c r="J102" s="196" t="s">
        <v>169</v>
      </c>
      <c r="K102" s="196" t="s">
        <v>167</v>
      </c>
      <c r="L102" s="196" t="s">
        <v>167</v>
      </c>
      <c r="M102" s="197"/>
      <c r="N102" s="198"/>
    </row>
    <row r="103" spans="2:14" s="4" customFormat="1" ht="15.75">
      <c r="B103" s="199" t="s">
        <v>170</v>
      </c>
      <c r="C103" s="196" t="s">
        <v>171</v>
      </c>
      <c r="D103" s="196" t="s">
        <v>172</v>
      </c>
      <c r="E103" s="196" t="s">
        <v>10</v>
      </c>
      <c r="F103" s="196" t="s">
        <v>173</v>
      </c>
      <c r="G103" s="196" t="s">
        <v>173</v>
      </c>
      <c r="H103" s="196"/>
      <c r="I103" s="196" t="s">
        <v>174</v>
      </c>
      <c r="J103" s="196" t="s">
        <v>175</v>
      </c>
      <c r="K103" s="196" t="s">
        <v>172</v>
      </c>
      <c r="L103" s="196" t="s">
        <v>10</v>
      </c>
      <c r="M103" s="196" t="s">
        <v>173</v>
      </c>
      <c r="N103" s="200" t="s">
        <v>173</v>
      </c>
    </row>
    <row r="104" spans="2:14" s="4" customFormat="1" ht="15.75">
      <c r="B104" s="195"/>
      <c r="C104" s="201" t="s">
        <v>176</v>
      </c>
      <c r="D104" s="202" t="s">
        <v>105</v>
      </c>
      <c r="E104" s="201" t="s">
        <v>177</v>
      </c>
      <c r="F104" s="201" t="s">
        <v>178</v>
      </c>
      <c r="G104" s="201" t="s">
        <v>179</v>
      </c>
      <c r="H104" s="201"/>
      <c r="I104" s="201" t="s">
        <v>180</v>
      </c>
      <c r="J104" s="201" t="s">
        <v>181</v>
      </c>
      <c r="K104" s="202" t="s">
        <v>105</v>
      </c>
      <c r="L104" s="201" t="s">
        <v>177</v>
      </c>
      <c r="M104" s="201" t="s">
        <v>182</v>
      </c>
      <c r="N104" s="203" t="s">
        <v>183</v>
      </c>
    </row>
    <row r="105" spans="2:14" s="4" customFormat="1" ht="15">
      <c r="B105" s="195"/>
      <c r="C105" s="197"/>
      <c r="D105" s="197"/>
      <c r="E105" s="197"/>
      <c r="F105" s="197"/>
      <c r="G105" s="197"/>
      <c r="H105" s="197"/>
      <c r="I105" s="197"/>
      <c r="J105" s="197"/>
      <c r="K105" s="197"/>
      <c r="L105" s="197"/>
      <c r="M105" s="197"/>
      <c r="N105" s="198"/>
    </row>
    <row r="106" spans="2:14" s="4" customFormat="1" ht="15">
      <c r="B106" s="195" t="s">
        <v>184</v>
      </c>
      <c r="C106" s="204">
        <v>0</v>
      </c>
      <c r="D106" s="205">
        <v>0</v>
      </c>
      <c r="E106" s="206">
        <f>(D106+C106)</f>
        <v>0</v>
      </c>
      <c r="F106" s="207">
        <v>0.3135</v>
      </c>
      <c r="G106" s="206">
        <f>E106*F106</f>
        <v>0</v>
      </c>
      <c r="H106" s="206"/>
      <c r="I106" s="208">
        <v>0</v>
      </c>
      <c r="J106" s="204">
        <v>0</v>
      </c>
      <c r="K106" s="205">
        <v>0</v>
      </c>
      <c r="L106" s="206">
        <f>(K106+J106)</f>
        <v>0</v>
      </c>
      <c r="M106" s="207">
        <v>0.3135</v>
      </c>
      <c r="N106" s="209">
        <f>L106*M106</f>
        <v>0</v>
      </c>
    </row>
    <row r="107" spans="2:14" s="4" customFormat="1" ht="15.75">
      <c r="B107" s="195" t="s">
        <v>185</v>
      </c>
      <c r="C107" s="204">
        <v>0</v>
      </c>
      <c r="D107" s="210">
        <v>0</v>
      </c>
      <c r="E107" s="211">
        <f>(D107+C107)</f>
        <v>0</v>
      </c>
      <c r="F107" s="207">
        <v>0.3135</v>
      </c>
      <c r="G107" s="206">
        <f>E107*F107</f>
        <v>0</v>
      </c>
      <c r="H107" s="206"/>
      <c r="I107" s="208">
        <v>0</v>
      </c>
      <c r="J107" s="204">
        <v>0</v>
      </c>
      <c r="K107" s="212">
        <v>0</v>
      </c>
      <c r="L107" s="211">
        <f>(K107+J107)</f>
        <v>0</v>
      </c>
      <c r="M107" s="207">
        <v>0.3135</v>
      </c>
      <c r="N107" s="209">
        <f>L107*M107</f>
        <v>0</v>
      </c>
    </row>
    <row r="108" spans="2:14" s="4" customFormat="1" ht="15.75">
      <c r="B108" s="195" t="s">
        <v>186</v>
      </c>
      <c r="C108" s="204">
        <v>0</v>
      </c>
      <c r="D108" s="210">
        <v>0</v>
      </c>
      <c r="E108" s="211">
        <f>(D108+C108)</f>
        <v>0</v>
      </c>
      <c r="F108" s="207">
        <v>0.3135</v>
      </c>
      <c r="G108" s="206">
        <f>E108*F108</f>
        <v>0</v>
      </c>
      <c r="H108" s="206"/>
      <c r="I108" s="213">
        <v>0</v>
      </c>
      <c r="J108" s="204">
        <v>0</v>
      </c>
      <c r="K108" s="212">
        <v>0</v>
      </c>
      <c r="L108" s="211">
        <f>(K108+J108)</f>
        <v>0</v>
      </c>
      <c r="M108" s="207">
        <v>0.3135</v>
      </c>
      <c r="N108" s="209">
        <f>L108*M108</f>
        <v>0</v>
      </c>
    </row>
    <row r="109" spans="2:14" s="4" customFormat="1" ht="15.75">
      <c r="B109" s="195" t="s">
        <v>187</v>
      </c>
      <c r="C109" s="204">
        <v>6750</v>
      </c>
      <c r="D109" s="210">
        <v>0</v>
      </c>
      <c r="E109" s="211">
        <f>(D109+C109)</f>
        <v>6750</v>
      </c>
      <c r="F109" s="207">
        <v>0.3135</v>
      </c>
      <c r="G109" s="206">
        <f>E109*F109</f>
        <v>2116.125</v>
      </c>
      <c r="H109" s="206"/>
      <c r="I109" s="213">
        <v>0</v>
      </c>
      <c r="J109" s="204">
        <v>1615</v>
      </c>
      <c r="K109" s="212">
        <v>184</v>
      </c>
      <c r="L109" s="211">
        <f>(K109+J109)</f>
        <v>1799</v>
      </c>
      <c r="M109" s="207">
        <v>0.3135</v>
      </c>
      <c r="N109" s="209">
        <f>L109*M109</f>
        <v>563.98649999999998</v>
      </c>
    </row>
    <row r="110" spans="2:14" s="4" customFormat="1" ht="15.75">
      <c r="B110" s="214" t="s">
        <v>188</v>
      </c>
      <c r="C110" s="204">
        <v>450</v>
      </c>
      <c r="D110" s="210">
        <v>0</v>
      </c>
      <c r="E110" s="211">
        <f>(D110+C110)</f>
        <v>450</v>
      </c>
      <c r="F110" s="187">
        <v>0.3135</v>
      </c>
      <c r="G110" s="188">
        <f>E110*F110</f>
        <v>141.07499999999999</v>
      </c>
      <c r="H110" s="206"/>
      <c r="I110" s="189">
        <v>0</v>
      </c>
      <c r="J110" s="204">
        <v>243</v>
      </c>
      <c r="K110" s="212">
        <v>-243</v>
      </c>
      <c r="L110" s="211">
        <f>(K110+J110)</f>
        <v>0</v>
      </c>
      <c r="M110" s="187">
        <v>0.3135</v>
      </c>
      <c r="N110" s="215">
        <f>L110*M110</f>
        <v>0</v>
      </c>
    </row>
    <row r="111" spans="2:14" s="4" customFormat="1" ht="15">
      <c r="B111" s="195"/>
      <c r="C111" s="190"/>
      <c r="D111" s="190"/>
      <c r="E111" s="190"/>
      <c r="F111" s="197"/>
      <c r="G111" s="197"/>
      <c r="H111" s="197"/>
      <c r="I111" s="197"/>
      <c r="J111" s="190"/>
      <c r="K111" s="190"/>
      <c r="L111" s="190"/>
      <c r="M111" s="197"/>
      <c r="N111" s="198"/>
    </row>
    <row r="112" spans="2:14" s="4" customFormat="1" ht="16.5" thickBot="1">
      <c r="B112" s="216" t="s">
        <v>71</v>
      </c>
      <c r="C112" s="217">
        <f>SUM(C106:C110)</f>
        <v>7200</v>
      </c>
      <c r="D112" s="218">
        <f>SUM(D106:D110)</f>
        <v>0</v>
      </c>
      <c r="E112" s="218">
        <f>SUM(E106:E110)</f>
        <v>7200</v>
      </c>
      <c r="F112" s="219"/>
      <c r="G112" s="218">
        <f>SUM(G106:G111)</f>
        <v>2257.1999999999998</v>
      </c>
      <c r="H112" s="218"/>
      <c r="I112" s="219"/>
      <c r="J112" s="218">
        <f>SUM(J106:J110)</f>
        <v>1858</v>
      </c>
      <c r="K112" s="218">
        <f>SUM(K106:K110)</f>
        <v>-59</v>
      </c>
      <c r="L112" s="218">
        <f>SUM(L106:L110)</f>
        <v>1799</v>
      </c>
      <c r="M112" s="220"/>
      <c r="N112" s="221">
        <f>SUM(N106:N111)</f>
        <v>563.98649999999998</v>
      </c>
    </row>
    <row r="113" s="4" customFormat="1" ht="11.25">
      <c r="G113" s="41"/>
    </row>
  </sheetData>
  <mergeCells count="2">
    <mergeCell ref="A9:D10"/>
    <mergeCell ref="A58:G59"/>
  </mergeCells>
  <pageMargins left="0.7" right="0.7" top="0.75" bottom="0.75" header="0.3" footer="0.3"/>
  <pageSetup horizontalDpi="300" verticalDpi="300" orientation="portrait" r:id="rId1"/>
  <headerFooter>
    <oddFooter>&amp;L&amp;"Times New Roman,Regular"&amp;9O3129680.v1</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L321"/>
  <sheetViews>
    <sheetView workbookViewId="0" topLeftCell="A1"/>
  </sheetViews>
  <sheetFormatPr defaultColWidth="10.85546875" defaultRowHeight="12"/>
  <cols>
    <col min="1" max="1" width="6.28571428571429" style="115" customWidth="1"/>
    <col min="2" max="2" width="11.5714285714286" style="115" hidden="1" customWidth="1"/>
    <col min="3" max="3" width="35" style="115" customWidth="1"/>
    <col min="4" max="9" width="11.7142857142857" style="115" customWidth="1"/>
    <col min="10" max="16384" width="10.8571428571429" style="115"/>
  </cols>
  <sheetData>
    <row r="1" spans="1:12" ht="12">
      <c r="A1" s="137" t="s">
        <v>342</v>
      </c>
      <c r="B1" s="137"/>
      <c r="C1" s="137"/>
      <c r="D1" s="137"/>
      <c r="E1" s="137"/>
      <c r="G1" s="137"/>
      <c r="H1" s="138" t="s">
        <v>1</v>
      </c>
      <c r="J1" s="329"/>
      <c r="K1" s="330" t="s">
        <v>343</v>
      </c>
      <c r="L1" s="331"/>
    </row>
    <row r="2" spans="1:12" ht="12">
      <c r="A2" s="137"/>
      <c r="B2" s="137"/>
      <c r="C2" s="137"/>
      <c r="D2" s="137"/>
      <c r="E2" s="137"/>
      <c r="G2" s="137"/>
      <c r="H2" s="138"/>
      <c r="J2" s="332" t="s">
        <v>151</v>
      </c>
      <c r="K2" s="333" t="s">
        <v>296</v>
      </c>
      <c r="L2" s="334" t="s">
        <v>344</v>
      </c>
    </row>
    <row r="3" spans="1:12" ht="12">
      <c r="A3" s="137" t="s">
        <v>456</v>
      </c>
      <c r="B3" s="137"/>
      <c r="C3" s="137"/>
      <c r="D3" s="137"/>
      <c r="E3" s="137"/>
      <c r="G3" s="137"/>
      <c r="H3" s="138" t="s">
        <v>345</v>
      </c>
      <c r="J3" s="335">
        <f>SUM(K3:L3)</f>
        <v>3968</v>
      </c>
      <c r="K3" s="336">
        <v>2592.50</v>
      </c>
      <c r="L3" s="337">
        <v>1375.50</v>
      </c>
    </row>
    <row r="4" spans="1:8" ht="12">
      <c r="A4" s="386" t="s">
        <v>586</v>
      </c>
      <c r="B4" s="137"/>
      <c r="C4" s="139"/>
      <c r="D4" s="139"/>
      <c r="E4" s="139"/>
      <c r="G4" s="137"/>
      <c r="H4" s="138" t="s">
        <v>326</v>
      </c>
    </row>
    <row r="5" spans="1:8" ht="12">
      <c r="A5" s="137" t="s">
        <v>501</v>
      </c>
      <c r="B5" s="137"/>
      <c r="C5" s="139"/>
      <c r="D5" s="139"/>
      <c r="E5" s="139"/>
      <c r="G5" s="137"/>
      <c r="H5" s="138" t="s">
        <v>157</v>
      </c>
    </row>
    <row r="6" spans="1:8" ht="12">
      <c r="A6" s="141" t="s">
        <v>290</v>
      </c>
      <c r="B6" s="141"/>
      <c r="C6" s="137"/>
      <c r="D6" s="137"/>
      <c r="E6" s="137"/>
      <c r="G6" s="137"/>
      <c r="H6" s="138" t="s">
        <v>346</v>
      </c>
    </row>
    <row r="7" spans="1:8" ht="12">
      <c r="A7" s="729" t="s">
        <v>347</v>
      </c>
      <c r="B7" s="729"/>
      <c r="C7" s="729"/>
      <c r="D7" s="729"/>
      <c r="E7" s="729"/>
      <c r="F7" s="729"/>
      <c r="G7" s="729"/>
      <c r="H7" s="729"/>
    </row>
    <row r="8" spans="1:8" ht="12.75" customHeight="1" thickBot="1">
      <c r="A8" s="143"/>
      <c r="B8" s="143"/>
      <c r="C8" s="143"/>
      <c r="D8" s="143"/>
      <c r="E8" s="143"/>
      <c r="F8" s="143"/>
      <c r="G8" s="143"/>
      <c r="H8" s="143"/>
    </row>
    <row r="9" spans="1:8" ht="12">
      <c r="A9" s="137"/>
      <c r="B9" s="338"/>
      <c r="C9" s="148" t="s">
        <v>7</v>
      </c>
      <c r="D9" s="339" t="s">
        <v>293</v>
      </c>
      <c r="E9" s="145">
        <v>-3</v>
      </c>
      <c r="F9" s="145">
        <v>-4</v>
      </c>
      <c r="G9" s="145">
        <v>-5</v>
      </c>
      <c r="H9" s="145">
        <v>-6</v>
      </c>
    </row>
    <row r="10" spans="1:8" ht="12">
      <c r="A10" s="148" t="s">
        <v>91</v>
      </c>
      <c r="B10" s="340" t="s">
        <v>348</v>
      </c>
      <c r="C10" s="144"/>
      <c r="D10" s="148" t="s">
        <v>8</v>
      </c>
      <c r="E10" s="148" t="s">
        <v>8</v>
      </c>
      <c r="F10" s="148" t="s">
        <v>10</v>
      </c>
      <c r="G10" s="144" t="s">
        <v>11</v>
      </c>
      <c r="H10" s="148" t="s">
        <v>349</v>
      </c>
    </row>
    <row r="11" spans="1:8" ht="14.25">
      <c r="A11" s="152" t="s">
        <v>94</v>
      </c>
      <c r="B11" s="341" t="s">
        <v>350</v>
      </c>
      <c r="C11" s="152" t="s">
        <v>12</v>
      </c>
      <c r="D11" s="327" t="s">
        <v>351</v>
      </c>
      <c r="E11" s="342" t="s">
        <v>105</v>
      </c>
      <c r="F11" s="152" t="s">
        <v>177</v>
      </c>
      <c r="G11" s="151" t="s">
        <v>15</v>
      </c>
      <c r="H11" s="152" t="s">
        <v>16</v>
      </c>
    </row>
    <row r="12" spans="1:7" ht="12">
      <c r="A12" s="305">
        <v>1</v>
      </c>
      <c r="B12" s="148"/>
      <c r="C12" s="137" t="s">
        <v>17</v>
      </c>
      <c r="D12" s="137"/>
      <c r="E12" s="137"/>
      <c r="G12" s="323"/>
    </row>
    <row r="13" spans="1:8" ht="12">
      <c r="A13" s="305">
        <f>A12+1</f>
        <v>2</v>
      </c>
      <c r="B13" s="148">
        <v>6640</v>
      </c>
      <c r="C13" s="115" t="s">
        <v>18</v>
      </c>
      <c r="D13" s="343"/>
      <c r="E13" s="321"/>
      <c r="F13" s="321"/>
      <c r="G13" s="323"/>
      <c r="H13" s="176" t="str">
        <f>IF(OR(F13=0,G13=0),"",ROUND(F13*G13,0))</f>
        <v/>
      </c>
    </row>
    <row r="14" spans="1:8" ht="12">
      <c r="A14" s="305">
        <f t="shared" si="0" ref="A14:A77">A13+1</f>
        <v>3</v>
      </c>
      <c r="B14" s="148">
        <v>6645</v>
      </c>
      <c r="C14" s="115" t="s">
        <v>19</v>
      </c>
      <c r="D14" s="343"/>
      <c r="E14" s="176"/>
      <c r="F14" s="321"/>
      <c r="G14" s="323"/>
      <c r="H14" s="176" t="str">
        <f t="shared" si="1" ref="H14:H73">IF(OR(F14=0,G14=0),"",ROUND(F14*G14,0))</f>
        <v/>
      </c>
    </row>
    <row r="15" spans="1:8" ht="12">
      <c r="A15" s="305">
        <f t="shared" si="0"/>
        <v>4</v>
      </c>
      <c r="B15" s="148">
        <v>6790</v>
      </c>
      <c r="C15" s="115" t="s">
        <v>20</v>
      </c>
      <c r="D15" s="343"/>
      <c r="E15" s="176"/>
      <c r="F15" s="321"/>
      <c r="G15" s="323"/>
      <c r="H15" s="176" t="str">
        <f t="shared" si="1"/>
        <v/>
      </c>
    </row>
    <row r="16" spans="1:8" ht="12">
      <c r="A16" s="305">
        <f t="shared" si="0"/>
        <v>5</v>
      </c>
      <c r="B16" s="148"/>
      <c r="C16" s="137" t="s">
        <v>21</v>
      </c>
      <c r="D16" s="343"/>
      <c r="E16" s="176"/>
      <c r="F16" s="321"/>
      <c r="G16" s="323"/>
      <c r="H16" s="176" t="str">
        <f t="shared" si="1"/>
        <v/>
      </c>
    </row>
    <row r="17" spans="1:8" ht="12">
      <c r="A17" s="305">
        <f t="shared" si="0"/>
        <v>6</v>
      </c>
      <c r="B17" s="148" t="s">
        <v>152</v>
      </c>
      <c r="C17" s="115" t="s">
        <v>22</v>
      </c>
      <c r="D17" s="343"/>
      <c r="E17" s="176"/>
      <c r="F17" s="321"/>
      <c r="G17" s="323"/>
      <c r="H17" s="176" t="str">
        <f t="shared" si="1"/>
        <v/>
      </c>
    </row>
    <row r="18" spans="1:8" ht="12">
      <c r="A18" s="305">
        <f t="shared" si="0"/>
        <v>7</v>
      </c>
      <c r="B18" s="148">
        <v>6655</v>
      </c>
      <c r="C18" s="115" t="s">
        <v>23</v>
      </c>
      <c r="D18" s="343"/>
      <c r="E18" s="176"/>
      <c r="F18" s="321"/>
      <c r="G18" s="323"/>
      <c r="H18" s="176" t="str">
        <f t="shared" si="1"/>
        <v/>
      </c>
    </row>
    <row r="19" spans="1:8" ht="12">
      <c r="A19" s="305">
        <f t="shared" si="0"/>
        <v>8</v>
      </c>
      <c r="B19" s="148">
        <v>6685</v>
      </c>
      <c r="C19" s="161" t="s">
        <v>128</v>
      </c>
      <c r="D19" s="343"/>
      <c r="E19" s="176"/>
      <c r="F19" s="321"/>
      <c r="G19" s="323"/>
      <c r="H19" s="176" t="str">
        <f t="shared" si="1"/>
        <v/>
      </c>
    </row>
    <row r="20" spans="1:9" ht="12">
      <c r="A20" s="305">
        <f t="shared" si="0"/>
        <v>9</v>
      </c>
      <c r="B20" s="148">
        <v>6710</v>
      </c>
      <c r="C20" s="115" t="s">
        <v>25</v>
      </c>
      <c r="D20" s="343"/>
      <c r="E20" s="176"/>
      <c r="F20" s="308"/>
      <c r="G20" s="317"/>
      <c r="H20" s="176" t="str">
        <f t="shared" si="1"/>
        <v/>
      </c>
      <c r="I20" s="115" t="s">
        <v>352</v>
      </c>
    </row>
    <row r="21" spans="1:8" ht="12">
      <c r="A21" s="305">
        <f t="shared" si="0"/>
        <v>10</v>
      </c>
      <c r="B21" s="147" t="s">
        <v>353</v>
      </c>
      <c r="C21" s="115" t="s">
        <v>26</v>
      </c>
      <c r="D21" s="343"/>
      <c r="E21" s="176"/>
      <c r="F21" s="308"/>
      <c r="G21" s="317"/>
      <c r="H21" s="176" t="str">
        <f t="shared" si="1"/>
        <v/>
      </c>
    </row>
    <row r="22" spans="1:8" ht="12">
      <c r="A22" s="305">
        <f t="shared" si="0"/>
        <v>11</v>
      </c>
      <c r="B22" s="148">
        <v>6720</v>
      </c>
      <c r="C22" s="115" t="s">
        <v>27</v>
      </c>
      <c r="D22" s="343"/>
      <c r="E22" s="176"/>
      <c r="F22" s="308"/>
      <c r="G22" s="317"/>
      <c r="H22" s="176" t="str">
        <f t="shared" si="1"/>
        <v/>
      </c>
    </row>
    <row r="23" spans="1:9" ht="12">
      <c r="A23" s="305">
        <f t="shared" si="0"/>
        <v>12</v>
      </c>
      <c r="B23" s="147">
        <v>6725</v>
      </c>
      <c r="C23" s="115" t="s">
        <v>28</v>
      </c>
      <c r="D23" s="343"/>
      <c r="E23" s="176"/>
      <c r="F23" s="308"/>
      <c r="G23" s="317"/>
      <c r="H23" s="176" t="str">
        <f t="shared" si="1"/>
        <v/>
      </c>
      <c r="I23" s="115" t="s">
        <v>354</v>
      </c>
    </row>
    <row r="24" spans="1:8" ht="12">
      <c r="A24" s="305">
        <f t="shared" si="0"/>
        <v>13</v>
      </c>
      <c r="B24" s="148">
        <v>6730</v>
      </c>
      <c r="C24" s="115" t="s">
        <v>29</v>
      </c>
      <c r="D24" s="343"/>
      <c r="E24" s="176"/>
      <c r="F24" s="321"/>
      <c r="G24" s="323"/>
      <c r="H24" s="176" t="str">
        <f t="shared" si="1"/>
        <v/>
      </c>
    </row>
    <row r="25" spans="1:8" ht="12">
      <c r="A25" s="305">
        <f t="shared" si="0"/>
        <v>14</v>
      </c>
      <c r="B25" s="148">
        <v>6735</v>
      </c>
      <c r="C25" s="115" t="s">
        <v>30</v>
      </c>
      <c r="D25" s="343"/>
      <c r="E25" s="176"/>
      <c r="F25" s="321"/>
      <c r="G25" s="323"/>
      <c r="H25" s="176" t="str">
        <f t="shared" si="1"/>
        <v/>
      </c>
    </row>
    <row r="26" spans="1:8" ht="12">
      <c r="A26" s="305">
        <f t="shared" si="0"/>
        <v>15</v>
      </c>
      <c r="B26" s="148">
        <v>6795</v>
      </c>
      <c r="C26" s="115" t="s">
        <v>31</v>
      </c>
      <c r="D26" s="343"/>
      <c r="E26" s="176"/>
      <c r="F26" s="321"/>
      <c r="G26" s="323"/>
      <c r="H26" s="176" t="str">
        <f t="shared" si="1"/>
        <v/>
      </c>
    </row>
    <row r="27" spans="1:8" ht="12">
      <c r="A27" s="305">
        <f t="shared" si="0"/>
        <v>16</v>
      </c>
      <c r="B27" s="148"/>
      <c r="C27" s="137" t="s">
        <v>32</v>
      </c>
      <c r="D27" s="343"/>
      <c r="E27" s="176"/>
      <c r="F27" s="321"/>
      <c r="G27" s="323"/>
      <c r="H27" s="176"/>
    </row>
    <row r="28" spans="1:8" ht="12">
      <c r="A28" s="305">
        <f t="shared" si="0"/>
        <v>17</v>
      </c>
      <c r="B28" s="148" t="s">
        <v>152</v>
      </c>
      <c r="C28" s="115" t="s">
        <v>33</v>
      </c>
      <c r="D28" s="343"/>
      <c r="E28" s="176"/>
      <c r="F28" s="321"/>
      <c r="G28" s="323"/>
      <c r="H28" s="176" t="str">
        <f t="shared" si="1"/>
        <v/>
      </c>
    </row>
    <row r="29" spans="1:8" ht="12">
      <c r="A29" s="305">
        <f t="shared" si="0"/>
        <v>18</v>
      </c>
      <c r="B29" s="148">
        <v>6660</v>
      </c>
      <c r="C29" s="115" t="s">
        <v>34</v>
      </c>
      <c r="D29" s="343"/>
      <c r="E29" s="176"/>
      <c r="F29" s="321"/>
      <c r="G29" s="323"/>
      <c r="H29" s="176" t="str">
        <f t="shared" si="1"/>
        <v/>
      </c>
    </row>
    <row r="30" spans="1:8" ht="12">
      <c r="A30" s="305">
        <f t="shared" si="0"/>
        <v>19</v>
      </c>
      <c r="B30" s="148">
        <v>6690</v>
      </c>
      <c r="C30" s="161" t="s">
        <v>129</v>
      </c>
      <c r="D30" s="343"/>
      <c r="E30" s="176"/>
      <c r="F30" s="321"/>
      <c r="G30" s="323"/>
      <c r="H30" s="176" t="str">
        <f t="shared" si="1"/>
        <v/>
      </c>
    </row>
    <row r="31" spans="1:8" ht="12">
      <c r="A31" s="305">
        <f t="shared" si="0"/>
        <v>20</v>
      </c>
      <c r="B31" s="148">
        <v>6740</v>
      </c>
      <c r="C31" s="115" t="s">
        <v>35</v>
      </c>
      <c r="D31" s="343"/>
      <c r="E31" s="344"/>
      <c r="F31" s="321"/>
      <c r="G31" s="323"/>
      <c r="H31" s="176" t="str">
        <f t="shared" si="1"/>
        <v/>
      </c>
    </row>
    <row r="32" spans="1:8" ht="12">
      <c r="A32" s="305">
        <f t="shared" si="0"/>
        <v>21</v>
      </c>
      <c r="B32" s="148">
        <v>6745</v>
      </c>
      <c r="C32" s="115" t="s">
        <v>36</v>
      </c>
      <c r="D32" s="343"/>
      <c r="E32" s="176"/>
      <c r="F32" s="321"/>
      <c r="G32" s="323"/>
      <c r="H32" s="176" t="str">
        <f t="shared" si="1"/>
        <v/>
      </c>
    </row>
    <row r="33" spans="1:8" ht="12">
      <c r="A33" s="305">
        <f t="shared" si="0"/>
        <v>22</v>
      </c>
      <c r="B33" s="148">
        <v>6800</v>
      </c>
      <c r="C33" s="115" t="s">
        <v>37</v>
      </c>
      <c r="D33" s="343"/>
      <c r="E33" s="176"/>
      <c r="F33" s="321"/>
      <c r="G33" s="323"/>
      <c r="H33" s="176" t="str">
        <f t="shared" si="1"/>
        <v/>
      </c>
    </row>
    <row r="34" spans="1:8" ht="12">
      <c r="A34" s="305">
        <f t="shared" si="0"/>
        <v>23</v>
      </c>
      <c r="B34" s="148"/>
      <c r="C34" s="137" t="s">
        <v>38</v>
      </c>
      <c r="D34" s="343"/>
      <c r="E34" s="176"/>
      <c r="F34" s="321"/>
      <c r="G34" s="323"/>
      <c r="H34" s="176" t="str">
        <f t="shared" si="1"/>
        <v/>
      </c>
    </row>
    <row r="35" spans="1:8" ht="12">
      <c r="A35" s="305">
        <f t="shared" si="0"/>
        <v>24</v>
      </c>
      <c r="B35" s="148" t="s">
        <v>152</v>
      </c>
      <c r="C35" s="115" t="s">
        <v>39</v>
      </c>
      <c r="D35" s="343"/>
      <c r="E35" s="344"/>
      <c r="F35" s="321"/>
      <c r="G35" s="323"/>
      <c r="H35" s="176" t="str">
        <f t="shared" si="1"/>
        <v/>
      </c>
    </row>
    <row r="36" spans="1:8" ht="12">
      <c r="A36" s="305">
        <f t="shared" si="0"/>
        <v>25</v>
      </c>
      <c r="B36" s="147">
        <v>6665</v>
      </c>
      <c r="C36" s="115" t="s">
        <v>40</v>
      </c>
      <c r="D36" s="721">
        <f>+'Marion TB'!R119</f>
        <v>221.67999999999995</v>
      </c>
      <c r="E36" s="176">
        <f>+'MARION A 10'!D36</f>
        <v>44.916666666666636</v>
      </c>
      <c r="F36" s="321">
        <f t="shared" si="2" ref="F36:F38">SUM(D36:E36)</f>
        <v>266.59666666666658</v>
      </c>
      <c r="G36" s="356">
        <f>+'MARION A 10'!G36</f>
        <v>0.21560000000000001</v>
      </c>
      <c r="H36" s="176">
        <f t="shared" si="1"/>
        <v>57</v>
      </c>
    </row>
    <row r="37" spans="1:8" ht="12">
      <c r="A37" s="305">
        <f t="shared" si="0"/>
        <v>26</v>
      </c>
      <c r="B37" s="148">
        <v>6695</v>
      </c>
      <c r="C37" s="161" t="s">
        <v>130</v>
      </c>
      <c r="D37" s="721"/>
      <c r="E37" s="176"/>
      <c r="F37" s="321">
        <f t="shared" si="2"/>
        <v>0</v>
      </c>
      <c r="G37" s="317"/>
      <c r="H37" s="176" t="str">
        <f t="shared" si="1"/>
        <v/>
      </c>
    </row>
    <row r="38" spans="1:8" ht="12">
      <c r="A38" s="305">
        <f t="shared" si="0"/>
        <v>27</v>
      </c>
      <c r="B38" s="147" t="s">
        <v>355</v>
      </c>
      <c r="C38" s="115" t="s">
        <v>42</v>
      </c>
      <c r="D38" s="721">
        <f>+'Marion TB'!R120+'Marion TB'!R121</f>
        <v>6330.6000000000013</v>
      </c>
      <c r="E38" s="176">
        <f>+'MARION A 10'!D38</f>
        <v>24.036666666666253</v>
      </c>
      <c r="F38" s="321">
        <f t="shared" si="2"/>
        <v>6354.6366666666672</v>
      </c>
      <c r="G38" s="356">
        <f>+'MARION A 10'!G38</f>
        <v>0.21560000000000001</v>
      </c>
      <c r="H38" s="176">
        <f t="shared" si="1"/>
        <v>1370</v>
      </c>
    </row>
    <row r="39" spans="1:8" ht="12">
      <c r="A39" s="305">
        <f t="shared" si="0"/>
        <v>28</v>
      </c>
      <c r="B39" s="148">
        <v>6775</v>
      </c>
      <c r="C39" s="115" t="s">
        <v>43</v>
      </c>
      <c r="D39" s="343"/>
      <c r="E39" s="176"/>
      <c r="F39" s="321"/>
      <c r="G39" s="317"/>
      <c r="H39" s="176" t="str">
        <f t="shared" si="1"/>
        <v/>
      </c>
    </row>
    <row r="40" spans="1:8" ht="12">
      <c r="A40" s="305">
        <f t="shared" si="0"/>
        <v>29</v>
      </c>
      <c r="B40" s="148">
        <v>6785</v>
      </c>
      <c r="C40" s="115" t="s">
        <v>44</v>
      </c>
      <c r="D40" s="343"/>
      <c r="E40" s="176"/>
      <c r="F40" s="321"/>
      <c r="G40" s="323"/>
      <c r="H40" s="176" t="str">
        <f t="shared" si="1"/>
        <v/>
      </c>
    </row>
    <row r="41" spans="1:8" ht="12">
      <c r="A41" s="305">
        <f t="shared" si="0"/>
        <v>30</v>
      </c>
      <c r="B41" s="148">
        <v>6805</v>
      </c>
      <c r="C41" s="115" t="s">
        <v>45</v>
      </c>
      <c r="D41" s="343"/>
      <c r="E41" s="176"/>
      <c r="F41" s="321"/>
      <c r="G41" s="323"/>
      <c r="H41" s="176" t="str">
        <f t="shared" si="1"/>
        <v/>
      </c>
    </row>
    <row r="42" spans="1:8" ht="12">
      <c r="A42" s="305">
        <f t="shared" si="0"/>
        <v>31</v>
      </c>
      <c r="B42" s="148"/>
      <c r="C42" s="137" t="s">
        <v>131</v>
      </c>
      <c r="D42" s="343"/>
      <c r="E42" s="344"/>
      <c r="F42" s="321"/>
      <c r="G42" s="323"/>
      <c r="H42" s="176"/>
    </row>
    <row r="43" spans="1:8" ht="12">
      <c r="A43" s="305">
        <f t="shared" si="0"/>
        <v>32</v>
      </c>
      <c r="B43" s="148" t="s">
        <v>152</v>
      </c>
      <c r="C43" s="115" t="s">
        <v>132</v>
      </c>
      <c r="D43" s="343"/>
      <c r="E43" s="176"/>
      <c r="F43" s="321"/>
      <c r="G43" s="323"/>
      <c r="H43" s="176" t="str">
        <f t="shared" si="1"/>
        <v/>
      </c>
    </row>
    <row r="44" spans="1:8" ht="12">
      <c r="A44" s="305">
        <f t="shared" si="0"/>
        <v>33</v>
      </c>
      <c r="B44" s="148">
        <v>6670</v>
      </c>
      <c r="C44" s="115" t="s">
        <v>133</v>
      </c>
      <c r="D44" s="343"/>
      <c r="E44" s="176"/>
      <c r="F44" s="321"/>
      <c r="G44" s="323"/>
      <c r="H44" s="176" t="str">
        <f t="shared" si="1"/>
        <v/>
      </c>
    </row>
    <row r="45" spans="1:8" ht="12">
      <c r="A45" s="305">
        <f t="shared" si="0"/>
        <v>34</v>
      </c>
      <c r="B45" s="148">
        <v>6700</v>
      </c>
      <c r="C45" s="115" t="s">
        <v>134</v>
      </c>
      <c r="D45" s="343"/>
      <c r="E45" s="176"/>
      <c r="F45" s="321"/>
      <c r="G45" s="323"/>
      <c r="H45" s="176" t="str">
        <f t="shared" si="1"/>
        <v/>
      </c>
    </row>
    <row r="46" spans="1:8" ht="12">
      <c r="A46" s="305">
        <f t="shared" si="0"/>
        <v>35</v>
      </c>
      <c r="B46" s="148">
        <v>6750</v>
      </c>
      <c r="C46" s="115" t="s">
        <v>135</v>
      </c>
      <c r="D46" s="343"/>
      <c r="E46" s="176"/>
      <c r="F46" s="321"/>
      <c r="G46" s="323"/>
      <c r="H46" s="176" t="str">
        <f t="shared" si="1"/>
        <v/>
      </c>
    </row>
    <row r="47" spans="1:8" ht="12">
      <c r="A47" s="305">
        <f t="shared" si="0"/>
        <v>36</v>
      </c>
      <c r="B47" s="148">
        <v>6885</v>
      </c>
      <c r="C47" s="115" t="s">
        <v>51</v>
      </c>
      <c r="D47" s="343"/>
      <c r="E47" s="176"/>
      <c r="F47" s="321"/>
      <c r="G47" s="323"/>
      <c r="H47" s="176" t="str">
        <f t="shared" si="1"/>
        <v/>
      </c>
    </row>
    <row r="48" spans="1:8" ht="12">
      <c r="A48" s="305">
        <f t="shared" si="0"/>
        <v>37</v>
      </c>
      <c r="B48" s="148">
        <v>6770</v>
      </c>
      <c r="C48" s="115" t="s">
        <v>137</v>
      </c>
      <c r="D48" s="343"/>
      <c r="E48" s="176"/>
      <c r="F48" s="321"/>
      <c r="G48" s="323"/>
      <c r="H48" s="176" t="str">
        <f t="shared" si="1"/>
        <v/>
      </c>
    </row>
    <row r="49" spans="1:8" ht="12">
      <c r="A49" s="305">
        <f t="shared" si="0"/>
        <v>38</v>
      </c>
      <c r="B49" s="148">
        <v>6780</v>
      </c>
      <c r="C49" s="115" t="s">
        <v>138</v>
      </c>
      <c r="D49" s="343"/>
      <c r="E49" s="176"/>
      <c r="F49" s="321"/>
      <c r="G49" s="323"/>
      <c r="H49" s="176" t="str">
        <f t="shared" si="1"/>
        <v/>
      </c>
    </row>
    <row r="50" spans="1:8" ht="12">
      <c r="A50" s="305">
        <f t="shared" si="0"/>
        <v>39</v>
      </c>
      <c r="B50" s="148">
        <v>6810</v>
      </c>
      <c r="C50" s="115" t="s">
        <v>139</v>
      </c>
      <c r="D50" s="343"/>
      <c r="E50" s="176"/>
      <c r="F50" s="321"/>
      <c r="G50" s="323"/>
      <c r="H50" s="176" t="str">
        <f t="shared" si="1"/>
        <v/>
      </c>
    </row>
    <row r="51" spans="1:8" ht="12">
      <c r="A51" s="305">
        <f t="shared" si="0"/>
        <v>40</v>
      </c>
      <c r="B51" s="148"/>
      <c r="C51" s="137" t="s">
        <v>46</v>
      </c>
      <c r="D51" s="343"/>
      <c r="E51" s="176"/>
      <c r="F51" s="321"/>
      <c r="G51" s="323"/>
      <c r="H51" s="176"/>
    </row>
    <row r="52" spans="1:8" ht="12">
      <c r="A52" s="305">
        <f t="shared" si="0"/>
        <v>41</v>
      </c>
      <c r="B52" s="148">
        <v>6650</v>
      </c>
      <c r="C52" s="115" t="s">
        <v>140</v>
      </c>
      <c r="D52" s="343"/>
      <c r="E52" s="176"/>
      <c r="F52" s="321"/>
      <c r="G52" s="323"/>
      <c r="H52" s="176" t="str">
        <f t="shared" si="1"/>
        <v/>
      </c>
    </row>
    <row r="53" spans="1:8" ht="12">
      <c r="A53" s="305">
        <f t="shared" si="0"/>
        <v>42</v>
      </c>
      <c r="B53" s="148" t="s">
        <v>152</v>
      </c>
      <c r="C53" s="115" t="s">
        <v>141</v>
      </c>
      <c r="D53" s="343"/>
      <c r="E53" s="176"/>
      <c r="F53" s="321"/>
      <c r="G53" s="323"/>
      <c r="H53" s="176" t="str">
        <f t="shared" si="1"/>
        <v/>
      </c>
    </row>
    <row r="54" spans="1:8" ht="12">
      <c r="A54" s="305">
        <f t="shared" si="0"/>
        <v>43</v>
      </c>
      <c r="B54" s="148">
        <v>6675</v>
      </c>
      <c r="C54" s="115" t="s">
        <v>142</v>
      </c>
      <c r="D54" s="343"/>
      <c r="E54" s="176"/>
      <c r="F54" s="321"/>
      <c r="G54" s="323"/>
      <c r="H54" s="176" t="str">
        <f t="shared" si="1"/>
        <v/>
      </c>
    </row>
    <row r="55" spans="1:8" ht="12">
      <c r="A55" s="305">
        <f t="shared" si="0"/>
        <v>44</v>
      </c>
      <c r="B55" s="148">
        <v>6705</v>
      </c>
      <c r="C55" s="115" t="s">
        <v>143</v>
      </c>
      <c r="D55" s="343"/>
      <c r="E55" s="176"/>
      <c r="F55" s="321"/>
      <c r="G55" s="323"/>
      <c r="H55" s="176" t="str">
        <f t="shared" si="1"/>
        <v/>
      </c>
    </row>
    <row r="56" spans="1:8" ht="12">
      <c r="A56" s="305">
        <f t="shared" si="0"/>
        <v>45</v>
      </c>
      <c r="B56" s="148">
        <v>6875</v>
      </c>
      <c r="C56" s="115" t="s">
        <v>56</v>
      </c>
      <c r="D56" s="343"/>
      <c r="E56" s="176"/>
      <c r="F56" s="321"/>
      <c r="G56" s="323"/>
      <c r="H56" s="176" t="str">
        <f t="shared" si="1"/>
        <v/>
      </c>
    </row>
    <row r="57" spans="1:8" ht="12">
      <c r="A57" s="305">
        <f t="shared" si="0"/>
        <v>46</v>
      </c>
      <c r="B57" s="148">
        <v>6880</v>
      </c>
      <c r="C57" s="115" t="s">
        <v>144</v>
      </c>
      <c r="D57" s="343"/>
      <c r="E57" s="176"/>
      <c r="F57" s="321"/>
      <c r="G57" s="323"/>
      <c r="H57" s="176" t="str">
        <f t="shared" si="1"/>
        <v/>
      </c>
    </row>
    <row r="58" spans="1:8" ht="12">
      <c r="A58" s="305">
        <f t="shared" si="0"/>
        <v>47</v>
      </c>
      <c r="B58" s="148">
        <v>6755</v>
      </c>
      <c r="C58" s="115" t="s">
        <v>145</v>
      </c>
      <c r="D58" s="343"/>
      <c r="E58" s="176"/>
      <c r="F58" s="321"/>
      <c r="G58" s="323"/>
      <c r="H58" s="176" t="str">
        <f t="shared" si="1"/>
        <v/>
      </c>
    </row>
    <row r="59" spans="1:8" ht="12">
      <c r="A59" s="305">
        <f t="shared" si="0"/>
        <v>48</v>
      </c>
      <c r="B59" s="148">
        <v>6890</v>
      </c>
      <c r="C59" s="115" t="s">
        <v>146</v>
      </c>
      <c r="D59" s="343"/>
      <c r="E59" s="176"/>
      <c r="F59" s="321"/>
      <c r="G59" s="323"/>
      <c r="H59" s="176" t="str">
        <f t="shared" si="1"/>
        <v/>
      </c>
    </row>
    <row r="60" spans="1:8" ht="12">
      <c r="A60" s="305">
        <f t="shared" si="0"/>
        <v>49</v>
      </c>
      <c r="B60" s="148">
        <v>6815</v>
      </c>
      <c r="C60" s="115" t="s">
        <v>147</v>
      </c>
      <c r="D60" s="343"/>
      <c r="E60" s="176"/>
      <c r="F60" s="321"/>
      <c r="G60" s="323"/>
      <c r="H60" s="176" t="str">
        <f t="shared" si="1"/>
        <v/>
      </c>
    </row>
    <row r="61" spans="1:11" ht="12">
      <c r="A61" s="305">
        <f t="shared" si="0"/>
        <v>50</v>
      </c>
      <c r="B61" s="148"/>
      <c r="C61" s="137" t="s">
        <v>58</v>
      </c>
      <c r="D61" s="343"/>
      <c r="E61" s="176"/>
      <c r="F61" s="321"/>
      <c r="G61" s="323"/>
      <c r="H61" s="176"/>
      <c r="I61" s="345" t="s">
        <v>356</v>
      </c>
      <c r="J61" s="346"/>
      <c r="K61" s="346"/>
    </row>
    <row r="62" spans="1:12" ht="12">
      <c r="A62" s="305">
        <f t="shared" si="0"/>
        <v>51</v>
      </c>
      <c r="B62" s="148" t="s">
        <v>152</v>
      </c>
      <c r="C62" s="166" t="s">
        <v>59</v>
      </c>
      <c r="D62" s="343"/>
      <c r="E62" s="176"/>
      <c r="F62" s="321"/>
      <c r="G62" s="323"/>
      <c r="H62" s="176" t="str">
        <f t="shared" si="1"/>
        <v/>
      </c>
      <c r="I62" s="347" t="s">
        <v>201</v>
      </c>
      <c r="J62" s="348" t="s">
        <v>357</v>
      </c>
      <c r="K62" s="348" t="s">
        <v>351</v>
      </c>
      <c r="L62" s="349"/>
    </row>
    <row r="63" spans="1:11" ht="12">
      <c r="A63" s="305">
        <f t="shared" si="0"/>
        <v>52</v>
      </c>
      <c r="B63" s="340">
        <v>6680</v>
      </c>
      <c r="C63" s="166" t="s">
        <v>358</v>
      </c>
      <c r="D63" s="343"/>
      <c r="E63" s="176"/>
      <c r="F63" s="321"/>
      <c r="G63" s="323"/>
      <c r="H63" s="176" t="str">
        <f t="shared" si="1"/>
        <v/>
      </c>
      <c r="I63" s="346"/>
      <c r="J63" s="346"/>
      <c r="K63" s="346"/>
    </row>
    <row r="64" spans="1:11" ht="12">
      <c r="A64" s="305">
        <f t="shared" si="0"/>
        <v>53</v>
      </c>
      <c r="B64" s="340" t="s">
        <v>359</v>
      </c>
      <c r="C64" s="166" t="s">
        <v>148</v>
      </c>
      <c r="D64" s="343"/>
      <c r="E64" s="176"/>
      <c r="F64" s="321"/>
      <c r="G64" s="323"/>
      <c r="H64" s="176"/>
      <c r="I64" s="346"/>
      <c r="J64" s="346"/>
      <c r="K64" s="346"/>
    </row>
    <row r="65" spans="1:8" ht="12">
      <c r="A65" s="305">
        <f t="shared" si="0"/>
        <v>54</v>
      </c>
      <c r="B65" s="340" t="s">
        <v>359</v>
      </c>
      <c r="C65" s="166" t="s">
        <v>62</v>
      </c>
      <c r="D65" s="343"/>
      <c r="E65" s="176"/>
      <c r="F65" s="321"/>
      <c r="G65" s="323"/>
      <c r="H65" s="176" t="str">
        <f t="shared" si="1"/>
        <v/>
      </c>
    </row>
    <row r="66" spans="1:8" ht="12">
      <c r="A66" s="305">
        <f t="shared" si="0"/>
        <v>55</v>
      </c>
      <c r="B66" s="340" t="s">
        <v>359</v>
      </c>
      <c r="C66" s="166" t="s">
        <v>63</v>
      </c>
      <c r="D66" s="343"/>
      <c r="E66" s="176"/>
      <c r="F66" s="321"/>
      <c r="G66" s="323"/>
      <c r="H66" s="176" t="str">
        <f t="shared" si="1"/>
        <v/>
      </c>
    </row>
    <row r="67" spans="1:8" ht="12">
      <c r="A67" s="305">
        <f t="shared" si="0"/>
        <v>56</v>
      </c>
      <c r="B67" s="340" t="s">
        <v>359</v>
      </c>
      <c r="C67" s="166" t="s">
        <v>99</v>
      </c>
      <c r="D67" s="343"/>
      <c r="E67" s="176"/>
      <c r="F67" s="321"/>
      <c r="G67" s="323"/>
      <c r="H67" s="176" t="str">
        <f t="shared" si="1"/>
        <v/>
      </c>
    </row>
    <row r="68" spans="1:8" ht="12">
      <c r="A68" s="305">
        <f t="shared" si="0"/>
        <v>57</v>
      </c>
      <c r="B68" s="340" t="s">
        <v>359</v>
      </c>
      <c r="C68" s="166" t="s">
        <v>65</v>
      </c>
      <c r="D68" s="343"/>
      <c r="E68" s="176"/>
      <c r="F68" s="321"/>
      <c r="G68" s="323"/>
      <c r="H68" s="176" t="str">
        <f t="shared" si="1"/>
        <v/>
      </c>
    </row>
    <row r="69" spans="1:8" ht="12">
      <c r="A69" s="305">
        <f t="shared" si="0"/>
        <v>58</v>
      </c>
      <c r="B69" s="340" t="s">
        <v>359</v>
      </c>
      <c r="C69" s="166" t="s">
        <v>66</v>
      </c>
      <c r="D69" s="343"/>
      <c r="E69" s="176"/>
      <c r="F69" s="321"/>
      <c r="G69" s="323"/>
      <c r="H69" s="176" t="str">
        <f t="shared" si="1"/>
        <v/>
      </c>
    </row>
    <row r="70" spans="1:8" ht="12">
      <c r="A70" s="305">
        <f t="shared" si="0"/>
        <v>59</v>
      </c>
      <c r="B70" s="340" t="s">
        <v>359</v>
      </c>
      <c r="C70" s="166" t="s">
        <v>100</v>
      </c>
      <c r="D70" s="343"/>
      <c r="E70" s="176"/>
      <c r="F70" s="321"/>
      <c r="G70" s="323"/>
      <c r="H70" s="176" t="str">
        <f t="shared" si="1"/>
        <v/>
      </c>
    </row>
    <row r="71" spans="1:8" ht="12">
      <c r="A71" s="305">
        <f t="shared" si="0"/>
        <v>60</v>
      </c>
      <c r="B71" s="340" t="s">
        <v>359</v>
      </c>
      <c r="C71" s="166" t="s">
        <v>68</v>
      </c>
      <c r="D71" s="343"/>
      <c r="E71" s="176"/>
      <c r="F71" s="321"/>
      <c r="G71" s="313"/>
      <c r="H71" s="176" t="str">
        <f t="shared" si="1"/>
        <v/>
      </c>
    </row>
    <row r="72" spans="1:8" ht="12">
      <c r="A72" s="305">
        <f t="shared" si="0"/>
        <v>61</v>
      </c>
      <c r="B72" s="340">
        <v>6855</v>
      </c>
      <c r="C72" s="166" t="s">
        <v>69</v>
      </c>
      <c r="D72" s="343"/>
      <c r="E72" s="176"/>
      <c r="F72" s="321"/>
      <c r="G72" s="313"/>
      <c r="H72" s="176" t="str">
        <f t="shared" si="1"/>
        <v/>
      </c>
    </row>
    <row r="73" spans="1:9" ht="12">
      <c r="A73" s="305">
        <f t="shared" si="0"/>
        <v>62</v>
      </c>
      <c r="B73" s="340">
        <v>6860</v>
      </c>
      <c r="C73" s="167" t="s">
        <v>149</v>
      </c>
      <c r="D73" s="343"/>
      <c r="E73" s="176"/>
      <c r="F73" s="321"/>
      <c r="G73" s="313"/>
      <c r="H73" s="176" t="str">
        <f t="shared" si="1"/>
        <v/>
      </c>
      <c r="I73" s="115" t="s">
        <v>360</v>
      </c>
    </row>
    <row r="74" spans="1:8" ht="12">
      <c r="A74" s="305">
        <f t="shared" si="0"/>
        <v>63</v>
      </c>
      <c r="B74" s="148"/>
      <c r="D74" s="176"/>
      <c r="E74" s="176"/>
      <c r="F74" s="156"/>
      <c r="G74" s="313"/>
      <c r="H74" s="176"/>
    </row>
    <row r="75" spans="1:10" ht="12">
      <c r="A75" s="305">
        <f t="shared" si="0"/>
        <v>64</v>
      </c>
      <c r="B75" s="148"/>
      <c r="C75" s="137" t="s">
        <v>361</v>
      </c>
      <c r="D75" s="350">
        <f>SUM(D13:D74)</f>
        <v>6552.2800000000016</v>
      </c>
      <c r="E75" s="350">
        <f>SUM(E13:E74)</f>
        <v>68.953333333332893</v>
      </c>
      <c r="F75" s="350">
        <f>SUM(F13:F74)</f>
        <v>6621.2333333333336</v>
      </c>
      <c r="G75" s="351"/>
      <c r="H75" s="350">
        <f>SUM(H13:H74)</f>
        <v>1427</v>
      </c>
      <c r="I75" s="172">
        <f>SUM(E75:E75)-H75</f>
        <v>-1358.0466666666671</v>
      </c>
      <c r="J75" s="172">
        <f>SUM(E75:E75)</f>
        <v>68.953333333332893</v>
      </c>
    </row>
    <row r="76" spans="1:10" ht="12">
      <c r="A76" s="305">
        <f t="shared" si="0"/>
        <v>65</v>
      </c>
      <c r="B76" s="148"/>
      <c r="C76" s="137"/>
      <c r="D76" s="176"/>
      <c r="E76" s="176"/>
      <c r="F76" s="176"/>
      <c r="G76" s="313"/>
      <c r="H76" s="176"/>
      <c r="I76" s="172">
        <f>D75+I75</f>
        <v>5194.2333333333345</v>
      </c>
      <c r="J76" s="172">
        <f>D75+J75</f>
        <v>6621.2333333333345</v>
      </c>
    </row>
    <row r="77" spans="1:10" ht="12">
      <c r="A77" s="305">
        <f t="shared" si="0"/>
        <v>66</v>
      </c>
      <c r="B77" s="340" t="s">
        <v>362</v>
      </c>
      <c r="C77" s="137" t="s">
        <v>363</v>
      </c>
      <c r="D77" s="163">
        <f>+'Marion TB'!R123</f>
        <v>-180</v>
      </c>
      <c r="E77" s="176"/>
      <c r="F77" s="321">
        <f>SUM(D77:E77)</f>
        <v>-180</v>
      </c>
      <c r="G77" s="356">
        <f>+G38</f>
        <v>0.21560000000000001</v>
      </c>
      <c r="H77" s="176">
        <f>IF(OR(F77=0,G77=0),"",ROUND(F77*G77,0))</f>
        <v>-39</v>
      </c>
      <c r="I77" s="176"/>
      <c r="J77" s="172"/>
    </row>
    <row r="78" spans="1:8" ht="12">
      <c r="A78" s="305">
        <f>A77+1</f>
        <v>67</v>
      </c>
      <c r="B78" s="148"/>
      <c r="D78" s="163"/>
      <c r="E78" s="160"/>
      <c r="F78" s="160"/>
      <c r="G78" s="168"/>
      <c r="H78" s="160"/>
    </row>
    <row r="79" spans="1:10" ht="12.75" thickBot="1">
      <c r="A79" s="305">
        <f>A78+1</f>
        <v>68</v>
      </c>
      <c r="B79" s="148"/>
      <c r="C79" s="137" t="s">
        <v>364</v>
      </c>
      <c r="D79" s="170">
        <f>SUM(D75:D77)</f>
        <v>6372.2800000000016</v>
      </c>
      <c r="E79" s="169">
        <f>SUM(E75:E77)</f>
        <v>68.953333333332893</v>
      </c>
      <c r="F79" s="169">
        <f>SUM(F75:F77)</f>
        <v>6441.2333333333336</v>
      </c>
      <c r="G79" s="351"/>
      <c r="H79" s="169">
        <f>SUM(H75:H77)</f>
        <v>1388</v>
      </c>
      <c r="I79" s="176"/>
      <c r="J79" s="176"/>
    </row>
    <row r="80" spans="1:10" ht="12.75" thickTop="1">
      <c r="A80" s="305"/>
      <c r="B80" s="148"/>
      <c r="C80" s="137"/>
      <c r="D80" s="176"/>
      <c r="E80" s="176"/>
      <c r="F80" s="176"/>
      <c r="G80" s="353"/>
      <c r="H80" s="176"/>
      <c r="I80" s="176"/>
      <c r="J80" s="176"/>
    </row>
    <row r="81" spans="4:9" ht="12">
      <c r="D81" s="176"/>
      <c r="E81" s="176"/>
      <c r="F81" s="176"/>
      <c r="G81" s="158"/>
      <c r="H81" s="176"/>
      <c r="I81" s="176"/>
    </row>
    <row r="82" spans="4:9" ht="12">
      <c r="D82" s="176"/>
      <c r="E82" s="176"/>
      <c r="F82" s="176">
        <f>F79-H79</f>
        <v>5053.2333333333336</v>
      </c>
      <c r="G82" s="158"/>
      <c r="H82" s="176"/>
      <c r="I82" s="176"/>
    </row>
    <row r="83" spans="3:9" ht="12">
      <c r="C83" s="115" t="s">
        <v>365</v>
      </c>
      <c r="D83" s="354"/>
      <c r="F83" s="355"/>
      <c r="G83" s="158"/>
      <c r="I83" s="176"/>
    </row>
    <row r="84" ht="12">
      <c r="G84" s="158"/>
    </row>
    <row r="85" spans="3:4" ht="12">
      <c r="C85" s="115" t="s">
        <v>204</v>
      </c>
      <c r="D85" s="176">
        <f>D75-D83</f>
        <v>6552.2800000000016</v>
      </c>
    </row>
    <row r="88" ht="12">
      <c r="I88" s="176"/>
    </row>
    <row r="147" spans="1:5" ht="12">
      <c r="A147" s="181"/>
      <c r="B147" s="181"/>
      <c r="C147" s="181"/>
      <c r="D147" s="181"/>
      <c r="E147" s="181"/>
    </row>
    <row r="148" spans="1:5" ht="12">
      <c r="A148" s="181"/>
      <c r="B148" s="181"/>
      <c r="C148" s="181"/>
      <c r="D148" s="181"/>
      <c r="E148" s="181"/>
    </row>
    <row r="149" spans="1:5" ht="12">
      <c r="A149" s="181"/>
      <c r="B149" s="181"/>
      <c r="C149" s="181"/>
      <c r="D149" s="181"/>
      <c r="E149" s="181"/>
    </row>
    <row r="150" spans="1:5" ht="12">
      <c r="A150" s="181"/>
      <c r="B150" s="181"/>
      <c r="C150" s="181"/>
      <c r="D150" s="181"/>
      <c r="E150" s="181"/>
    </row>
    <row r="151" spans="1:5" ht="12">
      <c r="A151" s="181"/>
      <c r="B151" s="181"/>
      <c r="C151" s="181"/>
      <c r="D151" s="181"/>
      <c r="E151" s="181"/>
    </row>
    <row r="181" spans="1:5" ht="12">
      <c r="A181" s="181"/>
      <c r="B181" s="181"/>
      <c r="C181" s="181"/>
      <c r="D181" s="181"/>
      <c r="E181" s="181"/>
    </row>
    <row r="250" spans="1:2" ht="12">
      <c r="A250" s="137"/>
      <c r="B250" s="137"/>
    </row>
    <row r="267" spans="1:2" ht="12">
      <c r="A267" s="181"/>
      <c r="B267" s="181"/>
    </row>
    <row r="268" spans="1:2" ht="12">
      <c r="A268" s="181"/>
      <c r="B268" s="181"/>
    </row>
    <row r="269" spans="1:2" ht="12">
      <c r="A269" s="181"/>
      <c r="B269" s="181"/>
    </row>
    <row r="270" spans="1:2" ht="12">
      <c r="A270" s="181"/>
      <c r="B270" s="181"/>
    </row>
    <row r="271" spans="1:2" ht="12">
      <c r="A271" s="181"/>
      <c r="B271" s="181"/>
    </row>
    <row r="272" spans="1:2" ht="12">
      <c r="A272" s="181"/>
      <c r="B272" s="181"/>
    </row>
    <row r="273" spans="1:2" ht="12">
      <c r="A273" s="181"/>
      <c r="B273" s="181"/>
    </row>
    <row r="274" spans="1:2" ht="12">
      <c r="A274" s="181"/>
      <c r="B274" s="181"/>
    </row>
    <row r="275" spans="1:2" ht="12">
      <c r="A275" s="181"/>
      <c r="B275" s="181"/>
    </row>
    <row r="276" spans="1:2" ht="12">
      <c r="A276" s="181"/>
      <c r="B276" s="181"/>
    </row>
    <row r="277" spans="1:2" ht="12">
      <c r="A277" s="181"/>
      <c r="B277" s="181"/>
    </row>
    <row r="278" spans="1:2" ht="12">
      <c r="A278" s="181"/>
      <c r="B278" s="181"/>
    </row>
    <row r="279" spans="1:2" ht="12">
      <c r="A279" s="181"/>
      <c r="B279" s="181"/>
    </row>
    <row r="280" spans="1:2" ht="12">
      <c r="A280" s="181"/>
      <c r="B280" s="181"/>
    </row>
    <row r="281" spans="1:2" ht="12">
      <c r="A281" s="181"/>
      <c r="B281" s="181"/>
    </row>
    <row r="282" spans="1:2" ht="12">
      <c r="A282" s="181"/>
      <c r="B282" s="181"/>
    </row>
    <row r="283" spans="1:2" ht="12">
      <c r="A283" s="181"/>
      <c r="B283" s="181"/>
    </row>
    <row r="284" spans="1:2" ht="12">
      <c r="A284" s="181"/>
      <c r="B284" s="181"/>
    </row>
    <row r="285" spans="1:2" ht="12">
      <c r="A285" s="181"/>
      <c r="B285" s="181"/>
    </row>
    <row r="286" spans="1:2" ht="12">
      <c r="A286" s="181"/>
      <c r="B286" s="181"/>
    </row>
    <row r="287" spans="1:2" ht="12">
      <c r="A287" s="181"/>
      <c r="B287" s="181"/>
    </row>
    <row r="288" spans="1:2" ht="12">
      <c r="A288" s="181"/>
      <c r="B288" s="181"/>
    </row>
    <row r="289" spans="1:2" ht="12">
      <c r="A289" s="181"/>
      <c r="B289" s="181"/>
    </row>
    <row r="290" spans="1:2" ht="12">
      <c r="A290" s="181"/>
      <c r="B290" s="181"/>
    </row>
    <row r="291" spans="1:2" ht="12">
      <c r="A291" s="181"/>
      <c r="B291" s="181"/>
    </row>
    <row r="292" spans="1:2" ht="12">
      <c r="A292" s="181"/>
      <c r="B292" s="181"/>
    </row>
    <row r="293" spans="1:2" ht="12">
      <c r="A293" s="181"/>
      <c r="B293" s="181"/>
    </row>
    <row r="294" spans="1:2" ht="12">
      <c r="A294" s="181"/>
      <c r="B294" s="181"/>
    </row>
    <row r="295" spans="1:2" ht="12">
      <c r="A295" s="181"/>
      <c r="B295" s="181"/>
    </row>
    <row r="296" spans="1:2" ht="12">
      <c r="A296" s="181"/>
      <c r="B296" s="181"/>
    </row>
    <row r="297" spans="1:2" ht="12">
      <c r="A297" s="181"/>
      <c r="B297" s="181"/>
    </row>
    <row r="298" spans="1:2" ht="12">
      <c r="A298" s="181"/>
      <c r="B298" s="181"/>
    </row>
    <row r="299" spans="1:2" ht="12">
      <c r="A299" s="181"/>
      <c r="B299" s="181"/>
    </row>
    <row r="300" spans="1:2" ht="12">
      <c r="A300" s="181"/>
      <c r="B300" s="181"/>
    </row>
    <row r="301" spans="1:2" ht="12">
      <c r="A301" s="181"/>
      <c r="B301" s="181"/>
    </row>
    <row r="302" spans="1:2" ht="12">
      <c r="A302" s="181"/>
      <c r="B302" s="181"/>
    </row>
    <row r="303" spans="1:2" ht="12">
      <c r="A303" s="181"/>
      <c r="B303" s="181"/>
    </row>
    <row r="304" spans="1:2" ht="12">
      <c r="A304" s="181"/>
      <c r="B304" s="181"/>
    </row>
    <row r="305" spans="1:2" ht="12">
      <c r="A305" s="181"/>
      <c r="B305" s="181"/>
    </row>
    <row r="306" spans="1:2" ht="12">
      <c r="A306" s="181"/>
      <c r="B306" s="181"/>
    </row>
    <row r="307" spans="1:2" ht="12">
      <c r="A307" s="181"/>
      <c r="B307" s="181"/>
    </row>
    <row r="308" spans="1:2" ht="12">
      <c r="A308" s="181"/>
      <c r="B308" s="181"/>
    </row>
    <row r="309" spans="1:2" ht="12">
      <c r="A309" s="181"/>
      <c r="B309" s="181"/>
    </row>
    <row r="310" spans="1:2" ht="12">
      <c r="A310" s="181"/>
      <c r="B310" s="181"/>
    </row>
    <row r="311" spans="1:2" ht="12">
      <c r="A311" s="181"/>
      <c r="B311" s="181"/>
    </row>
    <row r="312" spans="1:2" ht="12">
      <c r="A312" s="181"/>
      <c r="B312" s="181"/>
    </row>
    <row r="313" spans="1:2" ht="12">
      <c r="A313" s="181"/>
      <c r="B313" s="181"/>
    </row>
    <row r="314" spans="1:2" ht="12">
      <c r="A314" s="181"/>
      <c r="B314" s="181"/>
    </row>
    <row r="315" spans="1:2" ht="12">
      <c r="A315" s="181"/>
      <c r="B315" s="181"/>
    </row>
    <row r="316" spans="1:2" ht="12">
      <c r="A316" s="181"/>
      <c r="B316" s="181"/>
    </row>
    <row r="317" spans="1:2" ht="12">
      <c r="A317" s="181"/>
      <c r="B317" s="181"/>
    </row>
    <row r="318" spans="1:2" ht="12">
      <c r="A318" s="181"/>
      <c r="B318" s="181"/>
    </row>
    <row r="319" spans="1:2" ht="12">
      <c r="A319" s="181"/>
      <c r="B319" s="181"/>
    </row>
    <row r="320" spans="1:2" ht="12">
      <c r="A320" s="181"/>
      <c r="B320" s="181"/>
    </row>
    <row r="321" spans="1:2" ht="12">
      <c r="A321" s="181"/>
      <c r="B321" s="181"/>
    </row>
  </sheetData>
  <mergeCells count="1">
    <mergeCell ref="A7:H7"/>
  </mergeCells>
  <pageMargins left="0.7" right="0.7" top="0.75" bottom="0.75" header="0.3" footer="0.3"/>
  <pageSetup horizontalDpi="300" verticalDpi="300" orientation="portrait" r:id="rId2"/>
  <headerFooter>
    <oddFooter>&amp;L&amp;"Times New Roman,Regular"&amp;9O3129680.v1</oddFooter>
  </headerFooter>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R12"/>
  <sheetViews>
    <sheetView workbookViewId="0" topLeftCell="B1">
      <selection pane="topLeft" activeCell="R12" sqref="R12"/>
    </sheetView>
  </sheetViews>
  <sheetFormatPr defaultColWidth="9.140625" defaultRowHeight="15"/>
  <cols>
    <col min="1" max="1" width="6.57142857142857" style="664" bestFit="1" customWidth="1"/>
    <col min="2" max="2" width="27" style="664" bestFit="1" customWidth="1"/>
    <col min="3" max="3" width="9.14285714285714" style="664"/>
    <col min="4" max="18" width="11.1428571428571" style="664" bestFit="1" customWidth="1"/>
    <col min="19" max="16384" width="9.14285714285714" style="664"/>
  </cols>
  <sheetData>
    <row r="1" spans="1:17" ht="15">
      <c r="A1" s="699" t="s">
        <v>218</v>
      </c>
      <c r="B1" s="700" t="s">
        <v>219</v>
      </c>
      <c r="C1" s="701"/>
      <c r="D1" s="701" t="s">
        <v>281</v>
      </c>
      <c r="E1" s="701" t="s">
        <v>221</v>
      </c>
      <c r="F1" s="701" t="s">
        <v>222</v>
      </c>
      <c r="G1" s="701" t="s">
        <v>223</v>
      </c>
      <c r="H1" s="701" t="s">
        <v>224</v>
      </c>
      <c r="I1" s="701" t="s">
        <v>225</v>
      </c>
      <c r="J1" s="701" t="s">
        <v>226</v>
      </c>
      <c r="K1" s="701" t="s">
        <v>227</v>
      </c>
      <c r="L1" s="701" t="s">
        <v>228</v>
      </c>
      <c r="M1" s="701" t="s">
        <v>229</v>
      </c>
      <c r="N1" s="701" t="s">
        <v>230</v>
      </c>
      <c r="O1" s="701" t="s">
        <v>231</v>
      </c>
      <c r="P1" s="701" t="s">
        <v>220</v>
      </c>
      <c r="Q1" s="702"/>
    </row>
    <row r="2" spans="1:18" ht="15">
      <c r="A2" s="703">
        <v>1270</v>
      </c>
      <c r="B2" s="704" t="s">
        <v>233</v>
      </c>
      <c r="C2" s="702"/>
      <c r="D2" s="716">
        <v>10080</v>
      </c>
      <c r="E2" s="716">
        <v>10080</v>
      </c>
      <c r="F2" s="716">
        <v>10080</v>
      </c>
      <c r="G2" s="716">
        <v>10080</v>
      </c>
      <c r="H2" s="716">
        <v>10080</v>
      </c>
      <c r="I2" s="716">
        <v>10080</v>
      </c>
      <c r="J2" s="716">
        <v>10080</v>
      </c>
      <c r="K2" s="716">
        <v>10080</v>
      </c>
      <c r="L2" s="716">
        <v>10080</v>
      </c>
      <c r="M2" s="716">
        <v>10080</v>
      </c>
      <c r="N2" s="716">
        <v>10080</v>
      </c>
      <c r="O2" s="716">
        <v>10080</v>
      </c>
      <c r="P2" s="716">
        <v>10080</v>
      </c>
      <c r="Q2" s="717">
        <f>AVERAGE(D2:P2)</f>
        <v>10080</v>
      </c>
      <c r="R2" s="706">
        <f>+AVERAGE(D2:P2)</f>
        <v>10080</v>
      </c>
    </row>
    <row r="3" spans="1:18" ht="15">
      <c r="A3" s="703">
        <v>1300</v>
      </c>
      <c r="B3" s="704" t="s">
        <v>236</v>
      </c>
      <c r="C3" s="702"/>
      <c r="D3" s="716">
        <v>6814.30</v>
      </c>
      <c r="E3" s="716">
        <v>6814.30</v>
      </c>
      <c r="F3" s="716">
        <v>6814.30</v>
      </c>
      <c r="G3" s="716">
        <v>6814.30</v>
      </c>
      <c r="H3" s="716">
        <v>6814.30</v>
      </c>
      <c r="I3" s="716">
        <v>6814.30</v>
      </c>
      <c r="J3" s="716">
        <v>6814.30</v>
      </c>
      <c r="K3" s="716">
        <v>6814.30</v>
      </c>
      <c r="L3" s="716">
        <v>6814.30</v>
      </c>
      <c r="M3" s="716">
        <v>6814.30</v>
      </c>
      <c r="N3" s="716">
        <v>6814.30</v>
      </c>
      <c r="O3" s="716">
        <v>8382.2999999999993</v>
      </c>
      <c r="P3" s="716">
        <v>8382.2999999999993</v>
      </c>
      <c r="Q3" s="717">
        <f t="shared" si="0" ref="Q3">AVERAGE(D3:P3)</f>
        <v>7055.5307692307706</v>
      </c>
      <c r="R3" s="706">
        <f>+AVERAGE(D3:P3)</f>
        <v>7055.5307692307706</v>
      </c>
    </row>
    <row r="4" spans="1:18" s="711" customFormat="1" ht="11.25" customHeight="1">
      <c r="A4" s="707"/>
      <c r="B4" s="708" t="s">
        <v>654</v>
      </c>
      <c r="C4" s="708"/>
      <c r="D4" s="709"/>
      <c r="E4" s="709">
        <f t="shared" si="1" ref="E4:P4">+E3-D3</f>
        <v>0</v>
      </c>
      <c r="F4" s="709">
        <f t="shared" si="1"/>
        <v>0</v>
      </c>
      <c r="G4" s="709">
        <f t="shared" si="1"/>
        <v>0</v>
      </c>
      <c r="H4" s="709">
        <f t="shared" si="1"/>
        <v>0</v>
      </c>
      <c r="I4" s="709">
        <f t="shared" si="1"/>
        <v>0</v>
      </c>
      <c r="J4" s="709">
        <f t="shared" si="1"/>
        <v>0</v>
      </c>
      <c r="K4" s="709">
        <f t="shared" si="1"/>
        <v>0</v>
      </c>
      <c r="L4" s="709">
        <f t="shared" si="1"/>
        <v>0</v>
      </c>
      <c r="M4" s="709">
        <f t="shared" si="1"/>
        <v>0</v>
      </c>
      <c r="N4" s="709">
        <f t="shared" si="1"/>
        <v>0</v>
      </c>
      <c r="O4" s="709">
        <f t="shared" si="1"/>
        <v>1567.9999999999991</v>
      </c>
      <c r="P4" s="709">
        <f t="shared" si="1"/>
        <v>0</v>
      </c>
      <c r="Q4" s="709"/>
      <c r="R4" s="710"/>
    </row>
    <row r="5" spans="1:18" s="711" customFormat="1" ht="11.25" customHeight="1">
      <c r="A5" s="707"/>
      <c r="B5" s="708" t="s">
        <v>655</v>
      </c>
      <c r="C5" s="708"/>
      <c r="D5" s="709"/>
      <c r="E5" s="709">
        <v>1</v>
      </c>
      <c r="F5" s="709">
        <v>2</v>
      </c>
      <c r="G5" s="709">
        <v>3</v>
      </c>
      <c r="H5" s="709">
        <v>4</v>
      </c>
      <c r="I5" s="709">
        <v>5</v>
      </c>
      <c r="J5" s="709">
        <v>6</v>
      </c>
      <c r="K5" s="709">
        <v>7</v>
      </c>
      <c r="L5" s="709">
        <v>8</v>
      </c>
      <c r="M5" s="709">
        <v>9</v>
      </c>
      <c r="N5" s="709">
        <v>10</v>
      </c>
      <c r="O5" s="709">
        <v>11</v>
      </c>
      <c r="P5" s="709">
        <v>12</v>
      </c>
      <c r="Q5" s="709"/>
      <c r="R5" s="710"/>
    </row>
    <row r="6" spans="1:18" s="711" customFormat="1" ht="11.25" customHeight="1">
      <c r="A6" s="707"/>
      <c r="B6" s="712">
        <v>0.03125</v>
      </c>
      <c r="C6" s="708"/>
      <c r="D6" s="709"/>
      <c r="E6" s="709">
        <f t="shared" si="2" ref="E6:P6">+E4*($B6/12)*E5</f>
        <v>0</v>
      </c>
      <c r="F6" s="709">
        <f t="shared" si="2"/>
        <v>0</v>
      </c>
      <c r="G6" s="709">
        <f t="shared" si="2"/>
        <v>0</v>
      </c>
      <c r="H6" s="709">
        <f t="shared" si="2"/>
        <v>0</v>
      </c>
      <c r="I6" s="709">
        <f t="shared" si="2"/>
        <v>0</v>
      </c>
      <c r="J6" s="709">
        <f t="shared" si="2"/>
        <v>0</v>
      </c>
      <c r="K6" s="709">
        <f t="shared" si="2"/>
        <v>0</v>
      </c>
      <c r="L6" s="709">
        <f t="shared" si="2"/>
        <v>0</v>
      </c>
      <c r="M6" s="709">
        <f t="shared" si="2"/>
        <v>0</v>
      </c>
      <c r="N6" s="709">
        <f t="shared" si="2"/>
        <v>0</v>
      </c>
      <c r="O6" s="709">
        <f t="shared" si="2"/>
        <v>44.916666666666636</v>
      </c>
      <c r="P6" s="709">
        <f t="shared" si="2"/>
        <v>0</v>
      </c>
      <c r="Q6" s="713">
        <f>SUM(E6:P6)</f>
        <v>44.916666666666636</v>
      </c>
      <c r="R6" s="710"/>
    </row>
    <row r="7" spans="1:18" ht="15">
      <c r="A7" s="703">
        <v>1330</v>
      </c>
      <c r="B7" s="704" t="s">
        <v>383</v>
      </c>
      <c r="C7" s="702"/>
      <c r="D7" s="705"/>
      <c r="E7" s="705"/>
      <c r="F7" s="705"/>
      <c r="G7" s="705"/>
      <c r="H7" s="705"/>
      <c r="I7" s="705"/>
      <c r="J7" s="705"/>
      <c r="K7" s="705"/>
      <c r="L7" s="705"/>
      <c r="M7" s="705"/>
      <c r="N7" s="705"/>
      <c r="O7" s="705"/>
      <c r="P7" s="705"/>
      <c r="R7" s="706"/>
    </row>
    <row r="8" spans="1:18" ht="15">
      <c r="A8" s="703">
        <v>1395</v>
      </c>
      <c r="B8" s="704" t="s">
        <v>244</v>
      </c>
      <c r="C8" s="702"/>
      <c r="D8" s="716">
        <v>6773.92</v>
      </c>
      <c r="E8" s="716">
        <v>6773.92</v>
      </c>
      <c r="F8" s="716">
        <v>6773.92</v>
      </c>
      <c r="G8" s="716">
        <v>6773.92</v>
      </c>
      <c r="H8" s="716">
        <v>6773.92</v>
      </c>
      <c r="I8" s="716">
        <v>6773.92</v>
      </c>
      <c r="J8" s="716">
        <v>6773.92</v>
      </c>
      <c r="K8" s="716">
        <v>7493.92</v>
      </c>
      <c r="L8" s="716">
        <v>7493.92</v>
      </c>
      <c r="M8" s="716">
        <v>7493.92</v>
      </c>
      <c r="N8" s="716">
        <v>7493.92</v>
      </c>
      <c r="O8" s="716">
        <v>7142.21</v>
      </c>
      <c r="P8" s="716">
        <v>7142.21</v>
      </c>
      <c r="Q8" s="717">
        <f t="shared" si="3" ref="Q8:Q9">AVERAGE(D8:P8)</f>
        <v>7052.1184615384618</v>
      </c>
      <c r="R8" s="706">
        <f>+AVERAGE(D8:P8)</f>
        <v>7052.1184615384618</v>
      </c>
    </row>
    <row r="9" spans="1:18" ht="15">
      <c r="A9" s="703">
        <v>1400</v>
      </c>
      <c r="B9" s="704" t="s">
        <v>245</v>
      </c>
      <c r="C9" s="702"/>
      <c r="D9" s="716">
        <v>106589.10</v>
      </c>
      <c r="E9" s="716">
        <v>106589.10</v>
      </c>
      <c r="F9" s="716">
        <v>106589.10</v>
      </c>
      <c r="G9" s="716">
        <v>106589.10</v>
      </c>
      <c r="H9" s="716">
        <v>106589.10</v>
      </c>
      <c r="I9" s="716">
        <v>106589.10</v>
      </c>
      <c r="J9" s="716">
        <v>106589.10</v>
      </c>
      <c r="K9" s="716">
        <v>106859.10</v>
      </c>
      <c r="L9" s="716">
        <v>106859.10</v>
      </c>
      <c r="M9" s="716">
        <v>107225.98</v>
      </c>
      <c r="N9" s="716">
        <v>107225.98</v>
      </c>
      <c r="O9" s="716">
        <v>107225.98</v>
      </c>
      <c r="P9" s="716">
        <v>107225.98</v>
      </c>
      <c r="Q9" s="717">
        <f t="shared" si="3"/>
        <v>106826.60153846153</v>
      </c>
      <c r="R9" s="706">
        <f>+AVERAGE(D9:P9)</f>
        <v>106826.60153846153</v>
      </c>
    </row>
    <row r="10" spans="1:18" s="711" customFormat="1" ht="11.25" customHeight="1">
      <c r="A10" s="707"/>
      <c r="B10" s="708" t="s">
        <v>654</v>
      </c>
      <c r="C10" s="708"/>
      <c r="D10" s="709"/>
      <c r="E10" s="709">
        <f t="shared" si="4" ref="E10:P10">+E9-D9</f>
        <v>0</v>
      </c>
      <c r="F10" s="709">
        <f t="shared" si="4"/>
        <v>0</v>
      </c>
      <c r="G10" s="709">
        <f t="shared" si="4"/>
        <v>0</v>
      </c>
      <c r="H10" s="709">
        <f t="shared" si="4"/>
        <v>0</v>
      </c>
      <c r="I10" s="709">
        <f t="shared" si="4"/>
        <v>0</v>
      </c>
      <c r="J10" s="709">
        <f t="shared" si="4"/>
        <v>0</v>
      </c>
      <c r="K10" s="709">
        <f t="shared" si="4"/>
        <v>270</v>
      </c>
      <c r="L10" s="709">
        <f t="shared" si="4"/>
        <v>0</v>
      </c>
      <c r="M10" s="709">
        <f t="shared" si="4"/>
        <v>366.8799999999901</v>
      </c>
      <c r="N10" s="709">
        <f t="shared" si="4"/>
        <v>0</v>
      </c>
      <c r="O10" s="709">
        <f t="shared" si="4"/>
        <v>0</v>
      </c>
      <c r="P10" s="709">
        <f t="shared" si="4"/>
        <v>0</v>
      </c>
      <c r="Q10" s="709"/>
      <c r="R10" s="710"/>
    </row>
    <row r="11" spans="1:18" s="711" customFormat="1" ht="11.25" customHeight="1">
      <c r="A11" s="707"/>
      <c r="B11" s="708" t="s">
        <v>655</v>
      </c>
      <c r="C11" s="708"/>
      <c r="D11" s="709"/>
      <c r="E11" s="709">
        <v>1</v>
      </c>
      <c r="F11" s="709">
        <v>2</v>
      </c>
      <c r="G11" s="709">
        <v>3</v>
      </c>
      <c r="H11" s="709">
        <v>4</v>
      </c>
      <c r="I11" s="709">
        <v>5</v>
      </c>
      <c r="J11" s="709">
        <v>6</v>
      </c>
      <c r="K11" s="709">
        <v>7</v>
      </c>
      <c r="L11" s="709">
        <v>8</v>
      </c>
      <c r="M11" s="709">
        <v>9</v>
      </c>
      <c r="N11" s="709">
        <v>10</v>
      </c>
      <c r="O11" s="709">
        <v>11</v>
      </c>
      <c r="P11" s="709">
        <v>12</v>
      </c>
      <c r="Q11" s="709"/>
      <c r="R11" s="710"/>
    </row>
    <row r="12" spans="1:18" s="711" customFormat="1" ht="11.25" customHeight="1">
      <c r="A12" s="707"/>
      <c r="B12" s="712">
        <v>0.055555555555555552</v>
      </c>
      <c r="C12" s="708"/>
      <c r="D12" s="709"/>
      <c r="E12" s="709">
        <f t="shared" si="5" ref="E12:P12">+E10*($B12/12)*E11</f>
        <v>0</v>
      </c>
      <c r="F12" s="709">
        <f t="shared" si="5"/>
        <v>0</v>
      </c>
      <c r="G12" s="709">
        <f t="shared" si="5"/>
        <v>0</v>
      </c>
      <c r="H12" s="709">
        <f t="shared" si="5"/>
        <v>0</v>
      </c>
      <c r="I12" s="709">
        <f t="shared" si="5"/>
        <v>0</v>
      </c>
      <c r="J12" s="709">
        <f t="shared" si="5"/>
        <v>0</v>
      </c>
      <c r="K12" s="709">
        <f t="shared" si="5"/>
        <v>8.75</v>
      </c>
      <c r="L12" s="709">
        <f t="shared" si="5"/>
        <v>0</v>
      </c>
      <c r="M12" s="709">
        <f t="shared" si="5"/>
        <v>15.286666666666253</v>
      </c>
      <c r="N12" s="709">
        <f t="shared" si="5"/>
        <v>0</v>
      </c>
      <c r="O12" s="709">
        <f t="shared" si="5"/>
        <v>0</v>
      </c>
      <c r="P12" s="709">
        <f t="shared" si="5"/>
        <v>0</v>
      </c>
      <c r="Q12" s="713">
        <f>SUM(E12:P12)</f>
        <v>24.036666666666253</v>
      </c>
      <c r="R12" s="710"/>
    </row>
  </sheetData>
  <pageMargins left="0.7" right="0.7" top="0.75" bottom="0.75" header="0.3" footer="0.3"/>
  <pageSetup horizontalDpi="300" verticalDpi="300" orientation="portrait" r:id="rId1"/>
  <headerFooter>
    <oddFooter>&amp;L&amp;"Times New Roman,Regular"&amp;9O3129680.v1</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R129"/>
  <sheetViews>
    <sheetView workbookViewId="0" topLeftCell="J1">
      <selection pane="topLeft" activeCell="R129" sqref="R129"/>
    </sheetView>
  </sheetViews>
  <sheetFormatPr defaultRowHeight="15" outlineLevelRow="1"/>
  <cols>
    <col min="2" max="2" width="32.4285714285714" bestFit="1" customWidth="1"/>
    <col min="3" max="3" width="10.1428571428571" hidden="1" customWidth="1"/>
    <col min="4" max="16" width="11.7142857142857" bestFit="1" customWidth="1"/>
    <col min="17" max="17" width="12.2857142857143" bestFit="1" customWidth="1"/>
  </cols>
  <sheetData>
    <row r="1" spans="1:16" ht="15">
      <c r="A1" t="s">
        <v>211</v>
      </c>
      <c r="H1" t="s">
        <v>212</v>
      </c>
      <c r="O1" s="280">
        <v>43927</v>
      </c>
      <c r="P1" s="281">
        <v>0.55322916666666666</v>
      </c>
    </row>
    <row r="2" spans="1:16" ht="15">
      <c r="A2" t="s">
        <v>213</v>
      </c>
      <c r="H2" t="s">
        <v>214</v>
      </c>
      <c r="O2" t="s">
        <v>215</v>
      </c>
      <c r="P2">
        <v>1</v>
      </c>
    </row>
    <row r="3" spans="1:2" ht="15">
      <c r="A3" t="s">
        <v>216</v>
      </c>
      <c r="B3">
        <v>2019</v>
      </c>
    </row>
    <row r="4" spans="1:2" ht="15">
      <c r="A4" t="s">
        <v>217</v>
      </c>
      <c r="B4">
        <v>252130</v>
      </c>
    </row>
    <row r="5" spans="1:18" ht="15">
      <c r="A5" t="s">
        <v>218</v>
      </c>
      <c r="B5" t="s">
        <v>219</v>
      </c>
      <c r="D5" t="s">
        <v>220</v>
      </c>
      <c r="E5" t="s">
        <v>221</v>
      </c>
      <c r="F5" t="s">
        <v>222</v>
      </c>
      <c r="G5" t="s">
        <v>223</v>
      </c>
      <c r="H5" t="s">
        <v>224</v>
      </c>
      <c r="I5" t="s">
        <v>225</v>
      </c>
      <c r="J5" t="s">
        <v>226</v>
      </c>
      <c r="K5" t="s">
        <v>227</v>
      </c>
      <c r="L5" t="s">
        <v>228</v>
      </c>
      <c r="M5" t="s">
        <v>229</v>
      </c>
      <c r="N5" t="s">
        <v>230</v>
      </c>
      <c r="O5" t="s">
        <v>231</v>
      </c>
      <c r="P5" t="s">
        <v>220</v>
      </c>
      <c r="Q5" t="s">
        <v>232</v>
      </c>
      <c r="R5" t="s">
        <v>151</v>
      </c>
    </row>
    <row r="6" spans="1:17" ht="15">
      <c r="A6" s="282">
        <v>1270</v>
      </c>
      <c r="B6" s="282" t="s">
        <v>233</v>
      </c>
      <c r="C6">
        <v>10080</v>
      </c>
      <c r="D6" s="283">
        <v>10080</v>
      </c>
      <c r="E6" s="283">
        <v>10080</v>
      </c>
      <c r="F6" s="283">
        <v>10080</v>
      </c>
      <c r="G6" s="283">
        <v>10080</v>
      </c>
      <c r="H6" s="283">
        <v>10080</v>
      </c>
      <c r="I6" s="283">
        <v>10080</v>
      </c>
      <c r="J6" s="283">
        <v>10080</v>
      </c>
      <c r="K6" s="283">
        <v>10080</v>
      </c>
      <c r="L6" s="283">
        <v>10080</v>
      </c>
      <c r="M6" s="283">
        <v>10080</v>
      </c>
      <c r="N6" s="283">
        <v>10080</v>
      </c>
      <c r="O6" s="283">
        <v>10080</v>
      </c>
      <c r="P6" s="283">
        <v>10080</v>
      </c>
      <c r="Q6" s="284">
        <f>AVERAGE(D6:P6)</f>
        <v>10080</v>
      </c>
    </row>
    <row r="7" spans="1:16" ht="15" hidden="1" outlineLevel="1">
      <c r="A7">
        <v>1285</v>
      </c>
      <c r="B7" t="s">
        <v>234</v>
      </c>
      <c r="C7">
        <v>795</v>
      </c>
      <c r="D7" s="283">
        <v>795</v>
      </c>
      <c r="E7" s="283">
        <v>795</v>
      </c>
      <c r="F7" s="283">
        <v>795</v>
      </c>
      <c r="G7" s="283">
        <v>795</v>
      </c>
      <c r="H7" s="283">
        <v>795</v>
      </c>
      <c r="I7" s="283">
        <v>795</v>
      </c>
      <c r="J7" s="283">
        <v>795</v>
      </c>
      <c r="K7" s="283">
        <v>795</v>
      </c>
      <c r="L7" s="283">
        <v>795</v>
      </c>
      <c r="M7" s="283">
        <v>795</v>
      </c>
      <c r="N7" s="283">
        <v>795</v>
      </c>
      <c r="O7" s="283">
        <v>795</v>
      </c>
      <c r="P7" s="283">
        <v>795</v>
      </c>
    </row>
    <row r="8" spans="1:16" ht="15" hidden="1" outlineLevel="1">
      <c r="A8">
        <v>1295</v>
      </c>
      <c r="B8" t="s">
        <v>235</v>
      </c>
      <c r="C8">
        <v>-298.55</v>
      </c>
      <c r="D8" s="283">
        <v>-298.55</v>
      </c>
      <c r="E8" s="283">
        <v>-298.55</v>
      </c>
      <c r="F8" s="283">
        <v>-298.55</v>
      </c>
      <c r="G8" s="283">
        <v>-298.55</v>
      </c>
      <c r="H8" s="283">
        <v>-298.55</v>
      </c>
      <c r="I8" s="283">
        <v>-298.55</v>
      </c>
      <c r="J8" s="283">
        <v>-298.55</v>
      </c>
      <c r="K8" s="283">
        <v>-298.55</v>
      </c>
      <c r="L8" s="283">
        <v>-298.55</v>
      </c>
      <c r="M8" s="283">
        <v>-298.55</v>
      </c>
      <c r="N8" s="283">
        <v>-298.55</v>
      </c>
      <c r="O8" s="283">
        <v>-298.55</v>
      </c>
      <c r="P8" s="283">
        <v>-298.55</v>
      </c>
    </row>
    <row r="9" spans="1:17" ht="15" collapsed="1">
      <c r="A9" s="282">
        <v>1300</v>
      </c>
      <c r="B9" s="282" t="s">
        <v>236</v>
      </c>
      <c r="C9">
        <v>6814.30</v>
      </c>
      <c r="D9" s="283">
        <v>6814.30</v>
      </c>
      <c r="E9" s="283">
        <v>6814.30</v>
      </c>
      <c r="F9" s="283">
        <v>6814.30</v>
      </c>
      <c r="G9" s="283">
        <v>6814.30</v>
      </c>
      <c r="H9" s="283">
        <v>6814.30</v>
      </c>
      <c r="I9" s="283">
        <v>6814.30</v>
      </c>
      <c r="J9" s="283">
        <v>6814.30</v>
      </c>
      <c r="K9" s="283">
        <v>6814.30</v>
      </c>
      <c r="L9" s="283">
        <v>6814.30</v>
      </c>
      <c r="M9" s="283">
        <v>6814.30</v>
      </c>
      <c r="N9" s="283">
        <v>6814.30</v>
      </c>
      <c r="O9" s="283">
        <v>8382.2999999999993</v>
      </c>
      <c r="P9" s="283">
        <v>8382.2999999999993</v>
      </c>
      <c r="Q9" s="284">
        <f t="shared" si="0" ref="Q9:Q72">AVERAGE(D9:P9)</f>
        <v>7055.5307692307706</v>
      </c>
    </row>
    <row r="10" spans="1:17" ht="15" hidden="1" outlineLevel="1">
      <c r="A10">
        <v>1315</v>
      </c>
      <c r="B10" t="s">
        <v>237</v>
      </c>
      <c r="C10">
        <v>4402.53</v>
      </c>
      <c r="D10" s="283">
        <v>4402.53</v>
      </c>
      <c r="E10" s="283">
        <v>4402.53</v>
      </c>
      <c r="F10" s="283">
        <v>4402.53</v>
      </c>
      <c r="G10" s="283">
        <v>4402.53</v>
      </c>
      <c r="H10" s="283">
        <v>4402.53</v>
      </c>
      <c r="I10" s="283">
        <v>4402.53</v>
      </c>
      <c r="J10" s="283">
        <v>4402.53</v>
      </c>
      <c r="K10" s="283">
        <v>4402.53</v>
      </c>
      <c r="L10" s="283">
        <v>4402.53</v>
      </c>
      <c r="M10" s="283">
        <v>4402.53</v>
      </c>
      <c r="N10" s="283">
        <v>4673.6099999999997</v>
      </c>
      <c r="O10" s="283">
        <v>4673.6099999999997</v>
      </c>
      <c r="P10" s="283">
        <v>4673.6099999999997</v>
      </c>
      <c r="Q10" s="284">
        <f t="shared" si="0"/>
        <v>4465.0869230769231</v>
      </c>
    </row>
    <row r="11" spans="1:17" ht="15" hidden="1" outlineLevel="1">
      <c r="A11">
        <v>1345</v>
      </c>
      <c r="B11" t="s">
        <v>238</v>
      </c>
      <c r="C11">
        <v>1229.47</v>
      </c>
      <c r="D11" s="283">
        <v>1229.47</v>
      </c>
      <c r="E11" s="283">
        <v>1229.47</v>
      </c>
      <c r="F11" s="283">
        <v>1229.47</v>
      </c>
      <c r="G11" s="283">
        <v>1229.47</v>
      </c>
      <c r="H11" s="283">
        <v>1229.47</v>
      </c>
      <c r="I11" s="283">
        <v>1229.47</v>
      </c>
      <c r="J11" s="283">
        <v>1229.47</v>
      </c>
      <c r="K11" s="283">
        <v>1229.47</v>
      </c>
      <c r="L11" s="283">
        <v>1229.47</v>
      </c>
      <c r="M11" s="283">
        <v>1229.47</v>
      </c>
      <c r="N11" s="283">
        <v>1229.47</v>
      </c>
      <c r="O11" s="283">
        <v>1229.47</v>
      </c>
      <c r="P11" s="283">
        <v>1229.47</v>
      </c>
      <c r="Q11" s="284">
        <f t="shared" si="0"/>
        <v>1229.4699999999998</v>
      </c>
    </row>
    <row r="12" spans="1:17" ht="15" hidden="1" outlineLevel="1">
      <c r="A12">
        <v>1350</v>
      </c>
      <c r="B12" t="s">
        <v>239</v>
      </c>
      <c r="C12">
        <v>59663.02</v>
      </c>
      <c r="D12" s="283">
        <v>59663.02</v>
      </c>
      <c r="E12" s="283">
        <v>59663.02</v>
      </c>
      <c r="F12" s="283">
        <v>59663.02</v>
      </c>
      <c r="G12" s="283">
        <v>59663.02</v>
      </c>
      <c r="H12" s="283">
        <v>59663.02</v>
      </c>
      <c r="I12" s="283">
        <v>59663.02</v>
      </c>
      <c r="J12" s="283">
        <v>59663.02</v>
      </c>
      <c r="K12" s="283">
        <v>59663.02</v>
      </c>
      <c r="L12" s="283">
        <v>59663.02</v>
      </c>
      <c r="M12" s="283">
        <v>59663.02</v>
      </c>
      <c r="N12" s="283">
        <v>59663.02</v>
      </c>
      <c r="O12" s="283">
        <v>59663.02</v>
      </c>
      <c r="P12" s="283">
        <v>59663.02</v>
      </c>
      <c r="Q12" s="284">
        <f t="shared" si="0"/>
        <v>59663.020000000011</v>
      </c>
    </row>
    <row r="13" spans="1:17" ht="15" hidden="1" outlineLevel="1">
      <c r="A13">
        <v>1353</v>
      </c>
      <c r="B13" t="s">
        <v>240</v>
      </c>
      <c r="C13">
        <v>12760</v>
      </c>
      <c r="D13" s="283">
        <v>12760</v>
      </c>
      <c r="E13" s="283">
        <v>12760</v>
      </c>
      <c r="F13" s="283">
        <v>12760</v>
      </c>
      <c r="G13" s="283">
        <v>12760</v>
      </c>
      <c r="H13" s="283">
        <v>12760</v>
      </c>
      <c r="I13" s="283">
        <v>12760</v>
      </c>
      <c r="J13" s="283">
        <v>12760</v>
      </c>
      <c r="K13" s="283">
        <v>12760</v>
      </c>
      <c r="L13" s="283">
        <v>12760</v>
      </c>
      <c r="M13" s="283">
        <v>12760</v>
      </c>
      <c r="N13" s="283">
        <v>12760</v>
      </c>
      <c r="O13" s="283">
        <v>12760</v>
      </c>
      <c r="P13" s="283">
        <v>12760</v>
      </c>
      <c r="Q13" s="284">
        <f t="shared" si="0"/>
        <v>12760</v>
      </c>
    </row>
    <row r="14" spans="1:17" ht="15" hidden="1" outlineLevel="1">
      <c r="A14">
        <v>1360</v>
      </c>
      <c r="B14" t="s">
        <v>241</v>
      </c>
      <c r="C14">
        <v>2362.5500000000002</v>
      </c>
      <c r="D14" s="283">
        <v>2362.5500000000002</v>
      </c>
      <c r="E14" s="283">
        <v>2362.5500000000002</v>
      </c>
      <c r="F14" s="283">
        <v>2362.5500000000002</v>
      </c>
      <c r="G14" s="283">
        <v>2362.5500000000002</v>
      </c>
      <c r="H14" s="283">
        <v>2362.5500000000002</v>
      </c>
      <c r="I14" s="283">
        <v>2362.5500000000002</v>
      </c>
      <c r="J14" s="283">
        <v>2362.5500000000002</v>
      </c>
      <c r="K14" s="283">
        <v>2362.5500000000002</v>
      </c>
      <c r="L14" s="283">
        <v>2362.5500000000002</v>
      </c>
      <c r="M14" s="283">
        <v>2362.5500000000002</v>
      </c>
      <c r="N14" s="283">
        <v>2362.5500000000002</v>
      </c>
      <c r="O14" s="283">
        <v>2362.5500000000002</v>
      </c>
      <c r="P14" s="283">
        <v>2362.5500000000002</v>
      </c>
      <c r="Q14" s="284">
        <f t="shared" si="0"/>
        <v>2362.5499999999997</v>
      </c>
    </row>
    <row r="15" spans="1:17" ht="15" hidden="1" outlineLevel="1">
      <c r="A15">
        <v>1365</v>
      </c>
      <c r="B15" t="s">
        <v>242</v>
      </c>
      <c r="C15">
        <v>2647.61</v>
      </c>
      <c r="D15" s="283">
        <v>2647.61</v>
      </c>
      <c r="E15" s="283">
        <v>2647.61</v>
      </c>
      <c r="F15" s="283">
        <v>2647.61</v>
      </c>
      <c r="G15" s="283">
        <v>2647.61</v>
      </c>
      <c r="H15" s="283">
        <v>2647.61</v>
      </c>
      <c r="I15" s="283">
        <v>2647.61</v>
      </c>
      <c r="J15" s="283">
        <v>2647.61</v>
      </c>
      <c r="K15" s="283">
        <v>2647.61</v>
      </c>
      <c r="L15" s="283">
        <v>2647.61</v>
      </c>
      <c r="M15" s="283">
        <v>2647.61</v>
      </c>
      <c r="N15" s="283">
        <v>2647.61</v>
      </c>
      <c r="O15" s="283">
        <v>2647.61</v>
      </c>
      <c r="P15" s="283">
        <v>2647.61</v>
      </c>
      <c r="Q15" s="284">
        <f t="shared" si="0"/>
        <v>2647.61</v>
      </c>
    </row>
    <row r="16" spans="1:17" ht="15" hidden="1" outlineLevel="1">
      <c r="A16">
        <v>1380</v>
      </c>
      <c r="B16" t="s">
        <v>243</v>
      </c>
      <c r="C16">
        <v>41409.480000000003</v>
      </c>
      <c r="D16" s="283">
        <v>41409.480000000003</v>
      </c>
      <c r="E16" s="283">
        <v>41409.480000000003</v>
      </c>
      <c r="F16" s="283">
        <v>41409.480000000003</v>
      </c>
      <c r="G16" s="283">
        <v>41409.480000000003</v>
      </c>
      <c r="H16" s="283">
        <v>41409.480000000003</v>
      </c>
      <c r="I16" s="283">
        <v>41680.56</v>
      </c>
      <c r="J16" s="283">
        <v>42403.44</v>
      </c>
      <c r="K16" s="283">
        <v>42403.44</v>
      </c>
      <c r="L16" s="283">
        <v>42403.44</v>
      </c>
      <c r="M16" s="283">
        <v>42403.44</v>
      </c>
      <c r="N16" s="283">
        <v>42403.44</v>
      </c>
      <c r="O16" s="283">
        <v>42245.86</v>
      </c>
      <c r="P16" s="283">
        <v>42741.84</v>
      </c>
      <c r="Q16" s="284">
        <f t="shared" si="0"/>
        <v>41979.450769230767</v>
      </c>
    </row>
    <row r="17" spans="1:17" ht="15" collapsed="1">
      <c r="A17" s="282">
        <v>1395</v>
      </c>
      <c r="B17" s="282" t="s">
        <v>244</v>
      </c>
      <c r="C17">
        <v>6773.92</v>
      </c>
      <c r="D17" s="283">
        <v>6773.92</v>
      </c>
      <c r="E17" s="283">
        <v>6773.92</v>
      </c>
      <c r="F17" s="283">
        <v>6773.92</v>
      </c>
      <c r="G17" s="283">
        <v>6773.92</v>
      </c>
      <c r="H17" s="283">
        <v>6773.92</v>
      </c>
      <c r="I17" s="283">
        <v>6773.92</v>
      </c>
      <c r="J17" s="283">
        <v>6773.92</v>
      </c>
      <c r="K17" s="283">
        <v>7493.92</v>
      </c>
      <c r="L17" s="283">
        <v>7493.92</v>
      </c>
      <c r="M17" s="283">
        <v>7493.92</v>
      </c>
      <c r="N17" s="283">
        <v>7493.92</v>
      </c>
      <c r="O17" s="283">
        <v>7142.21</v>
      </c>
      <c r="P17" s="283">
        <v>7142.21</v>
      </c>
      <c r="Q17" s="284">
        <f t="shared" si="0"/>
        <v>7052.1184615384618</v>
      </c>
    </row>
    <row r="18" spans="1:17" ht="15">
      <c r="A18" s="282">
        <v>1400</v>
      </c>
      <c r="B18" s="282" t="s">
        <v>245</v>
      </c>
      <c r="C18">
        <v>106589.10</v>
      </c>
      <c r="D18" s="283">
        <v>106589.10</v>
      </c>
      <c r="E18" s="283">
        <v>106589.10</v>
      </c>
      <c r="F18" s="283">
        <v>106589.10</v>
      </c>
      <c r="G18" s="283">
        <v>106589.10</v>
      </c>
      <c r="H18" s="283">
        <v>106589.10</v>
      </c>
      <c r="I18" s="283">
        <v>106589.10</v>
      </c>
      <c r="J18" s="283">
        <v>106589.10</v>
      </c>
      <c r="K18" s="283">
        <v>106859.10</v>
      </c>
      <c r="L18" s="283">
        <v>106859.10</v>
      </c>
      <c r="M18" s="283">
        <v>107225.98</v>
      </c>
      <c r="N18" s="283">
        <v>107225.98</v>
      </c>
      <c r="O18" s="283">
        <v>107225.98</v>
      </c>
      <c r="P18" s="283">
        <v>107225.98</v>
      </c>
      <c r="Q18" s="284">
        <f t="shared" si="0"/>
        <v>106826.60153846153</v>
      </c>
    </row>
    <row r="19" spans="1:17" ht="15" hidden="1" outlineLevel="1">
      <c r="A19">
        <v>1420</v>
      </c>
      <c r="B19" t="s">
        <v>246</v>
      </c>
      <c r="D19" s="283"/>
      <c r="E19" s="283"/>
      <c r="F19" s="283"/>
      <c r="G19" s="283"/>
      <c r="H19" s="283"/>
      <c r="I19" s="283"/>
      <c r="J19" s="283">
        <v>1825.36</v>
      </c>
      <c r="K19" s="283">
        <v>1825.36</v>
      </c>
      <c r="L19" s="283">
        <v>1825.36</v>
      </c>
      <c r="M19" s="283">
        <v>1825.36</v>
      </c>
      <c r="N19" s="283">
        <v>1825.36</v>
      </c>
      <c r="O19" s="283">
        <v>1825.36</v>
      </c>
      <c r="P19" s="283">
        <v>1825.36</v>
      </c>
      <c r="Q19" s="284">
        <f t="shared" si="0"/>
        <v>1825.36</v>
      </c>
    </row>
    <row r="20" spans="1:17" ht="15" hidden="1" outlineLevel="1">
      <c r="A20">
        <v>1455</v>
      </c>
      <c r="B20" t="s">
        <v>247</v>
      </c>
      <c r="C20">
        <v>303.93</v>
      </c>
      <c r="D20" s="283">
        <v>303.93</v>
      </c>
      <c r="E20" s="283">
        <v>303.93</v>
      </c>
      <c r="F20" s="283">
        <v>303.93</v>
      </c>
      <c r="G20" s="283">
        <v>303.93</v>
      </c>
      <c r="H20" s="283">
        <v>303.93</v>
      </c>
      <c r="I20" s="283">
        <v>303.93</v>
      </c>
      <c r="J20" s="283">
        <v>303.93</v>
      </c>
      <c r="K20" s="283">
        <v>303.93</v>
      </c>
      <c r="L20" s="283">
        <v>303.93</v>
      </c>
      <c r="M20" s="283">
        <v>303.93</v>
      </c>
      <c r="N20" s="283">
        <v>303.93</v>
      </c>
      <c r="O20" s="283">
        <v>303.93</v>
      </c>
      <c r="P20" s="283">
        <v>303.93</v>
      </c>
      <c r="Q20" s="284">
        <f t="shared" si="0"/>
        <v>303.92999999999995</v>
      </c>
    </row>
    <row r="21" spans="1:17" ht="15" hidden="1" outlineLevel="1">
      <c r="A21">
        <v>1460</v>
      </c>
      <c r="B21" t="s">
        <v>248</v>
      </c>
      <c r="C21">
        <v>877.96</v>
      </c>
      <c r="D21" s="283">
        <v>877.96</v>
      </c>
      <c r="E21" s="283">
        <v>877.96</v>
      </c>
      <c r="F21" s="283">
        <v>877.96</v>
      </c>
      <c r="G21" s="283">
        <v>877.96</v>
      </c>
      <c r="H21" s="283">
        <v>877.96</v>
      </c>
      <c r="I21" s="283">
        <v>877.96</v>
      </c>
      <c r="J21" s="283">
        <v>877.96</v>
      </c>
      <c r="K21" s="283">
        <v>877.96</v>
      </c>
      <c r="L21" s="283">
        <v>877.96</v>
      </c>
      <c r="M21" s="283">
        <v>877.96</v>
      </c>
      <c r="N21" s="283">
        <v>877.96</v>
      </c>
      <c r="O21" s="283">
        <v>877.96</v>
      </c>
      <c r="P21" s="283">
        <v>877.96</v>
      </c>
      <c r="Q21" s="284">
        <f t="shared" si="0"/>
        <v>877.95999999999992</v>
      </c>
    </row>
    <row r="22" spans="1:17" ht="15" hidden="1" outlineLevel="1">
      <c r="A22">
        <v>1480</v>
      </c>
      <c r="B22" t="s">
        <v>249</v>
      </c>
      <c r="C22">
        <v>293.73</v>
      </c>
      <c r="D22" s="283">
        <v>293.73</v>
      </c>
      <c r="E22" s="283">
        <v>293.73</v>
      </c>
      <c r="F22" s="283">
        <v>293.73</v>
      </c>
      <c r="G22" s="283">
        <v>293.73</v>
      </c>
      <c r="H22" s="283">
        <v>293.73</v>
      </c>
      <c r="I22" s="283">
        <v>293.73</v>
      </c>
      <c r="J22" s="283">
        <v>293.73</v>
      </c>
      <c r="K22" s="283">
        <v>293.73</v>
      </c>
      <c r="L22" s="283">
        <v>293.73</v>
      </c>
      <c r="M22" s="283">
        <v>293.73</v>
      </c>
      <c r="N22" s="283">
        <v>293.73</v>
      </c>
      <c r="O22" s="283">
        <v>293.73</v>
      </c>
      <c r="P22" s="283">
        <v>293.73</v>
      </c>
      <c r="Q22" s="284">
        <f t="shared" si="0"/>
        <v>293.73</v>
      </c>
    </row>
    <row r="23" spans="1:17" ht="15" hidden="1" outlineLevel="1">
      <c r="A23">
        <v>1490</v>
      </c>
      <c r="B23" t="s">
        <v>250</v>
      </c>
      <c r="C23">
        <v>36.119999999999997</v>
      </c>
      <c r="D23" s="283">
        <v>36.119999999999997</v>
      </c>
      <c r="E23" s="283">
        <v>36.119999999999997</v>
      </c>
      <c r="F23" s="283">
        <v>36.119999999999997</v>
      </c>
      <c r="G23" s="283">
        <v>36.119999999999997</v>
      </c>
      <c r="H23" s="283">
        <v>36.119999999999997</v>
      </c>
      <c r="I23" s="283">
        <v>36.119999999999997</v>
      </c>
      <c r="J23" s="283">
        <v>36.119999999999997</v>
      </c>
      <c r="K23" s="283">
        <v>36.119999999999997</v>
      </c>
      <c r="L23" s="283">
        <v>36.119999999999997</v>
      </c>
      <c r="M23" s="283">
        <v>36.119999999999997</v>
      </c>
      <c r="N23" s="283">
        <v>36.119999999999997</v>
      </c>
      <c r="O23" s="283">
        <v>36.119999999999997</v>
      </c>
      <c r="P23" s="283">
        <v>36.119999999999997</v>
      </c>
      <c r="Q23" s="284">
        <f t="shared" si="0"/>
        <v>36.119999999999997</v>
      </c>
    </row>
    <row r="24" spans="1:17" ht="15" hidden="1" outlineLevel="1">
      <c r="A24">
        <v>1500</v>
      </c>
      <c r="B24" t="s">
        <v>251</v>
      </c>
      <c r="C24">
        <v>1000</v>
      </c>
      <c r="D24" s="283">
        <v>1000</v>
      </c>
      <c r="E24" s="283">
        <v>1000</v>
      </c>
      <c r="F24" s="283">
        <v>1000</v>
      </c>
      <c r="G24" s="283">
        <v>1000</v>
      </c>
      <c r="H24" s="283">
        <v>1000</v>
      </c>
      <c r="I24" s="283">
        <v>1000</v>
      </c>
      <c r="J24" s="283">
        <v>1000</v>
      </c>
      <c r="K24" s="283">
        <v>1000</v>
      </c>
      <c r="L24" s="283">
        <v>1000</v>
      </c>
      <c r="M24" s="283">
        <v>1000</v>
      </c>
      <c r="N24" s="283">
        <v>1000</v>
      </c>
      <c r="O24" s="283">
        <v>1000</v>
      </c>
      <c r="P24" s="283">
        <v>1000</v>
      </c>
      <c r="Q24" s="284">
        <f t="shared" si="0"/>
        <v>1000</v>
      </c>
    </row>
    <row r="25" spans="1:17" ht="15" hidden="1" outlineLevel="1">
      <c r="A25" t="s">
        <v>252</v>
      </c>
      <c r="B25">
        <v>110</v>
      </c>
      <c r="C25">
        <v>257740.17</v>
      </c>
      <c r="D25" s="283">
        <v>257740.17</v>
      </c>
      <c r="E25" s="283">
        <v>257740.17</v>
      </c>
      <c r="F25" s="283">
        <v>257740.17</v>
      </c>
      <c r="G25" s="283">
        <v>257740.17</v>
      </c>
      <c r="H25" s="283">
        <v>257740.17</v>
      </c>
      <c r="I25" s="283">
        <v>258011.25</v>
      </c>
      <c r="J25" s="283">
        <v>260559.49</v>
      </c>
      <c r="K25" s="283">
        <v>261549.49</v>
      </c>
      <c r="L25" s="283">
        <v>261549.49</v>
      </c>
      <c r="M25" s="283">
        <v>261916.37</v>
      </c>
      <c r="N25" s="283">
        <v>262187.45</v>
      </c>
      <c r="O25" s="283">
        <v>263246.15999999997</v>
      </c>
      <c r="P25" s="283">
        <v>263742.14</v>
      </c>
      <c r="Q25" s="284">
        <f t="shared" si="0"/>
        <v>260112.51461538469</v>
      </c>
    </row>
    <row r="26" spans="1:17" ht="15" hidden="1" outlineLevel="1">
      <c r="A26">
        <v>1535</v>
      </c>
      <c r="B26" t="s">
        <v>253</v>
      </c>
      <c r="C26">
        <v>39.36</v>
      </c>
      <c r="D26" s="283">
        <v>39.36</v>
      </c>
      <c r="E26" s="283">
        <v>39.36</v>
      </c>
      <c r="F26" s="283">
        <v>39.36</v>
      </c>
      <c r="G26" s="283">
        <v>39.36</v>
      </c>
      <c r="H26" s="283">
        <v>39.36</v>
      </c>
      <c r="I26" s="283">
        <v>39.36</v>
      </c>
      <c r="J26" s="283">
        <v>39.36</v>
      </c>
      <c r="K26" s="283">
        <v>39.36</v>
      </c>
      <c r="L26" s="283">
        <v>39.36</v>
      </c>
      <c r="M26" s="283">
        <v>39.36</v>
      </c>
      <c r="N26" s="283">
        <v>39.36</v>
      </c>
      <c r="O26" s="283">
        <v>39.36</v>
      </c>
      <c r="P26" s="283">
        <v>39.36</v>
      </c>
      <c r="Q26" s="284">
        <f t="shared" si="0"/>
        <v>39.360000000000007</v>
      </c>
    </row>
    <row r="27" spans="1:17" ht="15" hidden="1" outlineLevel="1">
      <c r="A27">
        <v>1540</v>
      </c>
      <c r="B27" t="s">
        <v>254</v>
      </c>
      <c r="C27">
        <v>1168.28</v>
      </c>
      <c r="D27" s="283">
        <v>1168.28</v>
      </c>
      <c r="E27" s="283">
        <v>1168.28</v>
      </c>
      <c r="F27" s="283">
        <v>1168.28</v>
      </c>
      <c r="G27" s="283">
        <v>1557.80</v>
      </c>
      <c r="H27" s="283">
        <v>1557.80</v>
      </c>
      <c r="I27" s="283">
        <v>1557.80</v>
      </c>
      <c r="J27" s="283">
        <v>1874.06</v>
      </c>
      <c r="K27" s="283">
        <v>1874.06</v>
      </c>
      <c r="L27" s="283">
        <v>1874.06</v>
      </c>
      <c r="M27" s="283">
        <v>1874.06</v>
      </c>
      <c r="N27" s="283">
        <v>1874.06</v>
      </c>
      <c r="O27" s="283">
        <v>1874.06</v>
      </c>
      <c r="P27" s="283">
        <v>1874.06</v>
      </c>
      <c r="Q27" s="284">
        <f t="shared" si="0"/>
        <v>1638.2046153846156</v>
      </c>
    </row>
    <row r="28" spans="1:17" ht="15" hidden="1" outlineLevel="1">
      <c r="A28" t="s">
        <v>252</v>
      </c>
      <c r="B28">
        <v>120</v>
      </c>
      <c r="C28">
        <v>1207.6400000000001</v>
      </c>
      <c r="D28" s="283">
        <v>1207.6400000000001</v>
      </c>
      <c r="E28" s="283">
        <v>1207.6400000000001</v>
      </c>
      <c r="F28" s="283">
        <v>1207.6400000000001</v>
      </c>
      <c r="G28" s="283">
        <v>1597.16</v>
      </c>
      <c r="H28" s="283">
        <v>1597.16</v>
      </c>
      <c r="I28" s="283">
        <v>1597.16</v>
      </c>
      <c r="J28" s="283">
        <v>1913.42</v>
      </c>
      <c r="K28" s="283">
        <v>1913.42</v>
      </c>
      <c r="L28" s="283">
        <v>1913.42</v>
      </c>
      <c r="M28" s="283">
        <v>1913.42</v>
      </c>
      <c r="N28" s="283">
        <v>1913.42</v>
      </c>
      <c r="O28" s="283">
        <v>1913.42</v>
      </c>
      <c r="P28" s="283">
        <v>1913.42</v>
      </c>
      <c r="Q28" s="284">
        <f t="shared" si="0"/>
        <v>1677.5646153846151</v>
      </c>
    </row>
    <row r="29" spans="1:17" ht="15" hidden="1" outlineLevel="1">
      <c r="A29">
        <v>3000</v>
      </c>
      <c r="B29" t="s">
        <v>255</v>
      </c>
      <c r="C29">
        <v>2500</v>
      </c>
      <c r="D29" s="283">
        <v>2500</v>
      </c>
      <c r="E29" s="283">
        <v>2500</v>
      </c>
      <c r="F29" s="283">
        <v>2500</v>
      </c>
      <c r="G29" s="283">
        <v>2500</v>
      </c>
      <c r="H29" s="283">
        <v>2500</v>
      </c>
      <c r="I29" s="283">
        <v>2500</v>
      </c>
      <c r="J29" s="283">
        <v>2500</v>
      </c>
      <c r="K29" s="283">
        <v>2500</v>
      </c>
      <c r="L29" s="283">
        <v>2500</v>
      </c>
      <c r="M29" s="283">
        <v>2500</v>
      </c>
      <c r="N29" s="283">
        <v>2500</v>
      </c>
      <c r="O29" s="283">
        <v>2500</v>
      </c>
      <c r="P29" s="283">
        <v>2500</v>
      </c>
      <c r="Q29" s="284">
        <f t="shared" si="0"/>
        <v>2500</v>
      </c>
    </row>
    <row r="30" spans="1:17" ht="15" hidden="1" outlineLevel="1">
      <c r="A30" t="s">
        <v>252</v>
      </c>
      <c r="B30">
        <v>170</v>
      </c>
      <c r="C30">
        <v>2500</v>
      </c>
      <c r="D30" s="283">
        <v>2500</v>
      </c>
      <c r="E30" s="283">
        <v>2500</v>
      </c>
      <c r="F30" s="283">
        <v>2500</v>
      </c>
      <c r="G30" s="283">
        <v>2500</v>
      </c>
      <c r="H30" s="283">
        <v>2500</v>
      </c>
      <c r="I30" s="283">
        <v>2500</v>
      </c>
      <c r="J30" s="283">
        <v>2500</v>
      </c>
      <c r="K30" s="283">
        <v>2500</v>
      </c>
      <c r="L30" s="283">
        <v>2500</v>
      </c>
      <c r="M30" s="283">
        <v>2500</v>
      </c>
      <c r="N30" s="283">
        <v>2500</v>
      </c>
      <c r="O30" s="283">
        <v>2500</v>
      </c>
      <c r="P30" s="283">
        <v>2500</v>
      </c>
      <c r="Q30" s="284">
        <f t="shared" si="0"/>
        <v>2500</v>
      </c>
    </row>
    <row r="31" spans="1:17" ht="15" hidden="1" outlineLevel="1">
      <c r="A31">
        <v>3705</v>
      </c>
      <c r="B31" t="s">
        <v>256</v>
      </c>
      <c r="C31">
        <v>-7200</v>
      </c>
      <c r="D31" s="283">
        <v>-7200</v>
      </c>
      <c r="E31" s="283">
        <v>-7200</v>
      </c>
      <c r="F31" s="283">
        <v>-7200</v>
      </c>
      <c r="G31" s="283">
        <v>-7200</v>
      </c>
      <c r="H31" s="283">
        <v>-7200</v>
      </c>
      <c r="I31" s="283">
        <v>-7200</v>
      </c>
      <c r="J31" s="283">
        <v>-7200</v>
      </c>
      <c r="K31" s="283">
        <v>-7200</v>
      </c>
      <c r="L31" s="283">
        <v>-7200</v>
      </c>
      <c r="M31" s="283">
        <v>-7200</v>
      </c>
      <c r="N31" s="283">
        <v>-7200</v>
      </c>
      <c r="O31" s="283">
        <v>-7200</v>
      </c>
      <c r="P31" s="283">
        <v>-7200</v>
      </c>
      <c r="Q31" s="284">
        <f t="shared" si="0"/>
        <v>-7200</v>
      </c>
    </row>
    <row r="32" spans="1:17" ht="15" hidden="1" outlineLevel="1">
      <c r="A32" t="s">
        <v>252</v>
      </c>
      <c r="B32">
        <v>185</v>
      </c>
      <c r="C32">
        <v>-7200</v>
      </c>
      <c r="D32" s="283">
        <v>-7200</v>
      </c>
      <c r="E32" s="283">
        <v>-7200</v>
      </c>
      <c r="F32" s="283">
        <v>-7200</v>
      </c>
      <c r="G32" s="283">
        <v>-7200</v>
      </c>
      <c r="H32" s="283">
        <v>-7200</v>
      </c>
      <c r="I32" s="283">
        <v>-7200</v>
      </c>
      <c r="J32" s="283">
        <v>-7200</v>
      </c>
      <c r="K32" s="283">
        <v>-7200</v>
      </c>
      <c r="L32" s="283">
        <v>-7200</v>
      </c>
      <c r="M32" s="283">
        <v>-7200</v>
      </c>
      <c r="N32" s="283">
        <v>-7200</v>
      </c>
      <c r="O32" s="283">
        <v>-7200</v>
      </c>
      <c r="P32" s="283">
        <v>-7200</v>
      </c>
      <c r="Q32" s="284">
        <f t="shared" si="0"/>
        <v>-7200</v>
      </c>
    </row>
    <row r="33" spans="1:17" ht="15" hidden="1" outlineLevel="1">
      <c r="A33">
        <v>2030</v>
      </c>
      <c r="B33" t="s">
        <v>257</v>
      </c>
      <c r="C33">
        <v>0.20</v>
      </c>
      <c r="D33" s="283">
        <v>0.20</v>
      </c>
      <c r="E33" s="283">
        <v>0.20</v>
      </c>
      <c r="F33" s="283">
        <v>0.20</v>
      </c>
      <c r="G33" s="283">
        <v>0.20</v>
      </c>
      <c r="H33" s="283">
        <v>0.20</v>
      </c>
      <c r="I33" s="283">
        <v>0.20</v>
      </c>
      <c r="J33" s="283">
        <v>0.20</v>
      </c>
      <c r="K33" s="283">
        <v>0.20</v>
      </c>
      <c r="L33" s="283">
        <v>0.20</v>
      </c>
      <c r="M33" s="283">
        <v>0.20</v>
      </c>
      <c r="N33" s="283">
        <v>0.20</v>
      </c>
      <c r="O33" s="283">
        <v>0.20</v>
      </c>
      <c r="P33" s="283">
        <v>0.20</v>
      </c>
      <c r="Q33" s="284">
        <f t="shared" si="0"/>
        <v>0.20</v>
      </c>
    </row>
    <row r="34" spans="1:17" ht="15" hidden="1" outlineLevel="1">
      <c r="A34">
        <v>2055</v>
      </c>
      <c r="B34" t="s">
        <v>258</v>
      </c>
      <c r="C34">
        <v>2313.61</v>
      </c>
      <c r="D34" s="283">
        <v>2313.61</v>
      </c>
      <c r="E34" s="283">
        <v>2314.61</v>
      </c>
      <c r="F34" s="283">
        <v>2315.61</v>
      </c>
      <c r="G34" s="283">
        <v>2316.61</v>
      </c>
      <c r="H34" s="283">
        <v>2317.61</v>
      </c>
      <c r="I34" s="283">
        <v>2318.61</v>
      </c>
      <c r="J34" s="283">
        <v>2319.61</v>
      </c>
      <c r="K34" s="283">
        <v>2320.61</v>
      </c>
      <c r="L34" s="283">
        <v>2321.61</v>
      </c>
      <c r="M34" s="283">
        <v>2322.61</v>
      </c>
      <c r="N34" s="283">
        <v>2323.61</v>
      </c>
      <c r="O34" s="283">
        <v>2324.61</v>
      </c>
      <c r="P34" s="283">
        <v>2325.61</v>
      </c>
      <c r="Q34" s="284">
        <f t="shared" si="0"/>
        <v>2319.61</v>
      </c>
    </row>
    <row r="35" spans="1:17" ht="15" collapsed="1">
      <c r="A35" s="282">
        <v>2060</v>
      </c>
      <c r="B35" s="282" t="s">
        <v>259</v>
      </c>
      <c r="C35">
        <v>881.83</v>
      </c>
      <c r="D35" s="283">
        <v>881.83</v>
      </c>
      <c r="E35" s="283">
        <v>864.04</v>
      </c>
      <c r="F35" s="283">
        <v>846.25</v>
      </c>
      <c r="G35" s="283">
        <v>828.46</v>
      </c>
      <c r="H35" s="283">
        <v>810.67</v>
      </c>
      <c r="I35" s="283">
        <v>792.88</v>
      </c>
      <c r="J35" s="283">
        <v>775.09</v>
      </c>
      <c r="K35" s="283">
        <v>757.30</v>
      </c>
      <c r="L35" s="283">
        <v>739.51</v>
      </c>
      <c r="M35" s="283">
        <v>721.72</v>
      </c>
      <c r="N35" s="283">
        <v>703.93</v>
      </c>
      <c r="O35" s="283">
        <v>682.04</v>
      </c>
      <c r="P35" s="283">
        <v>660.15</v>
      </c>
      <c r="Q35" s="284">
        <f t="shared" si="0"/>
        <v>774.1438461538462</v>
      </c>
    </row>
    <row r="36" spans="1:17" ht="15" hidden="1" outlineLevel="1">
      <c r="A36">
        <v>2075</v>
      </c>
      <c r="B36" t="s">
        <v>260</v>
      </c>
      <c r="C36">
        <v>-498.69</v>
      </c>
      <c r="D36" s="283">
        <v>-498.69</v>
      </c>
      <c r="E36" s="283">
        <v>-510.18</v>
      </c>
      <c r="F36" s="283">
        <v>-521.66999999999996</v>
      </c>
      <c r="G36" s="283">
        <v>-533.16</v>
      </c>
      <c r="H36" s="283">
        <v>-544.65</v>
      </c>
      <c r="I36" s="283">
        <v>-556.14</v>
      </c>
      <c r="J36" s="283">
        <v>-567.63</v>
      </c>
      <c r="K36" s="283">
        <v>-579.12</v>
      </c>
      <c r="L36" s="283">
        <v>-590.61</v>
      </c>
      <c r="M36" s="283">
        <v>-602.10</v>
      </c>
      <c r="N36" s="283">
        <v>-614.29999999999995</v>
      </c>
      <c r="O36" s="283">
        <v>-626.50</v>
      </c>
      <c r="P36" s="283">
        <v>-638.70000000000005</v>
      </c>
      <c r="Q36" s="284">
        <f t="shared" si="0"/>
        <v>-567.95769230769224</v>
      </c>
    </row>
    <row r="37" spans="1:17" ht="15" hidden="1" outlineLevel="1">
      <c r="A37">
        <v>2105</v>
      </c>
      <c r="B37" t="s">
        <v>261</v>
      </c>
      <c r="C37">
        <v>394.31</v>
      </c>
      <c r="D37" s="283">
        <v>394.31</v>
      </c>
      <c r="E37" s="283">
        <v>390.89</v>
      </c>
      <c r="F37" s="283">
        <v>387.47</v>
      </c>
      <c r="G37" s="283">
        <v>384.05</v>
      </c>
      <c r="H37" s="283">
        <v>380.63</v>
      </c>
      <c r="I37" s="283">
        <v>377.21</v>
      </c>
      <c r="J37" s="283">
        <v>373.79</v>
      </c>
      <c r="K37" s="283">
        <v>370.37</v>
      </c>
      <c r="L37" s="283">
        <v>366.95</v>
      </c>
      <c r="M37" s="283">
        <v>363.53</v>
      </c>
      <c r="N37" s="283">
        <v>360.11</v>
      </c>
      <c r="O37" s="283">
        <v>356.69</v>
      </c>
      <c r="P37" s="283">
        <v>353.27</v>
      </c>
      <c r="Q37" s="284">
        <f t="shared" si="0"/>
        <v>373.78999999999991</v>
      </c>
    </row>
    <row r="38" spans="1:17" ht="15" hidden="1" outlineLevel="1">
      <c r="A38">
        <v>2110</v>
      </c>
      <c r="B38" t="s">
        <v>262</v>
      </c>
      <c r="C38">
        <v>-40853.79</v>
      </c>
      <c r="D38" s="283">
        <v>-40853.79</v>
      </c>
      <c r="E38" s="283">
        <v>-40964.08</v>
      </c>
      <c r="F38" s="283">
        <v>-41074.370000000003</v>
      </c>
      <c r="G38" s="283">
        <v>-41184.660000000003</v>
      </c>
      <c r="H38" s="283">
        <v>-41294.949999999997</v>
      </c>
      <c r="I38" s="283">
        <v>-41405.24</v>
      </c>
      <c r="J38" s="283">
        <v>-41515.53</v>
      </c>
      <c r="K38" s="283">
        <v>-41625.82</v>
      </c>
      <c r="L38" s="283">
        <v>-41736.11</v>
      </c>
      <c r="M38" s="283">
        <v>-41846.40</v>
      </c>
      <c r="N38" s="283">
        <v>-41956.69</v>
      </c>
      <c r="O38" s="283">
        <v>-42066.97</v>
      </c>
      <c r="P38" s="283">
        <v>-42177.25</v>
      </c>
      <c r="Q38" s="284">
        <f t="shared" si="0"/>
        <v>-41515.527692307689</v>
      </c>
    </row>
    <row r="39" spans="1:17" ht="15" hidden="1" outlineLevel="1">
      <c r="A39">
        <v>2113</v>
      </c>
      <c r="B39" t="s">
        <v>263</v>
      </c>
      <c r="C39">
        <v>-945.36</v>
      </c>
      <c r="D39" s="283">
        <v>-945.36</v>
      </c>
      <c r="E39" s="283">
        <v>-980.80</v>
      </c>
      <c r="F39" s="283">
        <v>-1016.24</v>
      </c>
      <c r="G39" s="283">
        <v>-1051.68</v>
      </c>
      <c r="H39" s="283">
        <v>-1087.1199999999999</v>
      </c>
      <c r="I39" s="283">
        <v>-1122.56</v>
      </c>
      <c r="J39" s="283">
        <v>-1158</v>
      </c>
      <c r="K39" s="283">
        <v>-1193.44</v>
      </c>
      <c r="L39" s="283">
        <v>-1228.8800000000001</v>
      </c>
      <c r="M39" s="283">
        <v>-1264.32</v>
      </c>
      <c r="N39" s="283">
        <v>-1299.76</v>
      </c>
      <c r="O39" s="283">
        <v>-1335.20</v>
      </c>
      <c r="P39" s="283">
        <v>-1370.64</v>
      </c>
      <c r="Q39" s="284">
        <f t="shared" si="0"/>
        <v>-1158.0000000000002</v>
      </c>
    </row>
    <row r="40" spans="1:17" ht="15" hidden="1" outlineLevel="1">
      <c r="A40">
        <v>2120</v>
      </c>
      <c r="B40" t="s">
        <v>264</v>
      </c>
      <c r="C40">
        <v>1479.49</v>
      </c>
      <c r="D40" s="283">
        <v>1479.49</v>
      </c>
      <c r="E40" s="283">
        <v>1474.31</v>
      </c>
      <c r="F40" s="283">
        <v>1469.13</v>
      </c>
      <c r="G40" s="283">
        <v>1463.95</v>
      </c>
      <c r="H40" s="283">
        <v>1458.77</v>
      </c>
      <c r="I40" s="283">
        <v>1453.59</v>
      </c>
      <c r="J40" s="283">
        <v>1448.41</v>
      </c>
      <c r="K40" s="283">
        <v>1443.23</v>
      </c>
      <c r="L40" s="283">
        <v>1438.05</v>
      </c>
      <c r="M40" s="283">
        <v>1432.87</v>
      </c>
      <c r="N40" s="283">
        <v>1427.69</v>
      </c>
      <c r="O40" s="283">
        <v>1422.51</v>
      </c>
      <c r="P40" s="283">
        <v>1417.33</v>
      </c>
      <c r="Q40" s="284">
        <f t="shared" si="0"/>
        <v>1448.41</v>
      </c>
    </row>
    <row r="41" spans="1:17" ht="15" hidden="1" outlineLevel="1">
      <c r="A41">
        <v>2125</v>
      </c>
      <c r="B41" t="s">
        <v>265</v>
      </c>
      <c r="C41">
        <v>-1479.95</v>
      </c>
      <c r="D41" s="283">
        <v>-1479.95</v>
      </c>
      <c r="E41" s="283">
        <v>-1524.08</v>
      </c>
      <c r="F41" s="283">
        <v>-1568.21</v>
      </c>
      <c r="G41" s="283">
        <v>-1612.34</v>
      </c>
      <c r="H41" s="283">
        <v>-1656.47</v>
      </c>
      <c r="I41" s="283">
        <v>-1700.60</v>
      </c>
      <c r="J41" s="283">
        <v>-1744.73</v>
      </c>
      <c r="K41" s="283">
        <v>-1788.86</v>
      </c>
      <c r="L41" s="283">
        <v>-1832.99</v>
      </c>
      <c r="M41" s="283">
        <v>-1877.12</v>
      </c>
      <c r="N41" s="283">
        <v>-1921.25</v>
      </c>
      <c r="O41" s="283">
        <v>-1965.38</v>
      </c>
      <c r="P41" s="283">
        <v>-2009.51</v>
      </c>
      <c r="Q41" s="284">
        <f t="shared" si="0"/>
        <v>-1744.7299999999998</v>
      </c>
    </row>
    <row r="42" spans="1:17" ht="15" hidden="1" outlineLevel="1">
      <c r="A42">
        <v>2140</v>
      </c>
      <c r="B42" t="s">
        <v>266</v>
      </c>
      <c r="C42">
        <v>4105.92</v>
      </c>
      <c r="D42" s="283">
        <v>4105.92</v>
      </c>
      <c r="E42" s="283">
        <v>3914.21</v>
      </c>
      <c r="F42" s="283">
        <v>3722.50</v>
      </c>
      <c r="G42" s="283">
        <v>3530.79</v>
      </c>
      <c r="H42" s="283">
        <v>3339.08</v>
      </c>
      <c r="I42" s="283">
        <v>3146.11</v>
      </c>
      <c r="J42" s="283">
        <v>2949.80</v>
      </c>
      <c r="K42" s="283">
        <v>2753.49</v>
      </c>
      <c r="L42" s="283">
        <v>2557.1799999999998</v>
      </c>
      <c r="M42" s="283">
        <v>2360.87</v>
      </c>
      <c r="N42" s="283">
        <v>2164.56</v>
      </c>
      <c r="O42" s="283">
        <v>2124.44</v>
      </c>
      <c r="P42" s="283">
        <v>2237.14</v>
      </c>
      <c r="Q42" s="284">
        <f t="shared" si="0"/>
        <v>2992.7761538461541</v>
      </c>
    </row>
    <row r="43" spans="1:17" ht="15" collapsed="1">
      <c r="A43" s="282">
        <v>2155</v>
      </c>
      <c r="B43" s="282" t="s">
        <v>267</v>
      </c>
      <c r="C43">
        <v>-7132.42</v>
      </c>
      <c r="D43" s="283">
        <v>-7132.42</v>
      </c>
      <c r="E43" s="283">
        <v>-7163.78</v>
      </c>
      <c r="F43" s="283">
        <v>-7195.14</v>
      </c>
      <c r="G43" s="283">
        <v>-7226.50</v>
      </c>
      <c r="H43" s="283">
        <v>-7257.86</v>
      </c>
      <c r="I43" s="283">
        <v>-7289.22</v>
      </c>
      <c r="J43" s="283">
        <v>-7320.58</v>
      </c>
      <c r="K43" s="283">
        <v>-7355.27</v>
      </c>
      <c r="L43" s="283">
        <v>-7389.96</v>
      </c>
      <c r="M43" s="283">
        <v>-7424.65</v>
      </c>
      <c r="N43" s="283">
        <v>-7459.34</v>
      </c>
      <c r="O43" s="285">
        <v>-7142.32</v>
      </c>
      <c r="P43" s="283">
        <v>-7175.39</v>
      </c>
      <c r="Q43" s="284">
        <f t="shared" si="0"/>
        <v>-7271.7253846153853</v>
      </c>
    </row>
    <row r="44" spans="1:17" ht="15">
      <c r="A44" s="282">
        <v>2160</v>
      </c>
      <c r="B44" s="282" t="s">
        <v>268</v>
      </c>
      <c r="C44">
        <v>-75877.990000000005</v>
      </c>
      <c r="D44" s="283">
        <v>-75877.990000000005</v>
      </c>
      <c r="E44" s="283">
        <v>-76371.460000000006</v>
      </c>
      <c r="F44" s="283">
        <v>-76864.929999999993</v>
      </c>
      <c r="G44" s="283">
        <v>-77358.399999999994</v>
      </c>
      <c r="H44" s="283">
        <v>-77851.87</v>
      </c>
      <c r="I44" s="283">
        <v>-78345.34</v>
      </c>
      <c r="J44" s="283">
        <v>-78838.81</v>
      </c>
      <c r="K44" s="283">
        <v>-79333.53</v>
      </c>
      <c r="L44" s="283">
        <v>-79828.25</v>
      </c>
      <c r="M44" s="283">
        <v>-80324.66</v>
      </c>
      <c r="N44" s="283">
        <v>-80821.070000000007</v>
      </c>
      <c r="O44" s="283">
        <v>-81317.490000000005</v>
      </c>
      <c r="P44" s="283">
        <v>-81813.91</v>
      </c>
      <c r="Q44" s="284">
        <f t="shared" si="0"/>
        <v>-78842.131538461545</v>
      </c>
    </row>
    <row r="45" spans="1:17" ht="15" hidden="1" outlineLevel="1">
      <c r="A45">
        <v>2180</v>
      </c>
      <c r="B45" t="s">
        <v>269</v>
      </c>
      <c r="D45" s="283"/>
      <c r="E45" s="283"/>
      <c r="F45" s="283"/>
      <c r="G45" s="283"/>
      <c r="H45" s="283"/>
      <c r="I45" s="283"/>
      <c r="J45" s="283">
        <v>1210.18</v>
      </c>
      <c r="K45" s="283">
        <v>1205.1099999999999</v>
      </c>
      <c r="L45" s="283">
        <v>1200.04</v>
      </c>
      <c r="M45" s="283">
        <v>1194.97</v>
      </c>
      <c r="N45" s="283">
        <v>1189.9000000000001</v>
      </c>
      <c r="O45" s="283">
        <v>1184.83</v>
      </c>
      <c r="P45" s="283">
        <v>1179.76</v>
      </c>
      <c r="Q45" s="284">
        <f t="shared" si="0"/>
        <v>1194.97</v>
      </c>
    </row>
    <row r="46" spans="1:17" ht="15" hidden="1" outlineLevel="1">
      <c r="A46">
        <v>2215</v>
      </c>
      <c r="B46" t="s">
        <v>270</v>
      </c>
      <c r="C46">
        <v>-8.19</v>
      </c>
      <c r="D46" s="283">
        <v>-8.19</v>
      </c>
      <c r="E46" s="283">
        <v>-8.82</v>
      </c>
      <c r="F46" s="283">
        <v>-9.4499999999999993</v>
      </c>
      <c r="G46" s="283">
        <v>-10.08</v>
      </c>
      <c r="H46" s="283">
        <v>-10.71</v>
      </c>
      <c r="I46" s="283">
        <v>-11.34</v>
      </c>
      <c r="J46" s="283">
        <v>-11.97</v>
      </c>
      <c r="K46" s="283">
        <v>-12.60</v>
      </c>
      <c r="L46" s="283">
        <v>-13.23</v>
      </c>
      <c r="M46" s="283">
        <v>-13.86</v>
      </c>
      <c r="N46" s="283">
        <v>-14.49</v>
      </c>
      <c r="O46" s="283">
        <v>-15.12</v>
      </c>
      <c r="P46" s="283">
        <v>-15.75</v>
      </c>
      <c r="Q46" s="284">
        <f t="shared" si="0"/>
        <v>-11.97</v>
      </c>
    </row>
    <row r="47" spans="1:17" ht="15" hidden="1" outlineLevel="1">
      <c r="A47">
        <v>2220</v>
      </c>
      <c r="B47" t="s">
        <v>271</v>
      </c>
      <c r="C47">
        <v>-324.27999999999997</v>
      </c>
      <c r="D47" s="283">
        <v>-324.27999999999997</v>
      </c>
      <c r="E47" s="283">
        <v>-329.16</v>
      </c>
      <c r="F47" s="283">
        <v>-334.04</v>
      </c>
      <c r="G47" s="283">
        <v>-338.92</v>
      </c>
      <c r="H47" s="283">
        <v>-343.80</v>
      </c>
      <c r="I47" s="283">
        <v>-348.68</v>
      </c>
      <c r="J47" s="283">
        <v>-353.56</v>
      </c>
      <c r="K47" s="283">
        <v>-358.44</v>
      </c>
      <c r="L47" s="283">
        <v>-363.32</v>
      </c>
      <c r="M47" s="283">
        <v>-368.20</v>
      </c>
      <c r="N47" s="283">
        <v>-373.08</v>
      </c>
      <c r="O47" s="283">
        <v>-377.96</v>
      </c>
      <c r="P47" s="283">
        <v>-382.84</v>
      </c>
      <c r="Q47" s="284">
        <f t="shared" si="0"/>
        <v>-353.56</v>
      </c>
    </row>
    <row r="48" spans="1:17" ht="15" hidden="1" outlineLevel="1">
      <c r="A48">
        <v>2240</v>
      </c>
      <c r="B48" t="s">
        <v>272</v>
      </c>
      <c r="C48">
        <v>1527.71</v>
      </c>
      <c r="D48" s="283">
        <v>1527.71</v>
      </c>
      <c r="E48" s="283">
        <v>1525.67</v>
      </c>
      <c r="F48" s="283">
        <v>1523.63</v>
      </c>
      <c r="G48" s="283">
        <v>1521.59</v>
      </c>
      <c r="H48" s="283">
        <v>1519.55</v>
      </c>
      <c r="I48" s="283">
        <v>1517.51</v>
      </c>
      <c r="J48" s="283">
        <v>1515.47</v>
      </c>
      <c r="K48" s="283">
        <v>1513.43</v>
      </c>
      <c r="L48" s="283">
        <v>1511.39</v>
      </c>
      <c r="M48" s="283">
        <v>1509.35</v>
      </c>
      <c r="N48" s="283">
        <v>1507.31</v>
      </c>
      <c r="O48" s="283">
        <v>1505.27</v>
      </c>
      <c r="P48" s="283">
        <v>1503.23</v>
      </c>
      <c r="Q48" s="284">
        <f t="shared" si="0"/>
        <v>1515.47</v>
      </c>
    </row>
    <row r="49" spans="1:17" ht="15" hidden="1" outlineLevel="1">
      <c r="A49">
        <v>2250</v>
      </c>
      <c r="B49" t="s">
        <v>273</v>
      </c>
      <c r="C49">
        <v>-24.08</v>
      </c>
      <c r="D49" s="283">
        <v>-24.08</v>
      </c>
      <c r="E49" s="283">
        <v>-24.28</v>
      </c>
      <c r="F49" s="283">
        <v>-24.48</v>
      </c>
      <c r="G49" s="283">
        <v>-24.68</v>
      </c>
      <c r="H49" s="283">
        <v>-24.88</v>
      </c>
      <c r="I49" s="283">
        <v>-25.08</v>
      </c>
      <c r="J49" s="283">
        <v>-25.28</v>
      </c>
      <c r="K49" s="283">
        <v>-25.48</v>
      </c>
      <c r="L49" s="283">
        <v>-25.68</v>
      </c>
      <c r="M49" s="283">
        <v>-25.88</v>
      </c>
      <c r="N49" s="283">
        <v>-26.08</v>
      </c>
      <c r="O49" s="283">
        <v>-26.28</v>
      </c>
      <c r="P49" s="283">
        <v>-26.48</v>
      </c>
      <c r="Q49" s="284">
        <f t="shared" si="0"/>
        <v>-25.28</v>
      </c>
    </row>
    <row r="50" spans="1:17" ht="15" hidden="1" outlineLevel="1">
      <c r="A50">
        <v>2255</v>
      </c>
      <c r="B50" t="s">
        <v>274</v>
      </c>
      <c r="C50">
        <v>-1012.95</v>
      </c>
      <c r="D50" s="283">
        <v>-1012.95</v>
      </c>
      <c r="E50" s="283">
        <v>-1021.28</v>
      </c>
      <c r="F50" s="283">
        <v>-1029.6099999999999</v>
      </c>
      <c r="G50" s="283">
        <v>-1037.94</v>
      </c>
      <c r="H50" s="283">
        <v>-1046.27</v>
      </c>
      <c r="I50" s="283">
        <v>-1054.5999999999999</v>
      </c>
      <c r="J50" s="283">
        <v>-1062.93</v>
      </c>
      <c r="K50" s="283">
        <v>-1071.26</v>
      </c>
      <c r="L50" s="283">
        <v>-1079.5899999999999</v>
      </c>
      <c r="M50" s="283">
        <v>-1087.92</v>
      </c>
      <c r="N50" s="283">
        <v>-1096.25</v>
      </c>
      <c r="O50" s="283">
        <v>-1104.58</v>
      </c>
      <c r="P50" s="283">
        <v>-1112.9100000000001</v>
      </c>
      <c r="Q50" s="284">
        <f t="shared" si="0"/>
        <v>-1062.93</v>
      </c>
    </row>
    <row r="51" spans="1:17" ht="15" hidden="1" outlineLevel="1">
      <c r="A51" t="s">
        <v>252</v>
      </c>
      <c r="B51">
        <v>210</v>
      </c>
      <c r="C51">
        <v>-117454.63</v>
      </c>
      <c r="D51" s="283">
        <v>-117454.63</v>
      </c>
      <c r="E51" s="283">
        <v>-118413.99</v>
      </c>
      <c r="F51" s="283">
        <v>-119373.35</v>
      </c>
      <c r="G51" s="283">
        <v>-120332.71</v>
      </c>
      <c r="H51" s="283">
        <v>-121292.07</v>
      </c>
      <c r="I51" s="283">
        <v>-122252.69</v>
      </c>
      <c r="J51" s="283">
        <v>-122006.47</v>
      </c>
      <c r="K51" s="283">
        <v>-122980.08</v>
      </c>
      <c r="L51" s="283">
        <v>-123953.69</v>
      </c>
      <c r="M51" s="283">
        <v>-124928.99</v>
      </c>
      <c r="N51" s="283">
        <v>-125905</v>
      </c>
      <c r="O51" s="283">
        <v>-126377.21</v>
      </c>
      <c r="P51" s="283">
        <v>-127046.69</v>
      </c>
      <c r="Q51" s="284">
        <f t="shared" si="0"/>
        <v>-122485.96692307691</v>
      </c>
    </row>
    <row r="52" spans="1:17" ht="15" hidden="1" outlineLevel="1">
      <c r="A52">
        <v>2280</v>
      </c>
      <c r="B52" t="s">
        <v>275</v>
      </c>
      <c r="C52">
        <v>-8.91</v>
      </c>
      <c r="D52" s="283">
        <v>-8.91</v>
      </c>
      <c r="E52" s="283">
        <v>-9</v>
      </c>
      <c r="F52" s="283">
        <v>-9.09</v>
      </c>
      <c r="G52" s="283">
        <v>-9.18</v>
      </c>
      <c r="H52" s="283">
        <v>-9.27</v>
      </c>
      <c r="I52" s="283">
        <v>-9.36</v>
      </c>
      <c r="J52" s="283">
        <v>-9.4499999999999993</v>
      </c>
      <c r="K52" s="283">
        <v>-9.5399999999999991</v>
      </c>
      <c r="L52" s="283">
        <v>-9.6300000000000008</v>
      </c>
      <c r="M52" s="283">
        <v>-9.7200000000000006</v>
      </c>
      <c r="N52" s="283">
        <v>-9.81</v>
      </c>
      <c r="O52" s="283">
        <v>-9.90</v>
      </c>
      <c r="P52" s="283">
        <v>-9.99</v>
      </c>
      <c r="Q52" s="284">
        <f t="shared" si="0"/>
        <v>-9.4500000000000011</v>
      </c>
    </row>
    <row r="53" spans="1:17" ht="15" hidden="1" outlineLevel="1">
      <c r="A53">
        <v>2285</v>
      </c>
      <c r="B53" t="s">
        <v>276</v>
      </c>
      <c r="C53">
        <v>-205.57</v>
      </c>
      <c r="D53" s="283">
        <v>-205.57</v>
      </c>
      <c r="E53" s="283">
        <v>-207.84</v>
      </c>
      <c r="F53" s="283">
        <v>-210.11</v>
      </c>
      <c r="G53" s="283">
        <v>-213.13</v>
      </c>
      <c r="H53" s="283">
        <v>-216.15</v>
      </c>
      <c r="I53" s="283">
        <v>-219.17</v>
      </c>
      <c r="J53" s="283">
        <v>-222.81</v>
      </c>
      <c r="K53" s="283">
        <v>-226.45</v>
      </c>
      <c r="L53" s="283">
        <v>-230.09</v>
      </c>
      <c r="M53" s="283">
        <v>-233.73</v>
      </c>
      <c r="N53" s="283">
        <v>-237.37</v>
      </c>
      <c r="O53" s="283">
        <v>-241.01</v>
      </c>
      <c r="P53" s="283">
        <v>-244.65</v>
      </c>
      <c r="Q53" s="284">
        <f t="shared" si="0"/>
        <v>-223.69846153846149</v>
      </c>
    </row>
    <row r="54" spans="1:17" ht="15" hidden="1" outlineLevel="1">
      <c r="A54" t="s">
        <v>252</v>
      </c>
      <c r="B54">
        <v>220</v>
      </c>
      <c r="C54">
        <v>-214.48</v>
      </c>
      <c r="D54" s="283">
        <v>-214.48</v>
      </c>
      <c r="E54" s="283">
        <v>-216.84</v>
      </c>
      <c r="F54" s="283">
        <v>-219.20</v>
      </c>
      <c r="G54" s="283">
        <v>-222.31</v>
      </c>
      <c r="H54" s="283">
        <v>-225.42</v>
      </c>
      <c r="I54" s="283">
        <v>-228.53</v>
      </c>
      <c r="J54" s="283">
        <v>-232.26</v>
      </c>
      <c r="K54" s="283">
        <v>-235.99</v>
      </c>
      <c r="L54" s="283">
        <v>-239.72</v>
      </c>
      <c r="M54" s="283">
        <v>-243.45</v>
      </c>
      <c r="N54" s="283">
        <v>-247.18</v>
      </c>
      <c r="O54" s="283">
        <v>-250.91</v>
      </c>
      <c r="P54" s="283">
        <v>-254.64</v>
      </c>
      <c r="Q54" s="284">
        <f t="shared" si="0"/>
        <v>-233.1484615384615</v>
      </c>
    </row>
    <row r="55" spans="1:17" ht="15" hidden="1" outlineLevel="1">
      <c r="A55">
        <v>3155</v>
      </c>
      <c r="B55" t="s">
        <v>277</v>
      </c>
      <c r="C55">
        <v>-104.79</v>
      </c>
      <c r="D55" s="283">
        <v>-104.79</v>
      </c>
      <c r="E55" s="283">
        <v>-125.62</v>
      </c>
      <c r="F55" s="283">
        <v>-146.46</v>
      </c>
      <c r="G55" s="283">
        <v>-167.29</v>
      </c>
      <c r="H55" s="283">
        <v>-188.12</v>
      </c>
      <c r="I55" s="283">
        <v>-208.96</v>
      </c>
      <c r="J55" s="283">
        <v>-229.79</v>
      </c>
      <c r="K55" s="283">
        <v>-250.62</v>
      </c>
      <c r="L55" s="283">
        <v>-271.45999999999998</v>
      </c>
      <c r="M55" s="283">
        <v>-292.29000000000002</v>
      </c>
      <c r="N55" s="283">
        <v>-313.12</v>
      </c>
      <c r="O55" s="283">
        <v>-333.96</v>
      </c>
      <c r="P55" s="283">
        <v>-354.79</v>
      </c>
      <c r="Q55" s="284">
        <f t="shared" si="0"/>
        <v>-229.79</v>
      </c>
    </row>
    <row r="56" spans="1:17" ht="15" hidden="1" outlineLevel="1">
      <c r="A56" t="s">
        <v>252</v>
      </c>
      <c r="B56">
        <v>270</v>
      </c>
      <c r="C56">
        <v>-104.79</v>
      </c>
      <c r="D56" s="283">
        <v>-104.79</v>
      </c>
      <c r="E56" s="283">
        <v>-125.62</v>
      </c>
      <c r="F56" s="283">
        <v>-146.46</v>
      </c>
      <c r="G56" s="283">
        <v>-167.29</v>
      </c>
      <c r="H56" s="283">
        <v>-188.12</v>
      </c>
      <c r="I56" s="283">
        <v>-208.96</v>
      </c>
      <c r="J56" s="283">
        <v>-229.79</v>
      </c>
      <c r="K56" s="283">
        <v>-250.62</v>
      </c>
      <c r="L56" s="283">
        <v>-271.45999999999998</v>
      </c>
      <c r="M56" s="283">
        <v>-292.29000000000002</v>
      </c>
      <c r="N56" s="283">
        <v>-313.12</v>
      </c>
      <c r="O56" s="283">
        <v>-333.96</v>
      </c>
      <c r="P56" s="283">
        <v>-354.79</v>
      </c>
      <c r="Q56" s="284">
        <f t="shared" si="0"/>
        <v>-229.79</v>
      </c>
    </row>
    <row r="57" spans="1:17" ht="15" hidden="1" outlineLevel="1">
      <c r="A57">
        <v>4260</v>
      </c>
      <c r="B57" t="s">
        <v>278</v>
      </c>
      <c r="C57">
        <v>3.56</v>
      </c>
      <c r="D57" s="283">
        <v>3.56</v>
      </c>
      <c r="E57" s="283">
        <v>3.56</v>
      </c>
      <c r="F57" s="283">
        <v>3.56</v>
      </c>
      <c r="G57" s="283">
        <v>3.56</v>
      </c>
      <c r="H57" s="283">
        <v>3.56</v>
      </c>
      <c r="I57" s="283">
        <v>3.56</v>
      </c>
      <c r="J57" s="283">
        <v>3.56</v>
      </c>
      <c r="K57" s="283">
        <v>3.56</v>
      </c>
      <c r="L57" s="283">
        <v>3.56</v>
      </c>
      <c r="M57" s="283">
        <v>3.56</v>
      </c>
      <c r="N57" s="283">
        <v>3.56</v>
      </c>
      <c r="O57" s="283">
        <v>3.56</v>
      </c>
      <c r="P57" s="283"/>
      <c r="Q57" s="284">
        <f t="shared" si="0"/>
        <v>3.5600000000000005</v>
      </c>
    </row>
    <row r="58" spans="1:17" ht="15" hidden="1" outlineLevel="1">
      <c r="A58">
        <v>4265</v>
      </c>
      <c r="B58" t="s">
        <v>279</v>
      </c>
      <c r="C58">
        <v>2406.3000000000002</v>
      </c>
      <c r="D58" s="283">
        <v>2406.3000000000002</v>
      </c>
      <c r="E58" s="283">
        <v>2421.3000000000002</v>
      </c>
      <c r="F58" s="283">
        <v>2436.3000000000002</v>
      </c>
      <c r="G58" s="283">
        <v>2451.3000000000002</v>
      </c>
      <c r="H58" s="283">
        <v>2466.3000000000002</v>
      </c>
      <c r="I58" s="283">
        <v>2481.3000000000002</v>
      </c>
      <c r="J58" s="283">
        <v>2496.3000000000002</v>
      </c>
      <c r="K58" s="283">
        <v>2511.3000000000002</v>
      </c>
      <c r="L58" s="283">
        <v>2526.3000000000002</v>
      </c>
      <c r="M58" s="283">
        <v>2541.3000000000002</v>
      </c>
      <c r="N58" s="283">
        <v>2556.3000000000002</v>
      </c>
      <c r="O58" s="283">
        <v>2571.3000000000002</v>
      </c>
      <c r="P58" s="283">
        <v>2586.3000000000002</v>
      </c>
      <c r="Q58" s="284">
        <f t="shared" si="0"/>
        <v>2496.2999999999997</v>
      </c>
    </row>
    <row r="59" spans="1:17" ht="15" hidden="1" outlineLevel="1">
      <c r="A59" t="s">
        <v>252</v>
      </c>
      <c r="B59">
        <v>285</v>
      </c>
      <c r="C59">
        <v>2409.86</v>
      </c>
      <c r="D59" s="283">
        <v>2409.86</v>
      </c>
      <c r="E59" s="283">
        <v>2424.86</v>
      </c>
      <c r="F59" s="283">
        <v>2439.86</v>
      </c>
      <c r="G59" s="283">
        <v>2454.86</v>
      </c>
      <c r="H59" s="283">
        <v>2469.86</v>
      </c>
      <c r="I59" s="283">
        <v>2484.86</v>
      </c>
      <c r="J59" s="283">
        <v>2499.86</v>
      </c>
      <c r="K59" s="283">
        <v>2514.86</v>
      </c>
      <c r="L59" s="283">
        <v>2529.86</v>
      </c>
      <c r="M59" s="283">
        <v>2544.86</v>
      </c>
      <c r="N59" s="283">
        <v>2559.86</v>
      </c>
      <c r="O59" s="283">
        <v>2574.86</v>
      </c>
      <c r="P59" s="283">
        <v>2586.3000000000002</v>
      </c>
      <c r="Q59" s="284">
        <f t="shared" si="0"/>
        <v>2499.586153846154</v>
      </c>
    </row>
    <row r="60" spans="1:17" ht="15" hidden="1" outlineLevel="1">
      <c r="A60" t="s">
        <v>280</v>
      </c>
      <c r="C60">
        <v>138883.76999999999</v>
      </c>
      <c r="D60" s="283">
        <v>138883.76999999999</v>
      </c>
      <c r="E60" s="283">
        <v>137916.22</v>
      </c>
      <c r="F60" s="283">
        <v>136948.66</v>
      </c>
      <c r="G60" s="283">
        <v>136369.88</v>
      </c>
      <c r="H60" s="283">
        <v>135401.57999999999</v>
      </c>
      <c r="I60" s="283">
        <v>134703.09</v>
      </c>
      <c r="J60" s="283">
        <v>137804.25</v>
      </c>
      <c r="K60" s="283">
        <v>137811.07999999999</v>
      </c>
      <c r="L60" s="283">
        <v>136827.90</v>
      </c>
      <c r="M60" s="283">
        <v>136209.92000000001</v>
      </c>
      <c r="N60" s="283">
        <v>135495.43</v>
      </c>
      <c r="O60" s="283">
        <v>136072.35999999999</v>
      </c>
      <c r="P60" s="283">
        <v>135885.74</v>
      </c>
      <c r="Q60" s="284">
        <f t="shared" si="0"/>
        <v>136640.75999999998</v>
      </c>
    </row>
    <row r="61" spans="1:17" ht="15" hidden="1" outlineLevel="1">
      <c r="A61" t="s">
        <v>218</v>
      </c>
      <c r="B61" t="s">
        <v>219</v>
      </c>
      <c r="C61" t="s">
        <v>220</v>
      </c>
      <c r="D61" s="283" t="s">
        <v>281</v>
      </c>
      <c r="E61" s="283" t="s">
        <v>221</v>
      </c>
      <c r="F61" s="283" t="s">
        <v>222</v>
      </c>
      <c r="G61" s="283" t="s">
        <v>223</v>
      </c>
      <c r="H61" s="283" t="s">
        <v>224</v>
      </c>
      <c r="I61" s="283" t="s">
        <v>225</v>
      </c>
      <c r="J61" s="283" t="s">
        <v>226</v>
      </c>
      <c r="K61" s="283" t="s">
        <v>227</v>
      </c>
      <c r="L61" s="283" t="s">
        <v>228</v>
      </c>
      <c r="M61" s="283" t="s">
        <v>229</v>
      </c>
      <c r="N61" s="283" t="s">
        <v>230</v>
      </c>
      <c r="O61" s="283" t="s">
        <v>231</v>
      </c>
      <c r="P61" s="283" t="s">
        <v>220</v>
      </c>
      <c r="Q61" s="284" t="e">
        <f t="shared" si="0"/>
        <v>#DIV/0!</v>
      </c>
    </row>
    <row r="62" spans="1:17" ht="15" hidden="1" outlineLevel="1">
      <c r="A62">
        <v>1270</v>
      </c>
      <c r="B62" t="s">
        <v>233</v>
      </c>
      <c r="C62">
        <v>10080</v>
      </c>
      <c r="D62" s="283">
        <v>10080</v>
      </c>
      <c r="E62" s="283">
        <v>10080</v>
      </c>
      <c r="F62" s="283">
        <v>10080</v>
      </c>
      <c r="G62" s="283">
        <v>10080</v>
      </c>
      <c r="H62" s="283">
        <v>10080</v>
      </c>
      <c r="I62" s="283">
        <v>10080</v>
      </c>
      <c r="J62" s="283">
        <v>10080</v>
      </c>
      <c r="K62" s="283">
        <v>10080</v>
      </c>
      <c r="L62" s="283">
        <v>10080</v>
      </c>
      <c r="M62" s="283">
        <v>10080</v>
      </c>
      <c r="N62" s="283">
        <v>10080</v>
      </c>
      <c r="O62" s="283">
        <v>10080</v>
      </c>
      <c r="P62" s="283">
        <v>10080</v>
      </c>
      <c r="Q62" s="284">
        <f t="shared" si="0"/>
        <v>10080</v>
      </c>
    </row>
    <row r="63" spans="1:17" ht="15" hidden="1" outlineLevel="1">
      <c r="A63">
        <v>1285</v>
      </c>
      <c r="B63" t="s">
        <v>234</v>
      </c>
      <c r="C63">
        <v>795</v>
      </c>
      <c r="D63" s="283">
        <v>795</v>
      </c>
      <c r="E63" s="283">
        <v>795</v>
      </c>
      <c r="F63" s="283">
        <v>795</v>
      </c>
      <c r="G63" s="283">
        <v>795</v>
      </c>
      <c r="H63" s="283">
        <v>795</v>
      </c>
      <c r="I63" s="283">
        <v>795</v>
      </c>
      <c r="J63" s="283">
        <v>795</v>
      </c>
      <c r="K63" s="283">
        <v>795</v>
      </c>
      <c r="L63" s="283">
        <v>795</v>
      </c>
      <c r="M63" s="283">
        <v>795</v>
      </c>
      <c r="N63" s="283">
        <v>795</v>
      </c>
      <c r="O63" s="283">
        <v>795</v>
      </c>
      <c r="P63" s="283">
        <v>795</v>
      </c>
      <c r="Q63" s="284">
        <f t="shared" si="0"/>
        <v>795</v>
      </c>
    </row>
    <row r="64" spans="1:17" ht="15" hidden="1" outlineLevel="1">
      <c r="A64">
        <v>1295</v>
      </c>
      <c r="B64" t="s">
        <v>235</v>
      </c>
      <c r="C64">
        <v>-298.55</v>
      </c>
      <c r="D64" s="283">
        <v>-298.55</v>
      </c>
      <c r="E64" s="283">
        <v>-298.55</v>
      </c>
      <c r="F64" s="283">
        <v>-298.55</v>
      </c>
      <c r="G64" s="283">
        <v>-298.55</v>
      </c>
      <c r="H64" s="283">
        <v>-298.55</v>
      </c>
      <c r="I64" s="283">
        <v>-298.55</v>
      </c>
      <c r="J64" s="283">
        <v>-298.55</v>
      </c>
      <c r="K64" s="283">
        <v>-298.55</v>
      </c>
      <c r="L64" s="283">
        <v>-298.55</v>
      </c>
      <c r="M64" s="283">
        <v>-298.55</v>
      </c>
      <c r="N64" s="283">
        <v>-298.55</v>
      </c>
      <c r="O64" s="283">
        <v>-298.55</v>
      </c>
      <c r="P64" s="283">
        <v>-298.55</v>
      </c>
      <c r="Q64" s="284">
        <f t="shared" si="0"/>
        <v>-298.55000000000007</v>
      </c>
    </row>
    <row r="65" spans="1:17" ht="15" hidden="1" outlineLevel="1">
      <c r="A65">
        <v>1300</v>
      </c>
      <c r="B65" t="s">
        <v>236</v>
      </c>
      <c r="C65">
        <v>6814.30</v>
      </c>
      <c r="D65" s="283">
        <v>6814.30</v>
      </c>
      <c r="E65" s="283">
        <v>6814.30</v>
      </c>
      <c r="F65" s="283">
        <v>6814.30</v>
      </c>
      <c r="G65" s="283">
        <v>6814.30</v>
      </c>
      <c r="H65" s="283">
        <v>6814.30</v>
      </c>
      <c r="I65" s="283">
        <v>6814.30</v>
      </c>
      <c r="J65" s="283">
        <v>6814.30</v>
      </c>
      <c r="K65" s="283">
        <v>6814.30</v>
      </c>
      <c r="L65" s="283">
        <v>6814.30</v>
      </c>
      <c r="M65" s="283">
        <v>6814.30</v>
      </c>
      <c r="N65" s="283">
        <v>6814.30</v>
      </c>
      <c r="O65" s="283">
        <v>8382.2999999999993</v>
      </c>
      <c r="P65" s="283">
        <v>8382.2999999999993</v>
      </c>
      <c r="Q65" s="284">
        <f t="shared" si="0"/>
        <v>7055.5307692307706</v>
      </c>
    </row>
    <row r="66" spans="1:17" ht="15" hidden="1" outlineLevel="1">
      <c r="A66">
        <v>1315</v>
      </c>
      <c r="B66" t="s">
        <v>237</v>
      </c>
      <c r="C66">
        <v>4402.53</v>
      </c>
      <c r="D66" s="283">
        <v>4402.53</v>
      </c>
      <c r="E66" s="283">
        <v>4402.53</v>
      </c>
      <c r="F66" s="283">
        <v>4402.53</v>
      </c>
      <c r="G66" s="283">
        <v>4402.53</v>
      </c>
      <c r="H66" s="283">
        <v>4402.53</v>
      </c>
      <c r="I66" s="283">
        <v>4402.53</v>
      </c>
      <c r="J66" s="283">
        <v>4402.53</v>
      </c>
      <c r="K66" s="283">
        <v>4402.53</v>
      </c>
      <c r="L66" s="283">
        <v>4402.53</v>
      </c>
      <c r="M66" s="283">
        <v>4402.53</v>
      </c>
      <c r="N66" s="283">
        <v>4673.6099999999997</v>
      </c>
      <c r="O66" s="283">
        <v>4673.6099999999997</v>
      </c>
      <c r="P66" s="283">
        <v>4673.6099999999997</v>
      </c>
      <c r="Q66" s="284">
        <f t="shared" si="0"/>
        <v>4465.0869230769231</v>
      </c>
    </row>
    <row r="67" spans="1:17" ht="15" hidden="1" outlineLevel="1">
      <c r="A67">
        <v>1345</v>
      </c>
      <c r="B67" t="s">
        <v>238</v>
      </c>
      <c r="C67">
        <v>1229.47</v>
      </c>
      <c r="D67" s="283">
        <v>1229.47</v>
      </c>
      <c r="E67" s="283">
        <v>1229.47</v>
      </c>
      <c r="F67" s="283">
        <v>1229.47</v>
      </c>
      <c r="G67" s="283">
        <v>1229.47</v>
      </c>
      <c r="H67" s="283">
        <v>1229.47</v>
      </c>
      <c r="I67" s="283">
        <v>1229.47</v>
      </c>
      <c r="J67" s="283">
        <v>1229.47</v>
      </c>
      <c r="K67" s="283">
        <v>1229.47</v>
      </c>
      <c r="L67" s="283">
        <v>1229.47</v>
      </c>
      <c r="M67" s="283">
        <v>1229.47</v>
      </c>
      <c r="N67" s="283">
        <v>1229.47</v>
      </c>
      <c r="O67" s="283">
        <v>1229.47</v>
      </c>
      <c r="P67" s="283">
        <v>1229.47</v>
      </c>
      <c r="Q67" s="284">
        <f t="shared" si="0"/>
        <v>1229.4699999999998</v>
      </c>
    </row>
    <row r="68" spans="1:17" ht="15" hidden="1" outlineLevel="1">
      <c r="A68">
        <v>1350</v>
      </c>
      <c r="B68" t="s">
        <v>239</v>
      </c>
      <c r="C68">
        <v>59663.02</v>
      </c>
      <c r="D68" s="283">
        <v>59663.02</v>
      </c>
      <c r="E68" s="283">
        <v>59663.02</v>
      </c>
      <c r="F68" s="283">
        <v>59663.02</v>
      </c>
      <c r="G68" s="283">
        <v>59663.02</v>
      </c>
      <c r="H68" s="283">
        <v>59663.02</v>
      </c>
      <c r="I68" s="283">
        <v>59663.02</v>
      </c>
      <c r="J68" s="283">
        <v>59663.02</v>
      </c>
      <c r="K68" s="283">
        <v>59663.02</v>
      </c>
      <c r="L68" s="283">
        <v>59663.02</v>
      </c>
      <c r="M68" s="283">
        <v>59663.02</v>
      </c>
      <c r="N68" s="283">
        <v>59663.02</v>
      </c>
      <c r="O68" s="283">
        <v>59663.02</v>
      </c>
      <c r="P68" s="283">
        <v>59663.02</v>
      </c>
      <c r="Q68" s="284">
        <f t="shared" si="0"/>
        <v>59663.020000000011</v>
      </c>
    </row>
    <row r="69" spans="1:17" ht="15" hidden="1" outlineLevel="1">
      <c r="A69">
        <v>1353</v>
      </c>
      <c r="B69" t="s">
        <v>240</v>
      </c>
      <c r="C69">
        <v>12760</v>
      </c>
      <c r="D69" s="283">
        <v>12760</v>
      </c>
      <c r="E69" s="283">
        <v>12760</v>
      </c>
      <c r="F69" s="283">
        <v>12760</v>
      </c>
      <c r="G69" s="283">
        <v>12760</v>
      </c>
      <c r="H69" s="283">
        <v>12760</v>
      </c>
      <c r="I69" s="283">
        <v>12760</v>
      </c>
      <c r="J69" s="283">
        <v>12760</v>
      </c>
      <c r="K69" s="283">
        <v>12760</v>
      </c>
      <c r="L69" s="283">
        <v>12760</v>
      </c>
      <c r="M69" s="283">
        <v>12760</v>
      </c>
      <c r="N69" s="283">
        <v>12760</v>
      </c>
      <c r="O69" s="283">
        <v>12760</v>
      </c>
      <c r="P69" s="283">
        <v>12760</v>
      </c>
      <c r="Q69" s="284">
        <f t="shared" si="0"/>
        <v>12760</v>
      </c>
    </row>
    <row r="70" spans="1:17" ht="15" hidden="1" outlineLevel="1">
      <c r="A70">
        <v>1360</v>
      </c>
      <c r="B70" t="s">
        <v>241</v>
      </c>
      <c r="C70">
        <v>2362.5500000000002</v>
      </c>
      <c r="D70" s="283">
        <v>2362.5500000000002</v>
      </c>
      <c r="E70" s="283">
        <v>2362.5500000000002</v>
      </c>
      <c r="F70" s="283">
        <v>2362.5500000000002</v>
      </c>
      <c r="G70" s="283">
        <v>2362.5500000000002</v>
      </c>
      <c r="H70" s="283">
        <v>2362.5500000000002</v>
      </c>
      <c r="I70" s="283">
        <v>2362.5500000000002</v>
      </c>
      <c r="J70" s="283">
        <v>2362.5500000000002</v>
      </c>
      <c r="K70" s="283">
        <v>2362.5500000000002</v>
      </c>
      <c r="L70" s="283">
        <v>2362.5500000000002</v>
      </c>
      <c r="M70" s="283">
        <v>2362.5500000000002</v>
      </c>
      <c r="N70" s="283">
        <v>2362.5500000000002</v>
      </c>
      <c r="O70" s="283">
        <v>2362.5500000000002</v>
      </c>
      <c r="P70" s="283">
        <v>2362.5500000000002</v>
      </c>
      <c r="Q70" s="284">
        <f t="shared" si="0"/>
        <v>2362.5499999999997</v>
      </c>
    </row>
    <row r="71" spans="1:17" ht="15" hidden="1" outlineLevel="1">
      <c r="A71">
        <v>1365</v>
      </c>
      <c r="B71" t="s">
        <v>242</v>
      </c>
      <c r="C71">
        <v>2647.61</v>
      </c>
      <c r="D71" s="283">
        <v>2647.61</v>
      </c>
      <c r="E71" s="283">
        <v>2647.61</v>
      </c>
      <c r="F71" s="283">
        <v>2647.61</v>
      </c>
      <c r="G71" s="283">
        <v>2647.61</v>
      </c>
      <c r="H71" s="283">
        <v>2647.61</v>
      </c>
      <c r="I71" s="283">
        <v>2647.61</v>
      </c>
      <c r="J71" s="283">
        <v>2647.61</v>
      </c>
      <c r="K71" s="283">
        <v>2647.61</v>
      </c>
      <c r="L71" s="283">
        <v>2647.61</v>
      </c>
      <c r="M71" s="283">
        <v>2647.61</v>
      </c>
      <c r="N71" s="283">
        <v>2647.61</v>
      </c>
      <c r="O71" s="283">
        <v>2647.61</v>
      </c>
      <c r="P71" s="283">
        <v>2647.61</v>
      </c>
      <c r="Q71" s="284">
        <f t="shared" si="0"/>
        <v>2647.61</v>
      </c>
    </row>
    <row r="72" spans="1:17" ht="15" hidden="1" outlineLevel="1">
      <c r="A72">
        <v>1380</v>
      </c>
      <c r="B72" t="s">
        <v>243</v>
      </c>
      <c r="C72">
        <v>41409.480000000003</v>
      </c>
      <c r="D72" s="283">
        <v>41409.480000000003</v>
      </c>
      <c r="E72" s="283">
        <v>41409.480000000003</v>
      </c>
      <c r="F72" s="283">
        <v>41409.480000000003</v>
      </c>
      <c r="G72" s="283">
        <v>41409.480000000003</v>
      </c>
      <c r="H72" s="283">
        <v>41409.480000000003</v>
      </c>
      <c r="I72" s="283">
        <v>41680.56</v>
      </c>
      <c r="J72" s="283">
        <v>42403.44</v>
      </c>
      <c r="K72" s="283">
        <v>42403.44</v>
      </c>
      <c r="L72" s="283">
        <v>42403.44</v>
      </c>
      <c r="M72" s="283">
        <v>42403.44</v>
      </c>
      <c r="N72" s="283">
        <v>42403.44</v>
      </c>
      <c r="O72" s="283">
        <v>42245.86</v>
      </c>
      <c r="P72" s="283">
        <v>42741.84</v>
      </c>
      <c r="Q72" s="284">
        <f t="shared" si="0"/>
        <v>41979.450769230767</v>
      </c>
    </row>
    <row r="73" spans="1:17" ht="15" hidden="1" outlineLevel="1">
      <c r="A73">
        <v>1395</v>
      </c>
      <c r="B73" t="s">
        <v>244</v>
      </c>
      <c r="C73">
        <v>6773.92</v>
      </c>
      <c r="D73" s="283">
        <v>6773.92</v>
      </c>
      <c r="E73" s="283">
        <v>6773.92</v>
      </c>
      <c r="F73" s="283">
        <v>6773.92</v>
      </c>
      <c r="G73" s="283">
        <v>6773.92</v>
      </c>
      <c r="H73" s="283">
        <v>6773.92</v>
      </c>
      <c r="I73" s="283">
        <v>6773.92</v>
      </c>
      <c r="J73" s="283">
        <v>6773.92</v>
      </c>
      <c r="K73" s="283">
        <v>7493.92</v>
      </c>
      <c r="L73" s="283">
        <v>7493.92</v>
      </c>
      <c r="M73" s="283">
        <v>7493.92</v>
      </c>
      <c r="N73" s="283">
        <v>7493.92</v>
      </c>
      <c r="O73" s="283">
        <v>7142.21</v>
      </c>
      <c r="P73" s="283">
        <v>7142.21</v>
      </c>
      <c r="Q73" s="284">
        <f t="shared" si="1" ref="Q73:Q115">AVERAGE(D73:P73)</f>
        <v>7052.1184615384618</v>
      </c>
    </row>
    <row r="74" spans="1:17" ht="15" hidden="1" outlineLevel="1">
      <c r="A74">
        <v>1400</v>
      </c>
      <c r="B74" t="s">
        <v>245</v>
      </c>
      <c r="C74">
        <v>106589.10</v>
      </c>
      <c r="D74" s="283">
        <v>106589.10</v>
      </c>
      <c r="E74" s="283">
        <v>106589.10</v>
      </c>
      <c r="F74" s="283">
        <v>106589.10</v>
      </c>
      <c r="G74" s="283">
        <v>106589.10</v>
      </c>
      <c r="H74" s="283">
        <v>106589.10</v>
      </c>
      <c r="I74" s="283">
        <v>106589.10</v>
      </c>
      <c r="J74" s="283">
        <v>106589.10</v>
      </c>
      <c r="K74" s="283">
        <v>106859.10</v>
      </c>
      <c r="L74" s="283">
        <v>106859.10</v>
      </c>
      <c r="M74" s="283">
        <v>107225.98</v>
      </c>
      <c r="N74" s="283">
        <v>107225.98</v>
      </c>
      <c r="O74" s="283">
        <v>107225.98</v>
      </c>
      <c r="P74" s="283">
        <v>107225.98</v>
      </c>
      <c r="Q74" s="284">
        <f t="shared" si="1"/>
        <v>106826.60153846153</v>
      </c>
    </row>
    <row r="75" spans="1:17" ht="15" hidden="1" outlineLevel="1">
      <c r="A75">
        <v>1420</v>
      </c>
      <c r="B75" t="s">
        <v>246</v>
      </c>
      <c r="D75" s="283"/>
      <c r="E75" s="283"/>
      <c r="F75" s="283"/>
      <c r="G75" s="283"/>
      <c r="H75" s="283"/>
      <c r="I75" s="283"/>
      <c r="J75" s="283">
        <v>1825.36</v>
      </c>
      <c r="K75" s="283">
        <v>1825.36</v>
      </c>
      <c r="L75" s="283">
        <v>1825.36</v>
      </c>
      <c r="M75" s="283">
        <v>1825.36</v>
      </c>
      <c r="N75" s="283">
        <v>1825.36</v>
      </c>
      <c r="O75" s="283">
        <v>1825.36</v>
      </c>
      <c r="P75" s="283">
        <v>1825.36</v>
      </c>
      <c r="Q75" s="284">
        <f t="shared" si="1"/>
        <v>1825.36</v>
      </c>
    </row>
    <row r="76" spans="1:17" ht="15" hidden="1" outlineLevel="1">
      <c r="A76">
        <v>1455</v>
      </c>
      <c r="B76" t="s">
        <v>247</v>
      </c>
      <c r="C76">
        <v>303.93</v>
      </c>
      <c r="D76" s="283">
        <v>303.93</v>
      </c>
      <c r="E76" s="283">
        <v>303.93</v>
      </c>
      <c r="F76" s="283">
        <v>303.93</v>
      </c>
      <c r="G76" s="283">
        <v>303.93</v>
      </c>
      <c r="H76" s="283">
        <v>303.93</v>
      </c>
      <c r="I76" s="283">
        <v>303.93</v>
      </c>
      <c r="J76" s="283">
        <v>303.93</v>
      </c>
      <c r="K76" s="283">
        <v>303.93</v>
      </c>
      <c r="L76" s="283">
        <v>303.93</v>
      </c>
      <c r="M76" s="283">
        <v>303.93</v>
      </c>
      <c r="N76" s="283">
        <v>303.93</v>
      </c>
      <c r="O76" s="283">
        <v>303.93</v>
      </c>
      <c r="P76" s="283">
        <v>303.93</v>
      </c>
      <c r="Q76" s="284">
        <f t="shared" si="1"/>
        <v>303.92999999999995</v>
      </c>
    </row>
    <row r="77" spans="1:17" ht="15" hidden="1" outlineLevel="1">
      <c r="A77">
        <v>1460</v>
      </c>
      <c r="B77" t="s">
        <v>248</v>
      </c>
      <c r="C77">
        <v>877.96</v>
      </c>
      <c r="D77" s="283">
        <v>877.96</v>
      </c>
      <c r="E77" s="283">
        <v>877.96</v>
      </c>
      <c r="F77" s="283">
        <v>877.96</v>
      </c>
      <c r="G77" s="283">
        <v>877.96</v>
      </c>
      <c r="H77" s="283">
        <v>877.96</v>
      </c>
      <c r="I77" s="283">
        <v>877.96</v>
      </c>
      <c r="J77" s="283">
        <v>877.96</v>
      </c>
      <c r="K77" s="283">
        <v>877.96</v>
      </c>
      <c r="L77" s="283">
        <v>877.96</v>
      </c>
      <c r="M77" s="283">
        <v>877.96</v>
      </c>
      <c r="N77" s="283">
        <v>877.96</v>
      </c>
      <c r="O77" s="283">
        <v>877.96</v>
      </c>
      <c r="P77" s="283">
        <v>877.96</v>
      </c>
      <c r="Q77" s="284">
        <f t="shared" si="1"/>
        <v>877.95999999999992</v>
      </c>
    </row>
    <row r="78" spans="1:17" ht="15" hidden="1" outlineLevel="1">
      <c r="A78">
        <v>1480</v>
      </c>
      <c r="B78" t="s">
        <v>249</v>
      </c>
      <c r="C78">
        <v>293.73</v>
      </c>
      <c r="D78" s="283">
        <v>293.73</v>
      </c>
      <c r="E78" s="283">
        <v>293.73</v>
      </c>
      <c r="F78" s="283">
        <v>293.73</v>
      </c>
      <c r="G78" s="283">
        <v>293.73</v>
      </c>
      <c r="H78" s="283">
        <v>293.73</v>
      </c>
      <c r="I78" s="283">
        <v>293.73</v>
      </c>
      <c r="J78" s="283">
        <v>293.73</v>
      </c>
      <c r="K78" s="283">
        <v>293.73</v>
      </c>
      <c r="L78" s="283">
        <v>293.73</v>
      </c>
      <c r="M78" s="283">
        <v>293.73</v>
      </c>
      <c r="N78" s="283">
        <v>293.73</v>
      </c>
      <c r="O78" s="283">
        <v>293.73</v>
      </c>
      <c r="P78" s="283">
        <v>293.73</v>
      </c>
      <c r="Q78" s="284">
        <f t="shared" si="1"/>
        <v>293.73</v>
      </c>
    </row>
    <row r="79" spans="1:17" ht="15" hidden="1" outlineLevel="1">
      <c r="A79">
        <v>1490</v>
      </c>
      <c r="B79" t="s">
        <v>250</v>
      </c>
      <c r="C79">
        <v>36.119999999999997</v>
      </c>
      <c r="D79" s="283">
        <v>36.119999999999997</v>
      </c>
      <c r="E79" s="283">
        <v>36.119999999999997</v>
      </c>
      <c r="F79" s="283">
        <v>36.119999999999997</v>
      </c>
      <c r="G79" s="283">
        <v>36.119999999999997</v>
      </c>
      <c r="H79" s="283">
        <v>36.119999999999997</v>
      </c>
      <c r="I79" s="283">
        <v>36.119999999999997</v>
      </c>
      <c r="J79" s="283">
        <v>36.119999999999997</v>
      </c>
      <c r="K79" s="283">
        <v>36.119999999999997</v>
      </c>
      <c r="L79" s="283">
        <v>36.119999999999997</v>
      </c>
      <c r="M79" s="283">
        <v>36.119999999999997</v>
      </c>
      <c r="N79" s="283">
        <v>36.119999999999997</v>
      </c>
      <c r="O79" s="283">
        <v>36.119999999999997</v>
      </c>
      <c r="P79" s="283">
        <v>36.119999999999997</v>
      </c>
      <c r="Q79" s="284">
        <f t="shared" si="1"/>
        <v>36.119999999999997</v>
      </c>
    </row>
    <row r="80" spans="1:17" ht="15" hidden="1" outlineLevel="1">
      <c r="A80">
        <v>1500</v>
      </c>
      <c r="B80" t="s">
        <v>251</v>
      </c>
      <c r="C80">
        <v>1000</v>
      </c>
      <c r="D80" s="283">
        <v>1000</v>
      </c>
      <c r="E80" s="283">
        <v>1000</v>
      </c>
      <c r="F80" s="283">
        <v>1000</v>
      </c>
      <c r="G80" s="283">
        <v>1000</v>
      </c>
      <c r="H80" s="283">
        <v>1000</v>
      </c>
      <c r="I80" s="283">
        <v>1000</v>
      </c>
      <c r="J80" s="283">
        <v>1000</v>
      </c>
      <c r="K80" s="283">
        <v>1000</v>
      </c>
      <c r="L80" s="283">
        <v>1000</v>
      </c>
      <c r="M80" s="283">
        <v>1000</v>
      </c>
      <c r="N80" s="283">
        <v>1000</v>
      </c>
      <c r="O80" s="283">
        <v>1000</v>
      </c>
      <c r="P80" s="283">
        <v>1000</v>
      </c>
      <c r="Q80" s="284">
        <f t="shared" si="1"/>
        <v>1000</v>
      </c>
    </row>
    <row r="81" spans="1:17" ht="15" hidden="1" outlineLevel="1">
      <c r="A81" t="s">
        <v>282</v>
      </c>
      <c r="B81">
        <v>110</v>
      </c>
      <c r="C81">
        <v>257740.17</v>
      </c>
      <c r="D81" s="283">
        <v>257740.17</v>
      </c>
      <c r="E81" s="283">
        <v>257740.17</v>
      </c>
      <c r="F81" s="283">
        <v>257740.17</v>
      </c>
      <c r="G81" s="283">
        <v>257740.17</v>
      </c>
      <c r="H81" s="283">
        <v>257740.17</v>
      </c>
      <c r="I81" s="283">
        <v>258011.25</v>
      </c>
      <c r="J81" s="283">
        <v>260559.49</v>
      </c>
      <c r="K81" s="283">
        <v>261549.49</v>
      </c>
      <c r="L81" s="283">
        <v>261549.49</v>
      </c>
      <c r="M81" s="283">
        <v>261916.37</v>
      </c>
      <c r="N81" s="283">
        <v>262187.45</v>
      </c>
      <c r="O81" s="283">
        <v>263246.15999999997</v>
      </c>
      <c r="P81" s="283">
        <v>263742.14</v>
      </c>
      <c r="Q81" s="284">
        <f t="shared" si="1"/>
        <v>260112.51461538469</v>
      </c>
    </row>
    <row r="82" spans="1:17" ht="15" hidden="1" outlineLevel="1">
      <c r="A82">
        <v>1535</v>
      </c>
      <c r="B82" t="s">
        <v>253</v>
      </c>
      <c r="C82">
        <v>39.36</v>
      </c>
      <c r="D82" s="283">
        <v>39.36</v>
      </c>
      <c r="E82" s="283">
        <v>39.36</v>
      </c>
      <c r="F82" s="283">
        <v>39.36</v>
      </c>
      <c r="G82" s="283">
        <v>39.36</v>
      </c>
      <c r="H82" s="283">
        <v>39.36</v>
      </c>
      <c r="I82" s="283">
        <v>39.36</v>
      </c>
      <c r="J82" s="283">
        <v>39.36</v>
      </c>
      <c r="K82" s="283">
        <v>39.36</v>
      </c>
      <c r="L82" s="283">
        <v>39.36</v>
      </c>
      <c r="M82" s="283">
        <v>39.36</v>
      </c>
      <c r="N82" s="283">
        <v>39.36</v>
      </c>
      <c r="O82" s="283">
        <v>39.36</v>
      </c>
      <c r="P82" s="283">
        <v>39.36</v>
      </c>
      <c r="Q82" s="284">
        <f t="shared" si="1"/>
        <v>39.360000000000007</v>
      </c>
    </row>
    <row r="83" spans="1:17" ht="15" hidden="1" outlineLevel="1">
      <c r="A83">
        <v>1540</v>
      </c>
      <c r="B83" t="s">
        <v>254</v>
      </c>
      <c r="C83">
        <v>1168.28</v>
      </c>
      <c r="D83" s="283">
        <v>1168.28</v>
      </c>
      <c r="E83" s="283">
        <v>1168.28</v>
      </c>
      <c r="F83" s="283">
        <v>1168.28</v>
      </c>
      <c r="G83" s="283">
        <v>1557.80</v>
      </c>
      <c r="H83" s="283">
        <v>1557.80</v>
      </c>
      <c r="I83" s="283">
        <v>1557.80</v>
      </c>
      <c r="J83" s="283">
        <v>1874.06</v>
      </c>
      <c r="K83" s="283">
        <v>1874.06</v>
      </c>
      <c r="L83" s="283">
        <v>1874.06</v>
      </c>
      <c r="M83" s="283">
        <v>1874.06</v>
      </c>
      <c r="N83" s="283">
        <v>1874.06</v>
      </c>
      <c r="O83" s="283">
        <v>1874.06</v>
      </c>
      <c r="P83" s="283">
        <v>1874.06</v>
      </c>
      <c r="Q83" s="284">
        <f t="shared" si="1"/>
        <v>1638.2046153846156</v>
      </c>
    </row>
    <row r="84" spans="1:17" ht="15" hidden="1" outlineLevel="1">
      <c r="A84" t="s">
        <v>282</v>
      </c>
      <c r="B84">
        <v>120</v>
      </c>
      <c r="C84">
        <v>1207.6400000000001</v>
      </c>
      <c r="D84" s="283">
        <v>1207.6400000000001</v>
      </c>
      <c r="E84" s="283">
        <v>1207.6400000000001</v>
      </c>
      <c r="F84" s="283">
        <v>1207.6400000000001</v>
      </c>
      <c r="G84" s="283">
        <v>1597.16</v>
      </c>
      <c r="H84" s="283">
        <v>1597.16</v>
      </c>
      <c r="I84" s="283">
        <v>1597.16</v>
      </c>
      <c r="J84" s="283">
        <v>1913.42</v>
      </c>
      <c r="K84" s="283">
        <v>1913.42</v>
      </c>
      <c r="L84" s="283">
        <v>1913.42</v>
      </c>
      <c r="M84" s="283">
        <v>1913.42</v>
      </c>
      <c r="N84" s="283">
        <v>1913.42</v>
      </c>
      <c r="O84" s="283">
        <v>1913.42</v>
      </c>
      <c r="P84" s="283">
        <v>1913.42</v>
      </c>
      <c r="Q84" s="284">
        <f t="shared" si="1"/>
        <v>1677.5646153846151</v>
      </c>
    </row>
    <row r="85" spans="1:17" ht="15" hidden="1" outlineLevel="1">
      <c r="A85">
        <v>3000</v>
      </c>
      <c r="B85" t="s">
        <v>255</v>
      </c>
      <c r="C85">
        <v>2500</v>
      </c>
      <c r="D85" s="283">
        <v>2500</v>
      </c>
      <c r="E85" s="283">
        <v>2500</v>
      </c>
      <c r="F85" s="283">
        <v>2500</v>
      </c>
      <c r="G85" s="283">
        <v>2500</v>
      </c>
      <c r="H85" s="283">
        <v>2500</v>
      </c>
      <c r="I85" s="283">
        <v>2500</v>
      </c>
      <c r="J85" s="283">
        <v>2500</v>
      </c>
      <c r="K85" s="283">
        <v>2500</v>
      </c>
      <c r="L85" s="283">
        <v>2500</v>
      </c>
      <c r="M85" s="283">
        <v>2500</v>
      </c>
      <c r="N85" s="283">
        <v>2500</v>
      </c>
      <c r="O85" s="283">
        <v>2500</v>
      </c>
      <c r="P85" s="283">
        <v>2500</v>
      </c>
      <c r="Q85" s="284">
        <f t="shared" si="1"/>
        <v>2500</v>
      </c>
    </row>
    <row r="86" spans="1:17" ht="15" hidden="1" outlineLevel="1">
      <c r="A86" t="s">
        <v>282</v>
      </c>
      <c r="B86">
        <v>170</v>
      </c>
      <c r="C86">
        <v>2500</v>
      </c>
      <c r="D86" s="283">
        <v>2500</v>
      </c>
      <c r="E86" s="283">
        <v>2500</v>
      </c>
      <c r="F86" s="283">
        <v>2500</v>
      </c>
      <c r="G86" s="283">
        <v>2500</v>
      </c>
      <c r="H86" s="283">
        <v>2500</v>
      </c>
      <c r="I86" s="283">
        <v>2500</v>
      </c>
      <c r="J86" s="283">
        <v>2500</v>
      </c>
      <c r="K86" s="283">
        <v>2500</v>
      </c>
      <c r="L86" s="283">
        <v>2500</v>
      </c>
      <c r="M86" s="283">
        <v>2500</v>
      </c>
      <c r="N86" s="283">
        <v>2500</v>
      </c>
      <c r="O86" s="283">
        <v>2500</v>
      </c>
      <c r="P86" s="283">
        <v>2500</v>
      </c>
      <c r="Q86" s="284">
        <f t="shared" si="1"/>
        <v>2500</v>
      </c>
    </row>
    <row r="87" spans="1:17" ht="15" collapsed="1">
      <c r="A87" s="282">
        <v>3705</v>
      </c>
      <c r="B87" s="282" t="s">
        <v>256</v>
      </c>
      <c r="C87">
        <v>-7200</v>
      </c>
      <c r="D87" s="283">
        <v>-7200</v>
      </c>
      <c r="E87" s="283">
        <v>-7200</v>
      </c>
      <c r="F87" s="283">
        <v>-7200</v>
      </c>
      <c r="G87" s="283">
        <v>-7200</v>
      </c>
      <c r="H87" s="283">
        <v>-7200</v>
      </c>
      <c r="I87" s="283">
        <v>-7200</v>
      </c>
      <c r="J87" s="283">
        <v>-7200</v>
      </c>
      <c r="K87" s="283">
        <v>-7200</v>
      </c>
      <c r="L87" s="283">
        <v>-7200</v>
      </c>
      <c r="M87" s="283">
        <v>-7200</v>
      </c>
      <c r="N87" s="283">
        <v>-7200</v>
      </c>
      <c r="O87" s="283">
        <v>-7200</v>
      </c>
      <c r="P87" s="283">
        <v>-7200</v>
      </c>
      <c r="Q87" s="284">
        <f t="shared" si="1"/>
        <v>-7200</v>
      </c>
    </row>
    <row r="88" spans="1:17" ht="15" hidden="1" outlineLevel="1">
      <c r="A88" t="s">
        <v>282</v>
      </c>
      <c r="B88">
        <v>185</v>
      </c>
      <c r="C88">
        <v>-7200</v>
      </c>
      <c r="D88" s="283">
        <v>-7200</v>
      </c>
      <c r="E88" s="283">
        <v>-7200</v>
      </c>
      <c r="F88" s="283">
        <v>-7200</v>
      </c>
      <c r="G88" s="283">
        <v>-7200</v>
      </c>
      <c r="H88" s="283">
        <v>-7200</v>
      </c>
      <c r="I88" s="283">
        <v>-7200</v>
      </c>
      <c r="J88" s="283">
        <v>-7200</v>
      </c>
      <c r="K88" s="283">
        <v>-7200</v>
      </c>
      <c r="L88" s="283">
        <v>-7200</v>
      </c>
      <c r="M88" s="283">
        <v>-7200</v>
      </c>
      <c r="N88" s="283">
        <v>-7200</v>
      </c>
      <c r="O88" s="283">
        <v>-7200</v>
      </c>
      <c r="P88" s="283">
        <v>-7200</v>
      </c>
      <c r="Q88" s="284">
        <f t="shared" si="1"/>
        <v>-7200</v>
      </c>
    </row>
    <row r="89" spans="1:17" ht="15" hidden="1" outlineLevel="1">
      <c r="A89">
        <v>2030</v>
      </c>
      <c r="B89" t="s">
        <v>257</v>
      </c>
      <c r="C89">
        <v>0.20</v>
      </c>
      <c r="D89" s="283">
        <v>0.20</v>
      </c>
      <c r="E89" s="283">
        <v>0.20</v>
      </c>
      <c r="F89" s="283">
        <v>0.20</v>
      </c>
      <c r="G89" s="283">
        <v>0.20</v>
      </c>
      <c r="H89" s="283">
        <v>0.20</v>
      </c>
      <c r="I89" s="283">
        <v>0.20</v>
      </c>
      <c r="J89" s="283">
        <v>0.20</v>
      </c>
      <c r="K89" s="283">
        <v>0.20</v>
      </c>
      <c r="L89" s="283">
        <v>0.20</v>
      </c>
      <c r="M89" s="283">
        <v>0.20</v>
      </c>
      <c r="N89" s="283">
        <v>0.20</v>
      </c>
      <c r="O89" s="283">
        <v>0.20</v>
      </c>
      <c r="P89" s="283">
        <v>0.20</v>
      </c>
      <c r="Q89" s="284">
        <f t="shared" si="1"/>
        <v>0.20</v>
      </c>
    </row>
    <row r="90" spans="1:17" ht="15" hidden="1" outlineLevel="1">
      <c r="A90">
        <v>2055</v>
      </c>
      <c r="B90" t="s">
        <v>258</v>
      </c>
      <c r="C90">
        <v>2313.61</v>
      </c>
      <c r="D90" s="283">
        <v>2313.61</v>
      </c>
      <c r="E90" s="283">
        <v>2314.61</v>
      </c>
      <c r="F90" s="283">
        <v>2315.61</v>
      </c>
      <c r="G90" s="283">
        <v>2316.61</v>
      </c>
      <c r="H90" s="283">
        <v>2317.61</v>
      </c>
      <c r="I90" s="283">
        <v>2318.61</v>
      </c>
      <c r="J90" s="283">
        <v>2319.61</v>
      </c>
      <c r="K90" s="283">
        <v>2320.61</v>
      </c>
      <c r="L90" s="283">
        <v>2321.61</v>
      </c>
      <c r="M90" s="283">
        <v>2322.61</v>
      </c>
      <c r="N90" s="283">
        <v>2323.61</v>
      </c>
      <c r="O90" s="283">
        <v>2324.61</v>
      </c>
      <c r="P90" s="283">
        <v>2325.61</v>
      </c>
      <c r="Q90" s="284">
        <f t="shared" si="1"/>
        <v>2319.61</v>
      </c>
    </row>
    <row r="91" spans="1:17" ht="15" hidden="1" outlineLevel="1">
      <c r="A91">
        <v>2060</v>
      </c>
      <c r="B91" t="s">
        <v>259</v>
      </c>
      <c r="C91">
        <v>881.83</v>
      </c>
      <c r="D91" s="283">
        <v>881.83</v>
      </c>
      <c r="E91" s="283">
        <v>864.04</v>
      </c>
      <c r="F91" s="283">
        <v>846.25</v>
      </c>
      <c r="G91" s="283">
        <v>828.46</v>
      </c>
      <c r="H91" s="283">
        <v>810.67</v>
      </c>
      <c r="I91" s="283">
        <v>792.88</v>
      </c>
      <c r="J91" s="283">
        <v>775.09</v>
      </c>
      <c r="K91" s="283">
        <v>757.30</v>
      </c>
      <c r="L91" s="283">
        <v>739.51</v>
      </c>
      <c r="M91" s="283">
        <v>721.72</v>
      </c>
      <c r="N91" s="283">
        <v>703.93</v>
      </c>
      <c r="O91" s="283">
        <v>682.04</v>
      </c>
      <c r="P91" s="283">
        <v>660.15</v>
      </c>
      <c r="Q91" s="284">
        <f t="shared" si="1"/>
        <v>774.1438461538462</v>
      </c>
    </row>
    <row r="92" spans="1:17" ht="15" hidden="1" outlineLevel="1">
      <c r="A92">
        <v>2075</v>
      </c>
      <c r="B92" t="s">
        <v>260</v>
      </c>
      <c r="C92">
        <v>-498.69</v>
      </c>
      <c r="D92" s="283">
        <v>-498.69</v>
      </c>
      <c r="E92" s="283">
        <v>-510.18</v>
      </c>
      <c r="F92" s="283">
        <v>-521.66999999999996</v>
      </c>
      <c r="G92" s="283">
        <v>-533.16</v>
      </c>
      <c r="H92" s="283">
        <v>-544.65</v>
      </c>
      <c r="I92" s="283">
        <v>-556.14</v>
      </c>
      <c r="J92" s="283">
        <v>-567.63</v>
      </c>
      <c r="K92" s="283">
        <v>-579.12</v>
      </c>
      <c r="L92" s="283">
        <v>-590.61</v>
      </c>
      <c r="M92" s="283">
        <v>-602.10</v>
      </c>
      <c r="N92" s="283">
        <v>-614.29999999999995</v>
      </c>
      <c r="O92" s="283">
        <v>-626.50</v>
      </c>
      <c r="P92" s="283">
        <v>-638.70000000000005</v>
      </c>
      <c r="Q92" s="284">
        <f t="shared" si="1"/>
        <v>-567.95769230769224</v>
      </c>
    </row>
    <row r="93" spans="1:17" ht="15" hidden="1" outlineLevel="1">
      <c r="A93">
        <v>2105</v>
      </c>
      <c r="B93" t="s">
        <v>261</v>
      </c>
      <c r="C93">
        <v>394.31</v>
      </c>
      <c r="D93" s="283">
        <v>394.31</v>
      </c>
      <c r="E93" s="283">
        <v>390.89</v>
      </c>
      <c r="F93" s="283">
        <v>387.47</v>
      </c>
      <c r="G93" s="283">
        <v>384.05</v>
      </c>
      <c r="H93" s="283">
        <v>380.63</v>
      </c>
      <c r="I93" s="283">
        <v>377.21</v>
      </c>
      <c r="J93" s="283">
        <v>373.79</v>
      </c>
      <c r="K93" s="283">
        <v>370.37</v>
      </c>
      <c r="L93" s="283">
        <v>366.95</v>
      </c>
      <c r="M93" s="283">
        <v>363.53</v>
      </c>
      <c r="N93" s="283">
        <v>360.11</v>
      </c>
      <c r="O93" s="283">
        <v>356.69</v>
      </c>
      <c r="P93" s="283">
        <v>353.27</v>
      </c>
      <c r="Q93" s="284">
        <f t="shared" si="1"/>
        <v>373.78999999999991</v>
      </c>
    </row>
    <row r="94" spans="1:17" ht="15" hidden="1" outlineLevel="1">
      <c r="A94">
        <v>2110</v>
      </c>
      <c r="B94" t="s">
        <v>262</v>
      </c>
      <c r="C94">
        <v>-40853.79</v>
      </c>
      <c r="D94" s="283">
        <v>-40853.79</v>
      </c>
      <c r="E94" s="283">
        <v>-40964.08</v>
      </c>
      <c r="F94" s="283">
        <v>-41074.370000000003</v>
      </c>
      <c r="G94" s="283">
        <v>-41184.660000000003</v>
      </c>
      <c r="H94" s="283">
        <v>-41294.949999999997</v>
      </c>
      <c r="I94" s="283">
        <v>-41405.24</v>
      </c>
      <c r="J94" s="283">
        <v>-41515.53</v>
      </c>
      <c r="K94" s="283">
        <v>-41625.82</v>
      </c>
      <c r="L94" s="283">
        <v>-41736.11</v>
      </c>
      <c r="M94" s="283">
        <v>-41846.40</v>
      </c>
      <c r="N94" s="283">
        <v>-41956.69</v>
      </c>
      <c r="O94" s="283">
        <v>-42066.97</v>
      </c>
      <c r="P94" s="283">
        <v>-42177.25</v>
      </c>
      <c r="Q94" s="284">
        <f t="shared" si="1"/>
        <v>-41515.527692307689</v>
      </c>
    </row>
    <row r="95" spans="1:17" ht="15" hidden="1" outlineLevel="1">
      <c r="A95">
        <v>2113</v>
      </c>
      <c r="B95" t="s">
        <v>263</v>
      </c>
      <c r="C95">
        <v>-945.36</v>
      </c>
      <c r="D95" s="283">
        <v>-945.36</v>
      </c>
      <c r="E95" s="283">
        <v>-980.80</v>
      </c>
      <c r="F95" s="283">
        <v>-1016.24</v>
      </c>
      <c r="G95" s="283">
        <v>-1051.68</v>
      </c>
      <c r="H95" s="283">
        <v>-1087.1199999999999</v>
      </c>
      <c r="I95" s="283">
        <v>-1122.56</v>
      </c>
      <c r="J95" s="283">
        <v>-1158</v>
      </c>
      <c r="K95" s="283">
        <v>-1193.44</v>
      </c>
      <c r="L95" s="283">
        <v>-1228.8800000000001</v>
      </c>
      <c r="M95" s="283">
        <v>-1264.32</v>
      </c>
      <c r="N95" s="283">
        <v>-1299.76</v>
      </c>
      <c r="O95" s="283">
        <v>-1335.20</v>
      </c>
      <c r="P95" s="283">
        <v>-1370.64</v>
      </c>
      <c r="Q95" s="284">
        <f t="shared" si="1"/>
        <v>-1158.0000000000002</v>
      </c>
    </row>
    <row r="96" spans="1:17" ht="15" hidden="1" outlineLevel="1">
      <c r="A96">
        <v>2120</v>
      </c>
      <c r="B96" t="s">
        <v>264</v>
      </c>
      <c r="C96">
        <v>1479.49</v>
      </c>
      <c r="D96" s="283">
        <v>1479.49</v>
      </c>
      <c r="E96" s="283">
        <v>1474.31</v>
      </c>
      <c r="F96" s="283">
        <v>1469.13</v>
      </c>
      <c r="G96" s="283">
        <v>1463.95</v>
      </c>
      <c r="H96" s="283">
        <v>1458.77</v>
      </c>
      <c r="I96" s="283">
        <v>1453.59</v>
      </c>
      <c r="J96" s="283">
        <v>1448.41</v>
      </c>
      <c r="K96" s="283">
        <v>1443.23</v>
      </c>
      <c r="L96" s="283">
        <v>1438.05</v>
      </c>
      <c r="M96" s="283">
        <v>1432.87</v>
      </c>
      <c r="N96" s="283">
        <v>1427.69</v>
      </c>
      <c r="O96" s="283">
        <v>1422.51</v>
      </c>
      <c r="P96" s="283">
        <v>1417.33</v>
      </c>
      <c r="Q96" s="284">
        <f t="shared" si="1"/>
        <v>1448.41</v>
      </c>
    </row>
    <row r="97" spans="1:17" ht="15" hidden="1" outlineLevel="1">
      <c r="A97" t="s">
        <v>218</v>
      </c>
      <c r="B97" t="s">
        <v>219</v>
      </c>
      <c r="D97" s="283" t="s">
        <v>281</v>
      </c>
      <c r="E97" s="283" t="s">
        <v>221</v>
      </c>
      <c r="F97" s="283" t="s">
        <v>222</v>
      </c>
      <c r="G97" s="283" t="s">
        <v>223</v>
      </c>
      <c r="H97" s="283" t="s">
        <v>224</v>
      </c>
      <c r="I97" s="283" t="s">
        <v>225</v>
      </c>
      <c r="J97" s="283" t="s">
        <v>226</v>
      </c>
      <c r="K97" s="283" t="s">
        <v>227</v>
      </c>
      <c r="L97" s="283" t="s">
        <v>228</v>
      </c>
      <c r="M97" s="283" t="s">
        <v>229</v>
      </c>
      <c r="N97" s="283" t="s">
        <v>230</v>
      </c>
      <c r="O97" s="283" t="s">
        <v>231</v>
      </c>
      <c r="P97" s="283" t="s">
        <v>220</v>
      </c>
      <c r="Q97" s="284" t="e">
        <f t="shared" si="1"/>
        <v>#DIV/0!</v>
      </c>
    </row>
    <row r="98" spans="1:17" ht="15" hidden="1" outlineLevel="1">
      <c r="A98">
        <v>2125</v>
      </c>
      <c r="B98" t="s">
        <v>265</v>
      </c>
      <c r="C98">
        <v>-1479.95</v>
      </c>
      <c r="D98" s="283">
        <v>-1479.95</v>
      </c>
      <c r="E98" s="283">
        <v>-1524.08</v>
      </c>
      <c r="F98" s="283">
        <v>-1568.21</v>
      </c>
      <c r="G98" s="283">
        <v>-1612.34</v>
      </c>
      <c r="H98" s="283">
        <v>-1656.47</v>
      </c>
      <c r="I98" s="283">
        <v>-1700.60</v>
      </c>
      <c r="J98" s="283">
        <v>-1744.73</v>
      </c>
      <c r="K98" s="283">
        <v>-1788.86</v>
      </c>
      <c r="L98" s="283">
        <v>-1832.99</v>
      </c>
      <c r="M98" s="283">
        <v>-1877.12</v>
      </c>
      <c r="N98" s="283">
        <v>-1921.25</v>
      </c>
      <c r="O98" s="283">
        <v>-1965.38</v>
      </c>
      <c r="P98" s="283">
        <v>-2009.51</v>
      </c>
      <c r="Q98" s="284">
        <f t="shared" si="1"/>
        <v>-1744.7299999999998</v>
      </c>
    </row>
    <row r="99" spans="1:17" ht="15" hidden="1" outlineLevel="1">
      <c r="A99">
        <v>2140</v>
      </c>
      <c r="B99" t="s">
        <v>266</v>
      </c>
      <c r="C99">
        <v>4105.92</v>
      </c>
      <c r="D99" s="283">
        <v>4105.92</v>
      </c>
      <c r="E99" s="283">
        <v>3914.21</v>
      </c>
      <c r="F99" s="283">
        <v>3722.50</v>
      </c>
      <c r="G99" s="283">
        <v>3530.79</v>
      </c>
      <c r="H99" s="283">
        <v>3339.08</v>
      </c>
      <c r="I99" s="283">
        <v>3146.11</v>
      </c>
      <c r="J99" s="283">
        <v>2949.80</v>
      </c>
      <c r="K99" s="283">
        <v>2753.49</v>
      </c>
      <c r="L99" s="283">
        <v>2557.1799999999998</v>
      </c>
      <c r="M99" s="283">
        <v>2360.87</v>
      </c>
      <c r="N99" s="283">
        <v>2164.56</v>
      </c>
      <c r="O99" s="283">
        <v>2124.44</v>
      </c>
      <c r="P99" s="283">
        <v>2237.14</v>
      </c>
      <c r="Q99" s="284">
        <f t="shared" si="1"/>
        <v>2992.7761538461541</v>
      </c>
    </row>
    <row r="100" spans="1:17" ht="15" hidden="1" outlineLevel="1">
      <c r="A100">
        <v>2155</v>
      </c>
      <c r="B100" t="s">
        <v>267</v>
      </c>
      <c r="C100">
        <v>-7132.42</v>
      </c>
      <c r="D100" s="283">
        <v>-7132.42</v>
      </c>
      <c r="E100" s="283">
        <v>-7163.78</v>
      </c>
      <c r="F100" s="283">
        <v>-7195.14</v>
      </c>
      <c r="G100" s="283">
        <v>-7226.50</v>
      </c>
      <c r="H100" s="283">
        <v>-7257.86</v>
      </c>
      <c r="I100" s="283">
        <v>-7289.22</v>
      </c>
      <c r="J100" s="283">
        <v>-7320.58</v>
      </c>
      <c r="K100" s="283">
        <v>-7355.27</v>
      </c>
      <c r="L100" s="283">
        <v>-7389.96</v>
      </c>
      <c r="M100" s="283">
        <v>-7424.65</v>
      </c>
      <c r="N100" s="283">
        <v>-7459.34</v>
      </c>
      <c r="O100" s="283">
        <v>-7142.32</v>
      </c>
      <c r="P100" s="283">
        <v>-7175.39</v>
      </c>
      <c r="Q100" s="284">
        <f t="shared" si="1"/>
        <v>-7271.7253846153853</v>
      </c>
    </row>
    <row r="101" spans="1:17" ht="15" hidden="1" outlineLevel="1">
      <c r="A101">
        <v>2160</v>
      </c>
      <c r="B101" t="s">
        <v>268</v>
      </c>
      <c r="C101">
        <v>-75877.990000000005</v>
      </c>
      <c r="D101" s="283">
        <v>-75877.990000000005</v>
      </c>
      <c r="E101" s="283">
        <v>-76371.460000000006</v>
      </c>
      <c r="F101" s="283">
        <v>-76864.929999999993</v>
      </c>
      <c r="G101" s="283">
        <v>-77358.399999999994</v>
      </c>
      <c r="H101" s="283">
        <v>-77851.87</v>
      </c>
      <c r="I101" s="283">
        <v>-78345.34</v>
      </c>
      <c r="J101" s="283">
        <v>-78838.81</v>
      </c>
      <c r="K101" s="283">
        <v>-79333.53</v>
      </c>
      <c r="L101" s="283">
        <v>-79828.25</v>
      </c>
      <c r="M101" s="283">
        <v>-80324.66</v>
      </c>
      <c r="N101" s="283">
        <v>-80821.070000000007</v>
      </c>
      <c r="O101" s="283">
        <v>-81317.490000000005</v>
      </c>
      <c r="P101" s="283">
        <v>-81813.91</v>
      </c>
      <c r="Q101" s="284">
        <f t="shared" si="1"/>
        <v>-78842.131538461545</v>
      </c>
    </row>
    <row r="102" spans="1:17" ht="15" hidden="1" outlineLevel="1">
      <c r="A102">
        <v>2180</v>
      </c>
      <c r="B102" t="s">
        <v>269</v>
      </c>
      <c r="D102" s="283"/>
      <c r="E102" s="283"/>
      <c r="F102" s="283"/>
      <c r="G102" s="283"/>
      <c r="H102" s="283"/>
      <c r="I102" s="283"/>
      <c r="J102" s="283">
        <v>1210.18</v>
      </c>
      <c r="K102" s="283">
        <v>1205.1099999999999</v>
      </c>
      <c r="L102" s="283">
        <v>1200.04</v>
      </c>
      <c r="M102" s="283">
        <v>1194.97</v>
      </c>
      <c r="N102" s="283">
        <v>1189.9000000000001</v>
      </c>
      <c r="O102" s="283">
        <v>1184.83</v>
      </c>
      <c r="P102" s="283">
        <v>1179.76</v>
      </c>
      <c r="Q102" s="284">
        <f t="shared" si="1"/>
        <v>1194.97</v>
      </c>
    </row>
    <row r="103" spans="1:17" ht="15" hidden="1" outlineLevel="1">
      <c r="A103">
        <v>2215</v>
      </c>
      <c r="B103" t="s">
        <v>270</v>
      </c>
      <c r="C103">
        <v>-8.19</v>
      </c>
      <c r="D103" s="283">
        <v>-8.19</v>
      </c>
      <c r="E103" s="283">
        <v>-8.82</v>
      </c>
      <c r="F103" s="283">
        <v>-9.4499999999999993</v>
      </c>
      <c r="G103" s="283">
        <v>-10.08</v>
      </c>
      <c r="H103" s="283">
        <v>-10.71</v>
      </c>
      <c r="I103" s="283">
        <v>-11.34</v>
      </c>
      <c r="J103" s="283">
        <v>-11.97</v>
      </c>
      <c r="K103" s="283">
        <v>-12.60</v>
      </c>
      <c r="L103" s="283">
        <v>-13.23</v>
      </c>
      <c r="M103" s="283">
        <v>-13.86</v>
      </c>
      <c r="N103" s="283">
        <v>-14.49</v>
      </c>
      <c r="O103" s="283">
        <v>-15.12</v>
      </c>
      <c r="P103" s="283">
        <v>-15.75</v>
      </c>
      <c r="Q103" s="284">
        <f t="shared" si="1"/>
        <v>-11.97</v>
      </c>
    </row>
    <row r="104" spans="1:17" ht="15" hidden="1" outlineLevel="1">
      <c r="A104">
        <v>2220</v>
      </c>
      <c r="B104" t="s">
        <v>271</v>
      </c>
      <c r="C104">
        <v>-324.27999999999997</v>
      </c>
      <c r="D104" s="283">
        <v>-324.27999999999997</v>
      </c>
      <c r="E104" s="283">
        <v>-329.16</v>
      </c>
      <c r="F104" s="283">
        <v>-334.04</v>
      </c>
      <c r="G104" s="283">
        <v>-338.92</v>
      </c>
      <c r="H104" s="283">
        <v>-343.80</v>
      </c>
      <c r="I104" s="283">
        <v>-348.68</v>
      </c>
      <c r="J104" s="283">
        <v>-353.56</v>
      </c>
      <c r="K104" s="283">
        <v>-358.44</v>
      </c>
      <c r="L104" s="283">
        <v>-363.32</v>
      </c>
      <c r="M104" s="283">
        <v>-368.20</v>
      </c>
      <c r="N104" s="283">
        <v>-373.08</v>
      </c>
      <c r="O104" s="283">
        <v>-377.96</v>
      </c>
      <c r="P104" s="283">
        <v>-382.84</v>
      </c>
      <c r="Q104" s="284">
        <f t="shared" si="1"/>
        <v>-353.56</v>
      </c>
    </row>
    <row r="105" spans="1:17" ht="15" hidden="1" outlineLevel="1">
      <c r="A105">
        <v>2240</v>
      </c>
      <c r="B105" t="s">
        <v>272</v>
      </c>
      <c r="C105">
        <v>1527.71</v>
      </c>
      <c r="D105" s="283">
        <v>1527.71</v>
      </c>
      <c r="E105" s="283">
        <v>1525.67</v>
      </c>
      <c r="F105" s="283">
        <v>1523.63</v>
      </c>
      <c r="G105" s="283">
        <v>1521.59</v>
      </c>
      <c r="H105" s="283">
        <v>1519.55</v>
      </c>
      <c r="I105" s="283">
        <v>1517.51</v>
      </c>
      <c r="J105" s="283">
        <v>1515.47</v>
      </c>
      <c r="K105" s="283">
        <v>1513.43</v>
      </c>
      <c r="L105" s="283">
        <v>1511.39</v>
      </c>
      <c r="M105" s="283">
        <v>1509.35</v>
      </c>
      <c r="N105" s="283">
        <v>1507.31</v>
      </c>
      <c r="O105" s="283">
        <v>1505.27</v>
      </c>
      <c r="P105" s="283">
        <v>1503.23</v>
      </c>
      <c r="Q105" s="284">
        <f t="shared" si="1"/>
        <v>1515.47</v>
      </c>
    </row>
    <row r="106" spans="1:17" ht="15" hidden="1" outlineLevel="1">
      <c r="A106">
        <v>2250</v>
      </c>
      <c r="B106" t="s">
        <v>273</v>
      </c>
      <c r="C106">
        <v>-24.08</v>
      </c>
      <c r="D106" s="283">
        <v>-24.08</v>
      </c>
      <c r="E106" s="283">
        <v>-24.28</v>
      </c>
      <c r="F106" s="283">
        <v>-24.48</v>
      </c>
      <c r="G106" s="283">
        <v>-24.68</v>
      </c>
      <c r="H106" s="283">
        <v>-24.88</v>
      </c>
      <c r="I106" s="283">
        <v>-25.08</v>
      </c>
      <c r="J106" s="283">
        <v>-25.28</v>
      </c>
      <c r="K106" s="283">
        <v>-25.48</v>
      </c>
      <c r="L106" s="283">
        <v>-25.68</v>
      </c>
      <c r="M106" s="283">
        <v>-25.88</v>
      </c>
      <c r="N106" s="283">
        <v>-26.08</v>
      </c>
      <c r="O106" s="283">
        <v>-26.28</v>
      </c>
      <c r="P106" s="283">
        <v>-26.48</v>
      </c>
      <c r="Q106" s="284">
        <f t="shared" si="1"/>
        <v>-25.28</v>
      </c>
    </row>
    <row r="107" spans="1:17" ht="15" hidden="1" outlineLevel="1">
      <c r="A107">
        <v>2255</v>
      </c>
      <c r="B107" t="s">
        <v>274</v>
      </c>
      <c r="C107">
        <v>-1012.95</v>
      </c>
      <c r="D107" s="283">
        <v>-1012.95</v>
      </c>
      <c r="E107" s="283">
        <v>-1021.28</v>
      </c>
      <c r="F107" s="283">
        <v>-1029.6099999999999</v>
      </c>
      <c r="G107" s="283">
        <v>-1037.94</v>
      </c>
      <c r="H107" s="283">
        <v>-1046.27</v>
      </c>
      <c r="I107" s="283">
        <v>-1054.5999999999999</v>
      </c>
      <c r="J107" s="283">
        <v>-1062.93</v>
      </c>
      <c r="K107" s="283">
        <v>-1071.26</v>
      </c>
      <c r="L107" s="283">
        <v>-1079.5899999999999</v>
      </c>
      <c r="M107" s="283">
        <v>-1087.92</v>
      </c>
      <c r="N107" s="283">
        <v>-1096.25</v>
      </c>
      <c r="O107" s="283">
        <v>-1104.58</v>
      </c>
      <c r="P107" s="283">
        <v>-1112.9100000000001</v>
      </c>
      <c r="Q107" s="284">
        <f t="shared" si="1"/>
        <v>-1062.93</v>
      </c>
    </row>
    <row r="108" spans="1:17" ht="15" hidden="1" outlineLevel="1">
      <c r="A108" t="s">
        <v>282</v>
      </c>
      <c r="B108">
        <v>210</v>
      </c>
      <c r="C108">
        <v>-117454.63</v>
      </c>
      <c r="D108" s="283">
        <v>-117454.63</v>
      </c>
      <c r="E108" s="283">
        <v>-118413.99</v>
      </c>
      <c r="F108" s="283">
        <v>-119373.35</v>
      </c>
      <c r="G108" s="283">
        <v>-120332.71</v>
      </c>
      <c r="H108" s="283">
        <v>-121292.07</v>
      </c>
      <c r="I108" s="283">
        <v>-122252.69</v>
      </c>
      <c r="J108" s="283">
        <v>-122006.47</v>
      </c>
      <c r="K108" s="283">
        <v>-122980.08</v>
      </c>
      <c r="L108" s="283">
        <v>-123953.69</v>
      </c>
      <c r="M108" s="283">
        <v>-124928.99</v>
      </c>
      <c r="N108" s="283">
        <v>-125905</v>
      </c>
      <c r="O108" s="283">
        <v>-126377.21</v>
      </c>
      <c r="P108" s="283">
        <v>-127046.69</v>
      </c>
      <c r="Q108" s="284">
        <f t="shared" si="1"/>
        <v>-122485.96692307691</v>
      </c>
    </row>
    <row r="109" spans="1:17" ht="15" hidden="1" outlineLevel="1">
      <c r="A109">
        <v>2280</v>
      </c>
      <c r="B109" t="s">
        <v>275</v>
      </c>
      <c r="C109">
        <v>-8.91</v>
      </c>
      <c r="D109" s="283">
        <v>-8.91</v>
      </c>
      <c r="E109" s="283">
        <v>-9</v>
      </c>
      <c r="F109" s="283">
        <v>-9.09</v>
      </c>
      <c r="G109" s="283">
        <v>-9.18</v>
      </c>
      <c r="H109" s="283">
        <v>-9.27</v>
      </c>
      <c r="I109" s="283">
        <v>-9.36</v>
      </c>
      <c r="J109" s="283">
        <v>-9.4499999999999993</v>
      </c>
      <c r="K109" s="283">
        <v>-9.5399999999999991</v>
      </c>
      <c r="L109" s="283">
        <v>-9.6300000000000008</v>
      </c>
      <c r="M109" s="283">
        <v>-9.7200000000000006</v>
      </c>
      <c r="N109" s="283">
        <v>-9.81</v>
      </c>
      <c r="O109" s="283">
        <v>-9.90</v>
      </c>
      <c r="P109" s="283">
        <v>-9.99</v>
      </c>
      <c r="Q109" s="284">
        <f t="shared" si="1"/>
        <v>-9.4500000000000011</v>
      </c>
    </row>
    <row r="110" spans="1:17" ht="15" hidden="1" outlineLevel="1">
      <c r="A110">
        <v>2285</v>
      </c>
      <c r="B110" t="s">
        <v>276</v>
      </c>
      <c r="C110">
        <v>-205.57</v>
      </c>
      <c r="D110" s="283">
        <v>-205.57</v>
      </c>
      <c r="E110" s="283">
        <v>-207.84</v>
      </c>
      <c r="F110" s="283">
        <v>-210.11</v>
      </c>
      <c r="G110" s="283">
        <v>-213.13</v>
      </c>
      <c r="H110" s="283">
        <v>-216.15</v>
      </c>
      <c r="I110" s="283">
        <v>-219.17</v>
      </c>
      <c r="J110" s="283">
        <v>-222.81</v>
      </c>
      <c r="K110" s="283">
        <v>-226.45</v>
      </c>
      <c r="L110" s="283">
        <v>-230.09</v>
      </c>
      <c r="M110" s="283">
        <v>-233.73</v>
      </c>
      <c r="N110" s="283">
        <v>-237.37</v>
      </c>
      <c r="O110" s="283">
        <v>-241.01</v>
      </c>
      <c r="P110" s="283">
        <v>-244.65</v>
      </c>
      <c r="Q110" s="284">
        <f t="shared" si="1"/>
        <v>-223.69846153846149</v>
      </c>
    </row>
    <row r="111" spans="1:17" ht="15" hidden="1" outlineLevel="1">
      <c r="A111" t="s">
        <v>282</v>
      </c>
      <c r="B111">
        <v>220</v>
      </c>
      <c r="C111">
        <v>-214.48</v>
      </c>
      <c r="D111" s="283">
        <v>-214.48</v>
      </c>
      <c r="E111" s="283">
        <v>-216.84</v>
      </c>
      <c r="F111" s="283">
        <v>-219.20</v>
      </c>
      <c r="G111" s="283">
        <v>-222.31</v>
      </c>
      <c r="H111" s="283">
        <v>-225.42</v>
      </c>
      <c r="I111" s="283">
        <v>-228.53</v>
      </c>
      <c r="J111" s="283">
        <v>-232.26</v>
      </c>
      <c r="K111" s="283">
        <v>-235.99</v>
      </c>
      <c r="L111" s="283">
        <v>-239.72</v>
      </c>
      <c r="M111" s="283">
        <v>-243.45</v>
      </c>
      <c r="N111" s="283">
        <v>-247.18</v>
      </c>
      <c r="O111" s="283">
        <v>-250.91</v>
      </c>
      <c r="P111" s="283">
        <v>-254.64</v>
      </c>
      <c r="Q111" s="284">
        <f t="shared" si="1"/>
        <v>-233.1484615384615</v>
      </c>
    </row>
    <row r="112" spans="1:17" ht="15" hidden="1" outlineLevel="1">
      <c r="A112">
        <v>3155</v>
      </c>
      <c r="B112" t="s">
        <v>277</v>
      </c>
      <c r="C112">
        <v>-104.79</v>
      </c>
      <c r="D112" s="283">
        <v>-104.79</v>
      </c>
      <c r="E112" s="283">
        <v>-125.62</v>
      </c>
      <c r="F112" s="283">
        <v>-146.46</v>
      </c>
      <c r="G112" s="283">
        <v>-167.29</v>
      </c>
      <c r="H112" s="283">
        <v>-188.12</v>
      </c>
      <c r="I112" s="283">
        <v>-208.96</v>
      </c>
      <c r="J112" s="283">
        <v>-229.79</v>
      </c>
      <c r="K112" s="283">
        <v>-250.62</v>
      </c>
      <c r="L112" s="283">
        <v>-271.45999999999998</v>
      </c>
      <c r="M112" s="283">
        <v>-292.29000000000002</v>
      </c>
      <c r="N112" s="283">
        <v>-313.12</v>
      </c>
      <c r="O112" s="283">
        <v>-333.96</v>
      </c>
      <c r="P112" s="283">
        <v>-354.79</v>
      </c>
      <c r="Q112" s="284">
        <f t="shared" si="1"/>
        <v>-229.79</v>
      </c>
    </row>
    <row r="113" spans="1:17" ht="15" hidden="1" outlineLevel="1">
      <c r="A113" t="s">
        <v>282</v>
      </c>
      <c r="B113">
        <v>270</v>
      </c>
      <c r="C113">
        <v>-104.79</v>
      </c>
      <c r="D113" s="283">
        <v>-104.79</v>
      </c>
      <c r="E113" s="283">
        <v>-125.62</v>
      </c>
      <c r="F113" s="283">
        <v>-146.46</v>
      </c>
      <c r="G113" s="283">
        <v>-167.29</v>
      </c>
      <c r="H113" s="283">
        <v>-188.12</v>
      </c>
      <c r="I113" s="283">
        <v>-208.96</v>
      </c>
      <c r="J113" s="283">
        <v>-229.79</v>
      </c>
      <c r="K113" s="283">
        <v>-250.62</v>
      </c>
      <c r="L113" s="283">
        <v>-271.45999999999998</v>
      </c>
      <c r="M113" s="283">
        <v>-292.29000000000002</v>
      </c>
      <c r="N113" s="283">
        <v>-313.12</v>
      </c>
      <c r="O113" s="283">
        <v>-333.96</v>
      </c>
      <c r="P113" s="283">
        <v>-354.79</v>
      </c>
      <c r="Q113" s="284">
        <f t="shared" si="1"/>
        <v>-229.79</v>
      </c>
    </row>
    <row r="114" spans="1:17" ht="15" hidden="1" outlineLevel="1">
      <c r="A114">
        <v>4260</v>
      </c>
      <c r="B114" t="s">
        <v>278</v>
      </c>
      <c r="C114">
        <v>3.56</v>
      </c>
      <c r="D114" s="283">
        <v>3.56</v>
      </c>
      <c r="E114" s="283">
        <v>3.56</v>
      </c>
      <c r="F114" s="283">
        <v>3.56</v>
      </c>
      <c r="G114" s="283">
        <v>3.56</v>
      </c>
      <c r="H114" s="283">
        <v>3.56</v>
      </c>
      <c r="I114" s="283">
        <v>3.56</v>
      </c>
      <c r="J114" s="283">
        <v>3.56</v>
      </c>
      <c r="K114" s="283">
        <v>3.56</v>
      </c>
      <c r="L114" s="283">
        <v>3.56</v>
      </c>
      <c r="M114" s="283">
        <v>3.56</v>
      </c>
      <c r="N114" s="283">
        <v>3.56</v>
      </c>
      <c r="O114" s="283">
        <v>3.56</v>
      </c>
      <c r="P114" s="283"/>
      <c r="Q114" s="284">
        <f t="shared" si="1"/>
        <v>3.5600000000000005</v>
      </c>
    </row>
    <row r="115" spans="1:17" ht="15" collapsed="1">
      <c r="A115" s="282">
        <v>4265</v>
      </c>
      <c r="B115" s="282" t="s">
        <v>279</v>
      </c>
      <c r="C115">
        <v>2406.3000000000002</v>
      </c>
      <c r="D115" s="283">
        <v>2406.3000000000002</v>
      </c>
      <c r="E115" s="283">
        <v>2421.3000000000002</v>
      </c>
      <c r="F115" s="283">
        <v>2436.3000000000002</v>
      </c>
      <c r="G115" s="283">
        <v>2451.3000000000002</v>
      </c>
      <c r="H115" s="283">
        <v>2466.3000000000002</v>
      </c>
      <c r="I115" s="283">
        <v>2481.3000000000002</v>
      </c>
      <c r="J115" s="283">
        <v>2496.3000000000002</v>
      </c>
      <c r="K115" s="283">
        <v>2511.3000000000002</v>
      </c>
      <c r="L115" s="283">
        <v>2526.3000000000002</v>
      </c>
      <c r="M115" s="283">
        <v>2541.3000000000002</v>
      </c>
      <c r="N115" s="283">
        <v>2556.3000000000002</v>
      </c>
      <c r="O115" s="283">
        <v>2571.3000000000002</v>
      </c>
      <c r="P115" s="283">
        <v>2586.3000000000002</v>
      </c>
      <c r="Q115" s="284">
        <f t="shared" si="1"/>
        <v>2496.2999999999997</v>
      </c>
    </row>
    <row r="116" spans="1:16" ht="15" hidden="1">
      <c r="A116" t="s">
        <v>282</v>
      </c>
      <c r="B116">
        <v>285</v>
      </c>
      <c r="C116">
        <v>2409.86</v>
      </c>
      <c r="D116" s="283">
        <v>2409.86</v>
      </c>
      <c r="E116" s="283">
        <v>2424.86</v>
      </c>
      <c r="F116" s="283">
        <v>2439.86</v>
      </c>
      <c r="G116" s="283">
        <v>2454.86</v>
      </c>
      <c r="H116" s="283">
        <v>2469.86</v>
      </c>
      <c r="I116" s="283">
        <v>2484.86</v>
      </c>
      <c r="J116" s="283">
        <v>2499.86</v>
      </c>
      <c r="K116" s="283">
        <v>2514.86</v>
      </c>
      <c r="L116" s="283">
        <v>2529.86</v>
      </c>
      <c r="M116" s="283">
        <v>2544.86</v>
      </c>
      <c r="N116" s="283">
        <v>2559.86</v>
      </c>
      <c r="O116" s="283">
        <v>2574.86</v>
      </c>
      <c r="P116" s="283">
        <v>2586.3000000000002</v>
      </c>
    </row>
    <row r="117" spans="1:16" ht="15" hidden="1" outlineLevel="1">
      <c r="A117" t="s">
        <v>280</v>
      </c>
      <c r="C117">
        <v>138883.76999999999</v>
      </c>
      <c r="D117" s="283">
        <v>138883.76999999999</v>
      </c>
      <c r="E117" s="283">
        <v>137916.22</v>
      </c>
      <c r="F117" s="283">
        <v>136948.66</v>
      </c>
      <c r="G117" s="283">
        <v>136369.88</v>
      </c>
      <c r="H117" s="283">
        <v>135401.57999999999</v>
      </c>
      <c r="I117" s="283">
        <v>134703.09</v>
      </c>
      <c r="J117" s="283">
        <v>137804.25</v>
      </c>
      <c r="K117" s="283">
        <v>137811.07999999999</v>
      </c>
      <c r="L117" s="283">
        <v>136827.90</v>
      </c>
      <c r="M117" s="283">
        <v>136209.92000000001</v>
      </c>
      <c r="N117" s="283">
        <v>135495.43</v>
      </c>
      <c r="O117" s="283">
        <v>136072.35999999999</v>
      </c>
      <c r="P117" s="283">
        <v>135885.74</v>
      </c>
    </row>
    <row r="118" ht="15" collapsed="1"/>
    <row r="119" spans="1:18" ht="15">
      <c r="A119" s="286">
        <v>6665</v>
      </c>
      <c r="B119" s="287" t="s">
        <v>283</v>
      </c>
      <c r="D119">
        <v>17.79</v>
      </c>
      <c r="E119">
        <v>17.79</v>
      </c>
      <c r="F119">
        <v>17.79</v>
      </c>
      <c r="G119">
        <v>17.79</v>
      </c>
      <c r="H119">
        <v>17.79</v>
      </c>
      <c r="I119">
        <v>17.79</v>
      </c>
      <c r="J119">
        <v>17.79</v>
      </c>
      <c r="K119">
        <v>17.79</v>
      </c>
      <c r="L119">
        <v>17.79</v>
      </c>
      <c r="M119">
        <v>17.79</v>
      </c>
      <c r="N119">
        <v>17.79</v>
      </c>
      <c r="O119">
        <v>21.89</v>
      </c>
      <c r="P119">
        <v>21.89</v>
      </c>
      <c r="R119">
        <f>SUM(E119:P119)</f>
        <v>221.67999999999995</v>
      </c>
    </row>
    <row r="120" spans="1:18" ht="15">
      <c r="A120" s="286">
        <v>6760</v>
      </c>
      <c r="B120" s="287" t="s">
        <v>284</v>
      </c>
      <c r="D120">
        <v>31.36</v>
      </c>
      <c r="E120">
        <v>31.36</v>
      </c>
      <c r="F120">
        <v>31.36</v>
      </c>
      <c r="G120">
        <v>31.36</v>
      </c>
      <c r="H120">
        <v>31.36</v>
      </c>
      <c r="I120">
        <v>31.36</v>
      </c>
      <c r="J120">
        <v>31.36</v>
      </c>
      <c r="K120">
        <v>34.69</v>
      </c>
      <c r="L120">
        <v>34.69</v>
      </c>
      <c r="M120">
        <v>34.69</v>
      </c>
      <c r="N120">
        <v>34.69</v>
      </c>
      <c r="O120">
        <v>34.69</v>
      </c>
      <c r="P120">
        <v>33.07</v>
      </c>
      <c r="R120" s="485">
        <f>SUM(E120:P120)</f>
        <v>394.68</v>
      </c>
    </row>
    <row r="121" spans="1:18" ht="15">
      <c r="A121" s="286">
        <v>6765</v>
      </c>
      <c r="B121" s="287" t="s">
        <v>285</v>
      </c>
      <c r="D121">
        <v>493.47</v>
      </c>
      <c r="E121">
        <v>493.47</v>
      </c>
      <c r="F121">
        <v>493.47</v>
      </c>
      <c r="G121">
        <v>493.47</v>
      </c>
      <c r="H121">
        <v>493.47</v>
      </c>
      <c r="I121">
        <v>493.47</v>
      </c>
      <c r="J121">
        <v>493.47</v>
      </c>
      <c r="K121">
        <v>494.72</v>
      </c>
      <c r="L121">
        <v>494.72</v>
      </c>
      <c r="M121">
        <v>496.41</v>
      </c>
      <c r="N121">
        <v>496.41</v>
      </c>
      <c r="O121">
        <v>496.42</v>
      </c>
      <c r="P121">
        <v>496.42</v>
      </c>
      <c r="R121" s="485">
        <f>SUM(E121:P121)</f>
        <v>5935.920000000001</v>
      </c>
    </row>
    <row r="123" spans="1:18" ht="15">
      <c r="A123" s="286">
        <v>7430</v>
      </c>
      <c r="B123" s="287" t="s">
        <v>286</v>
      </c>
      <c r="D123">
        <v>-15</v>
      </c>
      <c r="E123">
        <v>-15</v>
      </c>
      <c r="F123">
        <v>-15</v>
      </c>
      <c r="G123">
        <v>-15</v>
      </c>
      <c r="H123">
        <v>-15</v>
      </c>
      <c r="I123">
        <v>-15</v>
      </c>
      <c r="J123">
        <v>-15</v>
      </c>
      <c r="K123">
        <v>-15</v>
      </c>
      <c r="L123">
        <v>-15</v>
      </c>
      <c r="M123">
        <v>-15</v>
      </c>
      <c r="N123">
        <v>-15</v>
      </c>
      <c r="O123">
        <v>-15</v>
      </c>
      <c r="P123">
        <v>-15</v>
      </c>
      <c r="R123" s="485">
        <f>SUM(E123:P123)</f>
        <v>-180</v>
      </c>
    </row>
    <row r="125" spans="4:16" ht="15">
      <c r="D125" s="288" t="s">
        <v>287</v>
      </c>
      <c r="E125" s="289">
        <f>D35-E35-E119</f>
        <v>7.8159700933611E-14</v>
      </c>
      <c r="F125" s="289">
        <f t="shared" si="2" ref="F125:P125">E35-F35-F119</f>
        <v>-3.5527136788005E-14</v>
      </c>
      <c r="G125" s="289">
        <f t="shared" si="2"/>
        <v>-3.5527136788005E-14</v>
      </c>
      <c r="H125" s="289">
        <f t="shared" si="2"/>
        <v>7.8159700933611E-14</v>
      </c>
      <c r="I125" s="289">
        <f t="shared" si="2"/>
        <v>-3.5527136788005E-14</v>
      </c>
      <c r="J125" s="289">
        <f t="shared" si="2"/>
        <v>-3.5527136788005E-14</v>
      </c>
      <c r="K125" s="289">
        <f t="shared" si="2"/>
        <v>7.8159700933611E-14</v>
      </c>
      <c r="L125" s="289">
        <f t="shared" si="2"/>
        <v>-3.5527136788005E-14</v>
      </c>
      <c r="M125" s="289">
        <f t="shared" si="2"/>
        <v>-3.5527136788005E-14</v>
      </c>
      <c r="N125" s="289">
        <f t="shared" si="2"/>
        <v>7.8159700933611E-14</v>
      </c>
      <c r="O125" s="289">
        <f t="shared" si="2"/>
        <v>0</v>
      </c>
      <c r="P125" s="289">
        <f t="shared" si="2"/>
        <v>0</v>
      </c>
    </row>
    <row r="126" spans="4:16" ht="15">
      <c r="D126" s="288" t="s">
        <v>287</v>
      </c>
      <c r="E126" s="289">
        <f>D43-E43-E120</f>
        <v>-3.26849658449646E-13</v>
      </c>
      <c r="F126" s="289">
        <f t="shared" si="3" ref="F126:P127">E43-F43-F120</f>
        <v>5.82645043323282E-13</v>
      </c>
      <c r="G126" s="289">
        <f t="shared" si="3"/>
        <v>-3.26849658449646E-13</v>
      </c>
      <c r="H126" s="289">
        <f t="shared" si="3"/>
        <v>-3.26849658449646E-13</v>
      </c>
      <c r="I126" s="289">
        <f t="shared" si="3"/>
        <v>5.82645043323282E-13</v>
      </c>
      <c r="J126" s="289">
        <f t="shared" si="3"/>
        <v>-3.26849658449646E-13</v>
      </c>
      <c r="K126" s="289">
        <f t="shared" si="3"/>
        <v>5.11590769747272E-13</v>
      </c>
      <c r="L126" s="289">
        <f t="shared" si="3"/>
        <v>-3.97903932025656E-13</v>
      </c>
      <c r="M126" s="289">
        <f t="shared" si="3"/>
        <v>-3.97903932025656E-13</v>
      </c>
      <c r="N126" s="289">
        <f t="shared" si="3"/>
        <v>5.11590769747272E-13</v>
      </c>
      <c r="O126" s="290">
        <f t="shared" si="3"/>
        <v>-351.71000000000043</v>
      </c>
      <c r="P126" s="289">
        <f t="shared" si="3"/>
        <v>6.18172180111287E-13</v>
      </c>
    </row>
    <row r="127" spans="4:16" ht="15">
      <c r="D127" s="288" t="s">
        <v>287</v>
      </c>
      <c r="E127" s="289">
        <f>D44-E44-E121</f>
        <v>1.13686837721616E-12</v>
      </c>
      <c r="F127" s="289">
        <f t="shared" si="3"/>
        <v>-1.34150468511507E-11</v>
      </c>
      <c r="G127" s="289">
        <f t="shared" si="3"/>
        <v>1.13686837721616E-12</v>
      </c>
      <c r="H127" s="289">
        <f t="shared" si="3"/>
        <v>1.13686837721616E-12</v>
      </c>
      <c r="I127" s="289">
        <f t="shared" si="3"/>
        <v>1.13686837721616E-12</v>
      </c>
      <c r="J127" s="289">
        <f t="shared" si="3"/>
        <v>1.13686837721616E-12</v>
      </c>
      <c r="K127" s="289">
        <f t="shared" si="3"/>
        <v>1.13686837721616E-12</v>
      </c>
      <c r="L127" s="289">
        <f t="shared" si="3"/>
        <v>1.13686837721616E-12</v>
      </c>
      <c r="M127" s="289">
        <f t="shared" si="3"/>
        <v>3.46744855050929E-12</v>
      </c>
      <c r="N127" s="289">
        <f t="shared" si="3"/>
        <v>3.46744855050929E-12</v>
      </c>
      <c r="O127" s="289">
        <f t="shared" si="3"/>
        <v>-1.76214598468505E-12</v>
      </c>
      <c r="P127" s="289">
        <f t="shared" si="3"/>
        <v>-1.76214598468505E-12</v>
      </c>
    </row>
    <row r="128" spans="5:16" ht="15">
      <c r="E128" s="291"/>
      <c r="F128" s="291"/>
      <c r="G128" s="291"/>
      <c r="H128" s="291"/>
      <c r="I128" s="291"/>
      <c r="J128" s="291"/>
      <c r="K128" s="291"/>
      <c r="L128" s="291"/>
      <c r="M128" s="291"/>
      <c r="N128" s="291"/>
      <c r="O128" s="291"/>
      <c r="P128" s="291"/>
    </row>
    <row r="129" spans="4:16" ht="15">
      <c r="D129" s="288" t="s">
        <v>287</v>
      </c>
      <c r="E129" s="291">
        <f>D115-E115-E123</f>
        <v>0</v>
      </c>
      <c r="F129" s="291">
        <f t="shared" si="4" ref="F129:P129">E115-F115-F123</f>
        <v>0</v>
      </c>
      <c r="G129" s="291">
        <f t="shared" si="4"/>
        <v>0</v>
      </c>
      <c r="H129" s="291">
        <f t="shared" si="4"/>
        <v>0</v>
      </c>
      <c r="I129" s="291">
        <f t="shared" si="4"/>
        <v>0</v>
      </c>
      <c r="J129" s="291">
        <f t="shared" si="4"/>
        <v>0</v>
      </c>
      <c r="K129" s="291">
        <f t="shared" si="4"/>
        <v>0</v>
      </c>
      <c r="L129" s="291">
        <f t="shared" si="4"/>
        <v>0</v>
      </c>
      <c r="M129" s="291">
        <f t="shared" si="4"/>
        <v>0</v>
      </c>
      <c r="N129" s="291">
        <f t="shared" si="4"/>
        <v>0</v>
      </c>
      <c r="O129" s="291">
        <f t="shared" si="4"/>
        <v>0</v>
      </c>
      <c r="P129" s="291">
        <f t="shared" si="4"/>
        <v>0</v>
      </c>
    </row>
  </sheetData>
  <pageMargins left="0.7" right="0.7" top="0.75" bottom="0.75" header="0.3" footer="0.3"/>
  <pageSetup horizontalDpi="300" verticalDpi="300" orientation="portrait" r:id="rId2"/>
  <headerFooter>
    <oddFooter>&amp;L&amp;"Times New Roman,Regular"&amp;9O3129680.v1</oddFooter>
  </headerFooter>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H297"/>
  <sheetViews>
    <sheetView workbookViewId="0" topLeftCell="A1"/>
  </sheetViews>
  <sheetFormatPr defaultColWidth="10.85546875" defaultRowHeight="12"/>
  <cols>
    <col min="1" max="1" width="7.85714285714286" style="2" customWidth="1"/>
    <col min="2" max="2" width="38.2857142857143" style="2" customWidth="1"/>
    <col min="3" max="5" width="15.7142857142857" style="2" customWidth="1"/>
    <col min="6" max="6" width="15" style="2" bestFit="1" customWidth="1"/>
    <col min="7" max="16384" width="10.8571428571429" style="2"/>
  </cols>
  <sheetData>
    <row r="1" spans="1:5" ht="12">
      <c r="A1" s="1" t="s">
        <v>588</v>
      </c>
      <c r="B1" s="1"/>
      <c r="E1" s="669" t="s">
        <v>1</v>
      </c>
    </row>
    <row r="2" spans="1:5" ht="12.75">
      <c r="A2" s="1"/>
      <c r="B2" s="1"/>
      <c r="C2" s="691">
        <v>0.51619999999999999</v>
      </c>
      <c r="E2" s="669"/>
    </row>
    <row r="3" spans="1:5" ht="12">
      <c r="A3" s="1" t="s">
        <v>111</v>
      </c>
      <c r="B3" s="1"/>
      <c r="E3" s="670" t="s">
        <v>580</v>
      </c>
    </row>
    <row r="4" spans="1:5" ht="12">
      <c r="A4" s="386" t="s">
        <v>586</v>
      </c>
      <c r="B4" s="1"/>
      <c r="E4" s="669" t="s">
        <v>326</v>
      </c>
    </row>
    <row r="5" spans="1:5" ht="12">
      <c r="A5" s="1" t="s">
        <v>113</v>
      </c>
      <c r="B5" s="1"/>
      <c r="E5" s="490" t="s">
        <v>112</v>
      </c>
    </row>
    <row r="6" spans="1:5" ht="12">
      <c r="A6" s="1"/>
      <c r="B6" s="1"/>
      <c r="C6" s="1"/>
      <c r="D6" s="1"/>
      <c r="E6" s="1"/>
    </row>
    <row r="7" spans="1:5" ht="12">
      <c r="A7" s="733" t="s">
        <v>327</v>
      </c>
      <c r="B7" s="734"/>
      <c r="C7" s="734"/>
      <c r="D7" s="734"/>
      <c r="E7" s="734"/>
    </row>
    <row r="8" spans="1:5" ht="12">
      <c r="A8" s="734"/>
      <c r="B8" s="734"/>
      <c r="C8" s="734"/>
      <c r="D8" s="734"/>
      <c r="E8" s="734"/>
    </row>
    <row r="9" spans="1:5" ht="12.75" thickBot="1">
      <c r="A9" s="10"/>
      <c r="B9" s="10"/>
      <c r="C9" s="10"/>
      <c r="D9" s="10"/>
      <c r="E9" s="10"/>
    </row>
    <row r="10" spans="1:5" s="17" customFormat="1" ht="12">
      <c r="A10" s="13"/>
      <c r="B10" s="15">
        <v>-1</v>
      </c>
      <c r="C10" s="16">
        <f t="shared" si="0" ref="C10:D10">B10-1</f>
        <v>-2</v>
      </c>
      <c r="D10" s="16">
        <f t="shared" si="0"/>
        <v>-3</v>
      </c>
      <c r="E10" s="16">
        <f>D10-1</f>
        <v>-4</v>
      </c>
    </row>
    <row r="11" spans="1:5" ht="12">
      <c r="A11" s="527" t="s">
        <v>91</v>
      </c>
      <c r="B11" s="1"/>
      <c r="C11" s="527" t="s">
        <v>329</v>
      </c>
      <c r="D11" s="527" t="s">
        <v>330</v>
      </c>
      <c r="E11" s="527" t="s">
        <v>177</v>
      </c>
    </row>
    <row r="12" spans="1:5" ht="12">
      <c r="A12" s="24" t="s">
        <v>94</v>
      </c>
      <c r="B12" s="25" t="s">
        <v>219</v>
      </c>
      <c r="C12" s="25" t="s">
        <v>331</v>
      </c>
      <c r="D12" s="25" t="s">
        <v>105</v>
      </c>
      <c r="E12" s="25" t="s">
        <v>332</v>
      </c>
    </row>
    <row r="13" spans="1:5" ht="12">
      <c r="A13" s="28">
        <v>1</v>
      </c>
      <c r="B13" s="1" t="s">
        <v>296</v>
      </c>
      <c r="C13" s="1"/>
      <c r="D13" s="653"/>
      <c r="E13" s="653"/>
    </row>
    <row r="14" spans="1:5" ht="12">
      <c r="A14" s="28">
        <f>A13+1</f>
        <v>2</v>
      </c>
      <c r="C14" s="1"/>
      <c r="D14" s="653"/>
      <c r="E14" s="653"/>
    </row>
    <row r="15" spans="1:5" ht="12">
      <c r="A15" s="28">
        <f t="shared" si="1" ref="A15:A40">A14+1</f>
        <v>3</v>
      </c>
      <c r="B15" s="2" t="s">
        <v>333</v>
      </c>
      <c r="C15" s="32"/>
      <c r="D15" s="33"/>
      <c r="E15" s="33">
        <f>C15+D15</f>
        <v>0</v>
      </c>
    </row>
    <row r="16" spans="1:5" ht="12">
      <c r="A16" s="28">
        <f t="shared" si="1"/>
        <v>4</v>
      </c>
      <c r="C16" s="1"/>
      <c r="D16" s="29"/>
      <c r="E16" s="29"/>
    </row>
    <row r="17" spans="1:5" ht="12">
      <c r="A17" s="28">
        <f t="shared" si="1"/>
        <v>5</v>
      </c>
      <c r="B17" s="2" t="s">
        <v>334</v>
      </c>
      <c r="C17" s="34"/>
      <c r="D17" s="29"/>
      <c r="E17" s="29">
        <f>C17+D17</f>
        <v>0</v>
      </c>
    </row>
    <row r="18" spans="1:5" ht="12">
      <c r="A18" s="28">
        <f t="shared" si="1"/>
        <v>6</v>
      </c>
      <c r="C18" s="1"/>
      <c r="D18" s="29"/>
      <c r="E18" s="29"/>
    </row>
    <row r="19" spans="1:5" ht="12">
      <c r="A19" s="28">
        <f t="shared" si="1"/>
        <v>7</v>
      </c>
      <c r="B19" s="2" t="s">
        <v>335</v>
      </c>
      <c r="C19" s="34"/>
      <c r="D19" s="422"/>
      <c r="E19" s="29">
        <f>C19+D19</f>
        <v>0</v>
      </c>
    </row>
    <row r="20" spans="1:5" ht="12">
      <c r="A20" s="28">
        <f t="shared" si="1"/>
        <v>8</v>
      </c>
      <c r="C20" s="1"/>
      <c r="D20" s="29"/>
      <c r="E20" s="29"/>
    </row>
    <row r="21" spans="1:5" ht="12">
      <c r="A21" s="28">
        <f>A20+1</f>
        <v>9</v>
      </c>
      <c r="B21" s="2" t="s">
        <v>338</v>
      </c>
      <c r="D21" s="29"/>
      <c r="E21" s="29"/>
    </row>
    <row r="22" spans="1:5" ht="12">
      <c r="A22" s="28">
        <f t="shared" si="1"/>
        <v>10</v>
      </c>
      <c r="C22" s="422" t="s">
        <v>581</v>
      </c>
      <c r="D22" s="422" t="s">
        <v>581</v>
      </c>
      <c r="E22" s="422" t="s">
        <v>581</v>
      </c>
    </row>
    <row r="23" spans="1:5" ht="12">
      <c r="A23" s="28">
        <f t="shared" si="1"/>
        <v>11</v>
      </c>
      <c r="C23" s="648"/>
      <c r="D23" s="648"/>
      <c r="E23" s="648"/>
    </row>
    <row r="24" spans="1:5" ht="12.75" thickBot="1">
      <c r="A24" s="28">
        <f t="shared" si="1"/>
        <v>12</v>
      </c>
      <c r="B24" s="2" t="s">
        <v>300</v>
      </c>
      <c r="C24" s="647">
        <f>SUM(C14:C23)</f>
        <v>0</v>
      </c>
      <c r="D24" s="647">
        <f>SUM(D14:D23)</f>
        <v>0</v>
      </c>
      <c r="E24" s="647" t="s">
        <v>152</v>
      </c>
    </row>
    <row r="25" spans="1:5" ht="12.75" thickTop="1">
      <c r="A25" s="28">
        <f t="shared" si="1"/>
        <v>13</v>
      </c>
      <c r="B25" s="1" t="s">
        <v>164</v>
      </c>
      <c r="C25" s="1"/>
      <c r="D25" s="46"/>
      <c r="E25" s="46"/>
    </row>
    <row r="26" spans="1:6" ht="12">
      <c r="A26" s="28">
        <f t="shared" si="1"/>
        <v>14</v>
      </c>
      <c r="C26" s="1"/>
      <c r="D26" s="46"/>
      <c r="E26" s="46"/>
      <c r="F26" s="399"/>
    </row>
    <row r="27" spans="1:6" ht="12">
      <c r="A27" s="28">
        <f t="shared" si="1"/>
        <v>15</v>
      </c>
      <c r="B27" s="2" t="s">
        <v>333</v>
      </c>
      <c r="C27" s="32">
        <f>+'SAND A 6'!G15</f>
        <v>1078777</v>
      </c>
      <c r="D27" s="33"/>
      <c r="E27" s="250">
        <f>C27+D27</f>
        <v>1078777</v>
      </c>
      <c r="F27" s="399">
        <f>-E84</f>
        <v>1286788.8319999999</v>
      </c>
    </row>
    <row r="28" spans="1:6" ht="12">
      <c r="A28" s="28">
        <f t="shared" si="1"/>
        <v>16</v>
      </c>
      <c r="D28" s="29"/>
      <c r="E28" s="251"/>
      <c r="F28" s="399"/>
    </row>
    <row r="29" spans="1:6" ht="12">
      <c r="A29" s="28">
        <f t="shared" si="1"/>
        <v>17</v>
      </c>
      <c r="B29" s="2" t="s">
        <v>334</v>
      </c>
      <c r="C29" s="34"/>
      <c r="D29" s="29"/>
      <c r="E29" s="34">
        <f>C29+D29</f>
        <v>0</v>
      </c>
      <c r="F29" s="399">
        <f>-E85</f>
        <v>0</v>
      </c>
    </row>
    <row r="30" spans="1:6" ht="12">
      <c r="A30" s="28">
        <f t="shared" si="1"/>
        <v>18</v>
      </c>
      <c r="D30" s="29"/>
      <c r="F30" s="399"/>
    </row>
    <row r="31" spans="1:6" ht="12">
      <c r="A31" s="28">
        <f t="shared" si="1"/>
        <v>19</v>
      </c>
      <c r="B31" s="2" t="s">
        <v>335</v>
      </c>
      <c r="C31" s="34">
        <f>-'SAND A 10'!G13</f>
        <v>-350992</v>
      </c>
      <c r="D31" s="29"/>
      <c r="E31" s="34">
        <f>C31+D31</f>
        <v>-350992</v>
      </c>
      <c r="F31" s="399">
        <f>-E86</f>
        <v>-309769.19040000002</v>
      </c>
    </row>
    <row r="32" spans="1:6" ht="12">
      <c r="A32" s="28">
        <f t="shared" si="1"/>
        <v>20</v>
      </c>
      <c r="D32" s="29"/>
      <c r="F32" s="399"/>
    </row>
    <row r="33" spans="1:6" s="357" customFormat="1" ht="12.75">
      <c r="A33" s="395">
        <f t="shared" si="1"/>
        <v>21</v>
      </c>
      <c r="B33" s="386" t="s">
        <v>179</v>
      </c>
      <c r="C33" s="65">
        <f>-'SAND A 12-14'!G46</f>
        <v>-650887</v>
      </c>
      <c r="D33" s="65"/>
      <c r="E33" s="34">
        <f>C33+D33</f>
        <v>-650887</v>
      </c>
      <c r="F33" s="399">
        <f>-E87</f>
        <v>-760868.43680000002</v>
      </c>
    </row>
    <row r="34" spans="1:6" s="357" customFormat="1" ht="12.75">
      <c r="A34" s="395">
        <f t="shared" si="1"/>
        <v>22</v>
      </c>
      <c r="B34" s="386"/>
      <c r="C34" s="398"/>
      <c r="D34" s="398"/>
      <c r="E34" s="398"/>
      <c r="F34" s="399"/>
    </row>
    <row r="35" spans="1:6" s="357" customFormat="1" ht="12.75">
      <c r="A35" s="395">
        <f t="shared" si="1"/>
        <v>23</v>
      </c>
      <c r="B35" s="386" t="s">
        <v>336</v>
      </c>
      <c r="C35" s="399">
        <f>+'SAND A 12-14'!G94</f>
        <v>94018</v>
      </c>
      <c r="D35" s="399"/>
      <c r="E35" s="34">
        <f>C35+D35</f>
        <v>94018</v>
      </c>
      <c r="F35" s="399">
        <f>-E88</f>
        <v>29652.828799999999</v>
      </c>
    </row>
    <row r="36" spans="1:6" s="357" customFormat="1" ht="12.75">
      <c r="A36" s="395">
        <f t="shared" si="1"/>
        <v>24</v>
      </c>
      <c r="B36" s="386"/>
      <c r="C36" s="65"/>
      <c r="D36" s="65"/>
      <c r="E36" s="65"/>
      <c r="F36" s="399"/>
    </row>
    <row r="37" spans="1:6" ht="12">
      <c r="A37" s="28">
        <f>A32+1</f>
        <v>21</v>
      </c>
      <c r="B37" s="2" t="s">
        <v>338</v>
      </c>
      <c r="D37" s="29"/>
      <c r="F37" s="399"/>
    </row>
    <row r="38" spans="1:6" ht="12">
      <c r="A38" s="28">
        <f t="shared" si="1"/>
        <v>22</v>
      </c>
      <c r="C38" s="29" t="s">
        <v>581</v>
      </c>
      <c r="D38" s="29" t="s">
        <v>581</v>
      </c>
      <c r="E38" s="251" t="s">
        <v>581</v>
      </c>
      <c r="F38" s="399"/>
    </row>
    <row r="39" spans="1:6" ht="12">
      <c r="A39" s="28">
        <f t="shared" si="1"/>
        <v>23</v>
      </c>
      <c r="C39" s="648"/>
      <c r="D39" s="648"/>
      <c r="E39" s="668"/>
      <c r="F39" s="399"/>
    </row>
    <row r="40" spans="1:6" ht="12.75" thickBot="1">
      <c r="A40" s="28">
        <f t="shared" si="1"/>
        <v>24</v>
      </c>
      <c r="B40" s="2" t="s">
        <v>300</v>
      </c>
      <c r="C40" s="654">
        <f>SUM(C26:C39)</f>
        <v>170916</v>
      </c>
      <c r="D40" s="647">
        <f>SUM(D26:D39)</f>
        <v>0</v>
      </c>
      <c r="E40" s="654">
        <f>SUM(E26:E39)</f>
        <v>170916</v>
      </c>
      <c r="F40" s="399">
        <f>SUM(F26:F39)</f>
        <v>245804.03359999994</v>
      </c>
    </row>
    <row r="41" spans="1:6" ht="12.75" thickTop="1">
      <c r="A41" s="1"/>
      <c r="B41" s="1"/>
      <c r="C41" s="1"/>
      <c r="D41" s="46"/>
      <c r="E41" s="46"/>
      <c r="F41" s="399"/>
    </row>
    <row r="42" spans="1:5" ht="12">
      <c r="A42" s="527"/>
      <c r="B42" s="1"/>
      <c r="C42" s="1"/>
      <c r="D42" s="46"/>
      <c r="E42" s="46"/>
    </row>
    <row r="43" spans="1:5" ht="12">
      <c r="A43" s="1"/>
      <c r="B43" s="1"/>
      <c r="C43" s="1"/>
      <c r="D43" s="46"/>
      <c r="E43" s="46"/>
    </row>
    <row r="44" spans="1:5" ht="12">
      <c r="A44" s="1"/>
      <c r="B44" s="1"/>
      <c r="C44" s="1"/>
      <c r="D44" s="46"/>
      <c r="E44" s="46"/>
    </row>
    <row r="45" spans="1:3" ht="12">
      <c r="A45" s="1"/>
      <c r="B45" s="1"/>
      <c r="C45" s="1"/>
    </row>
    <row r="46" spans="1:6" ht="12.75">
      <c r="A46" s="1"/>
      <c r="B46" s="408" t="s">
        <v>324</v>
      </c>
      <c r="C46" s="399">
        <f>+'SAND B 14'!G62</f>
        <v>27042</v>
      </c>
      <c r="D46" s="357"/>
      <c r="E46" s="399">
        <f>+D46+C46</f>
        <v>27042</v>
      </c>
      <c r="F46" s="399">
        <f>+E94</f>
        <v>32607.252799999998</v>
      </c>
    </row>
    <row r="47" spans="1:6" ht="12.75">
      <c r="A47" s="1"/>
      <c r="B47" s="408" t="s">
        <v>325</v>
      </c>
      <c r="C47" s="399">
        <f>+'SAND B 14'!G63</f>
        <v>-16273</v>
      </c>
      <c r="D47" s="357"/>
      <c r="E47" s="399">
        <f>+D47+C47</f>
        <v>-16273</v>
      </c>
      <c r="F47" s="399">
        <f>+E95</f>
        <v>-24226.2768</v>
      </c>
    </row>
    <row r="48" spans="1:6" ht="13.5" thickBot="1">
      <c r="A48" s="1"/>
      <c r="B48" s="409" t="s">
        <v>366</v>
      </c>
      <c r="C48" s="404">
        <f>SUM(C46:C47)</f>
        <v>10769</v>
      </c>
      <c r="D48" s="357"/>
      <c r="E48" s="404">
        <f>E46+E47</f>
        <v>10769</v>
      </c>
      <c r="F48" s="399">
        <f>SUM(F46:F47)</f>
        <v>8380.9759999999987</v>
      </c>
    </row>
    <row r="49" spans="1:6" ht="13.5" thickTop="1">
      <c r="A49" s="1"/>
      <c r="B49" s="357"/>
      <c r="C49" s="357"/>
      <c r="D49" s="357"/>
      <c r="E49" s="357"/>
      <c r="F49" s="357"/>
    </row>
    <row r="50" spans="1:6" ht="12.75">
      <c r="A50" s="1"/>
      <c r="B50" s="410" t="s">
        <v>319</v>
      </c>
      <c r="C50" s="399" t="e">
        <f>SUM(#REF!)</f>
        <v>#REF!</v>
      </c>
      <c r="D50" s="357"/>
      <c r="E50" s="399" t="e">
        <f>(C50+D50)</f>
        <v>#REF!</v>
      </c>
      <c r="F50" s="399">
        <f>+E99</f>
        <v>89973.500210686558</v>
      </c>
    </row>
    <row r="51" spans="1:6" ht="12.75">
      <c r="A51" s="1"/>
      <c r="B51" s="410" t="s">
        <v>321</v>
      </c>
      <c r="C51" s="405">
        <v>0.16350000000000001</v>
      </c>
      <c r="D51" s="357"/>
      <c r="E51" s="405">
        <f>+C51</f>
        <v>0.16350000000000001</v>
      </c>
      <c r="F51" s="30">
        <f>+E100</f>
        <v>0.163543577281175</v>
      </c>
    </row>
    <row r="52" spans="1:6" ht="13.5" thickBot="1">
      <c r="A52" s="1"/>
      <c r="B52" s="411" t="s">
        <v>322</v>
      </c>
      <c r="C52" s="404" t="e">
        <f>+C51*C50</f>
        <v>#REF!</v>
      </c>
      <c r="D52" s="357"/>
      <c r="E52" s="404" t="e">
        <f>(E51*E50)</f>
        <v>#REF!</v>
      </c>
      <c r="F52" s="399">
        <f>+F50*F51</f>
        <v>14714.588084964233</v>
      </c>
    </row>
    <row r="53" spans="1:3" ht="12.75" thickTop="1">
      <c r="A53" s="1"/>
      <c r="B53" s="1"/>
      <c r="C53" s="1"/>
    </row>
    <row r="54" spans="1:3" ht="12">
      <c r="A54" s="1"/>
      <c r="B54" s="1"/>
      <c r="C54" s="1"/>
    </row>
    <row r="55" spans="1:3" ht="12">
      <c r="A55" s="1"/>
      <c r="B55" s="1"/>
      <c r="C55" s="1"/>
    </row>
    <row r="56" spans="1:3" ht="12">
      <c r="A56" s="1"/>
      <c r="B56" s="1"/>
      <c r="C56" s="1"/>
    </row>
    <row r="57" spans="1:8" ht="15.75">
      <c r="A57" s="19"/>
      <c r="B57" s="448" t="s">
        <v>583</v>
      </c>
      <c r="C57" s="449"/>
      <c r="D57" s="450" t="s">
        <v>306</v>
      </c>
      <c r="E57" s="449"/>
      <c r="F57" s="451"/>
      <c r="G57" s="451"/>
      <c r="H57" s="451"/>
    </row>
    <row r="58" spans="2:8" ht="15.75">
      <c r="B58" s="452" t="s">
        <v>307</v>
      </c>
      <c r="C58" s="453"/>
      <c r="D58" s="454" t="s">
        <v>308</v>
      </c>
      <c r="E58" s="454" t="s">
        <v>308</v>
      </c>
      <c r="F58" s="455" t="s">
        <v>309</v>
      </c>
      <c r="G58" s="456"/>
      <c r="H58" s="457"/>
    </row>
    <row r="59" spans="2:8" ht="15.75">
      <c r="B59" s="452"/>
      <c r="C59" s="453"/>
      <c r="D59" s="454" t="s">
        <v>310</v>
      </c>
      <c r="E59" s="454" t="s">
        <v>310</v>
      </c>
      <c r="F59" s="455" t="s">
        <v>310</v>
      </c>
      <c r="G59" s="456"/>
      <c r="H59" s="457"/>
    </row>
    <row r="60" spans="2:8" ht="15.75">
      <c r="B60" s="458" t="s">
        <v>296</v>
      </c>
      <c r="C60" s="453"/>
      <c r="D60" s="459" t="s">
        <v>470</v>
      </c>
      <c r="E60" s="459" t="s">
        <v>471</v>
      </c>
      <c r="F60" s="460" t="s">
        <v>471</v>
      </c>
      <c r="G60" s="456"/>
      <c r="H60" s="457"/>
    </row>
    <row r="61" spans="2:8" ht="15.75">
      <c r="B61" s="452"/>
      <c r="C61" s="461"/>
      <c r="D61" s="461"/>
      <c r="E61" s="461"/>
      <c r="F61" s="461"/>
      <c r="G61" s="461"/>
      <c r="H61" s="462"/>
    </row>
    <row r="62" spans="2:8" ht="15.75">
      <c r="B62" s="452" t="s">
        <v>311</v>
      </c>
      <c r="C62" s="461"/>
      <c r="D62" s="463">
        <v>0</v>
      </c>
      <c r="E62" s="464">
        <v>0</v>
      </c>
      <c r="F62" s="464">
        <f t="shared" si="2" ref="F62:F68">E62-D62</f>
        <v>0</v>
      </c>
      <c r="G62" s="461"/>
      <c r="H62" s="462"/>
    </row>
    <row r="63" spans="2:8" ht="15.75">
      <c r="B63" s="452" t="s">
        <v>312</v>
      </c>
      <c r="C63" s="461"/>
      <c r="D63" s="465">
        <v>0</v>
      </c>
      <c r="E63" s="466">
        <v>0</v>
      </c>
      <c r="F63" s="466">
        <f t="shared" si="2"/>
        <v>0</v>
      </c>
      <c r="G63" s="461"/>
      <c r="H63" s="462"/>
    </row>
    <row r="64" spans="2:8" ht="15.75">
      <c r="B64" s="452" t="s">
        <v>313</v>
      </c>
      <c r="C64" s="467"/>
      <c r="D64" s="468">
        <v>0</v>
      </c>
      <c r="E64" s="469">
        <v>0</v>
      </c>
      <c r="F64" s="466">
        <f t="shared" si="2"/>
        <v>0</v>
      </c>
      <c r="G64" s="461"/>
      <c r="H64" s="462"/>
    </row>
    <row r="65" spans="2:8" ht="15.75">
      <c r="B65" s="452" t="s">
        <v>179</v>
      </c>
      <c r="C65" s="467"/>
      <c r="D65" s="468">
        <v>0</v>
      </c>
      <c r="E65" s="469">
        <v>0</v>
      </c>
      <c r="F65" s="466">
        <f t="shared" si="2"/>
        <v>0</v>
      </c>
      <c r="G65" s="461"/>
      <c r="H65" s="462"/>
    </row>
    <row r="66" spans="2:8" ht="15.75">
      <c r="B66" s="452" t="s">
        <v>314</v>
      </c>
      <c r="C66" s="467"/>
      <c r="D66" s="468">
        <v>0</v>
      </c>
      <c r="E66" s="469">
        <v>0</v>
      </c>
      <c r="F66" s="466">
        <f t="shared" si="2"/>
        <v>0</v>
      </c>
      <c r="G66" s="461"/>
      <c r="H66" s="462"/>
    </row>
    <row r="67" spans="2:8" ht="15.75">
      <c r="B67" s="452" t="s">
        <v>315</v>
      </c>
      <c r="C67" s="467"/>
      <c r="D67" s="468">
        <v>0</v>
      </c>
      <c r="E67" s="469">
        <v>0</v>
      </c>
      <c r="F67" s="466">
        <f t="shared" si="2"/>
        <v>0</v>
      </c>
      <c r="G67" s="461"/>
      <c r="H67" s="462"/>
    </row>
    <row r="68" spans="2:8" ht="15.75">
      <c r="B68" s="452" t="s">
        <v>316</v>
      </c>
      <c r="C68" s="467"/>
      <c r="D68" s="470">
        <v>0</v>
      </c>
      <c r="E68" s="453">
        <v>0</v>
      </c>
      <c r="F68" s="471">
        <f t="shared" si="2"/>
        <v>0</v>
      </c>
      <c r="G68" s="461"/>
      <c r="H68" s="462"/>
    </row>
    <row r="69" spans="2:8" ht="15.75">
      <c r="B69" s="452"/>
      <c r="C69" s="467"/>
      <c r="D69" s="467"/>
      <c r="E69" s="472"/>
      <c r="F69" s="473"/>
      <c r="G69" s="461"/>
      <c r="H69" s="462"/>
    </row>
    <row r="70" spans="2:8" ht="15.75">
      <c r="B70" s="458" t="s">
        <v>317</v>
      </c>
      <c r="C70" s="474"/>
      <c r="D70" s="475">
        <f>SUM(D62:D68)</f>
        <v>0</v>
      </c>
      <c r="E70" s="475">
        <f>SUM(E62:E68)</f>
        <v>0</v>
      </c>
      <c r="F70" s="475">
        <f>SUM(F62:F68)</f>
        <v>0</v>
      </c>
      <c r="G70" s="461"/>
      <c r="H70" s="462"/>
    </row>
    <row r="71" spans="2:8" ht="15.75">
      <c r="B71" s="452"/>
      <c r="C71" s="461"/>
      <c r="D71" s="461"/>
      <c r="E71" s="473"/>
      <c r="F71" s="473"/>
      <c r="G71" s="461"/>
      <c r="H71" s="462"/>
    </row>
    <row r="72" spans="2:8" ht="15.75">
      <c r="B72" s="452" t="s">
        <v>472</v>
      </c>
      <c r="C72" s="461"/>
      <c r="D72" s="463">
        <v>0</v>
      </c>
      <c r="E72" s="464">
        <v>0</v>
      </c>
      <c r="F72" s="464">
        <f>E72-D72</f>
        <v>0</v>
      </c>
      <c r="G72" s="462"/>
      <c r="H72" s="462"/>
    </row>
    <row r="73" spans="2:8" ht="15.75">
      <c r="B73" s="452" t="s">
        <v>473</v>
      </c>
      <c r="C73" s="461"/>
      <c r="D73" s="470">
        <v>0</v>
      </c>
      <c r="E73" s="471">
        <v>0</v>
      </c>
      <c r="F73" s="471">
        <f>E73-D73</f>
        <v>0</v>
      </c>
      <c r="G73" s="462"/>
      <c r="H73" s="462"/>
    </row>
    <row r="74" spans="2:8" ht="15.75">
      <c r="B74" s="458" t="s">
        <v>318</v>
      </c>
      <c r="C74" s="461"/>
      <c r="D74" s="475">
        <f>-D72+D73</f>
        <v>0</v>
      </c>
      <c r="E74" s="475">
        <f>-E72+E73</f>
        <v>0</v>
      </c>
      <c r="F74" s="475">
        <f>-F72+F73</f>
        <v>0</v>
      </c>
      <c r="G74" s="461"/>
      <c r="H74" s="462"/>
    </row>
    <row r="75" spans="2:8" ht="15.75">
      <c r="B75" s="452"/>
      <c r="C75" s="461"/>
      <c r="D75" s="461"/>
      <c r="E75" s="473"/>
      <c r="F75" s="473"/>
      <c r="G75" s="461"/>
      <c r="H75" s="462"/>
    </row>
    <row r="76" spans="2:8" ht="15.75">
      <c r="B76" s="458" t="s">
        <v>319</v>
      </c>
      <c r="C76" s="461"/>
      <c r="D76" s="463">
        <v>0</v>
      </c>
      <c r="E76" s="464">
        <f>(D76+F76)</f>
        <v>0</v>
      </c>
      <c r="F76" s="476">
        <v>0</v>
      </c>
      <c r="G76" s="462" t="s">
        <v>320</v>
      </c>
      <c r="H76" s="462"/>
    </row>
    <row r="77" spans="2:8" ht="15.75">
      <c r="B77" s="452" t="s">
        <v>321</v>
      </c>
      <c r="C77" s="461"/>
      <c r="D77" s="461"/>
      <c r="E77" s="477">
        <v>0</v>
      </c>
      <c r="F77" s="466"/>
      <c r="G77" s="461"/>
      <c r="H77" s="462"/>
    </row>
    <row r="78" spans="2:8" ht="15.75">
      <c r="B78" s="452" t="s">
        <v>322</v>
      </c>
      <c r="C78" s="461"/>
      <c r="D78" s="478">
        <v>0</v>
      </c>
      <c r="E78" s="479">
        <f>(E77*E76)</f>
        <v>0</v>
      </c>
      <c r="F78" s="475">
        <f>-E78+D78</f>
        <v>0</v>
      </c>
      <c r="G78" s="461"/>
      <c r="H78" s="462"/>
    </row>
    <row r="79" spans="2:8" ht="15.75">
      <c r="B79" s="452"/>
      <c r="C79" s="461"/>
      <c r="D79" s="461"/>
      <c r="E79" s="461"/>
      <c r="F79" s="461"/>
      <c r="G79" s="461"/>
      <c r="H79" s="462"/>
    </row>
    <row r="80" spans="2:8" ht="15.75">
      <c r="B80" s="452"/>
      <c r="C80" s="461"/>
      <c r="D80" s="461"/>
      <c r="E80" s="461"/>
      <c r="F80" s="461"/>
      <c r="G80" s="461"/>
      <c r="H80" s="462"/>
    </row>
    <row r="81" spans="2:8" ht="15.75">
      <c r="B81" s="452"/>
      <c r="C81" s="461"/>
      <c r="D81" s="461"/>
      <c r="E81" s="461"/>
      <c r="F81" s="461"/>
      <c r="G81" s="461"/>
      <c r="H81" s="462"/>
    </row>
    <row r="82" spans="2:8" ht="15.75">
      <c r="B82" s="480" t="s">
        <v>164</v>
      </c>
      <c r="C82" s="461"/>
      <c r="D82" s="481" t="s">
        <v>323</v>
      </c>
      <c r="E82" s="461"/>
      <c r="F82" s="461"/>
      <c r="G82" s="461"/>
      <c r="H82" s="462"/>
    </row>
    <row r="83" spans="2:8" ht="15.75">
      <c r="B83" s="452"/>
      <c r="C83" s="461"/>
      <c r="D83" s="461"/>
      <c r="E83" s="461"/>
      <c r="F83" s="461"/>
      <c r="G83" s="461"/>
      <c r="H83" s="462"/>
    </row>
    <row r="84" spans="2:8" ht="15.75">
      <c r="B84" s="452" t="s">
        <v>311</v>
      </c>
      <c r="C84" s="461"/>
      <c r="D84" s="463">
        <v>0</v>
      </c>
      <c r="E84" s="464">
        <v>-1286788.8319999999</v>
      </c>
      <c r="F84" s="464">
        <f t="shared" si="3" ref="F84:F90">E84-D84</f>
        <v>-1286788.8319999999</v>
      </c>
      <c r="G84" s="461"/>
      <c r="H84" s="462"/>
    </row>
    <row r="85" spans="2:8" ht="15.75">
      <c r="B85" s="452" t="s">
        <v>312</v>
      </c>
      <c r="C85" s="461"/>
      <c r="D85" s="465">
        <v>0</v>
      </c>
      <c r="E85" s="464">
        <v>0</v>
      </c>
      <c r="F85" s="464">
        <f t="shared" si="3"/>
        <v>0</v>
      </c>
      <c r="G85" s="461"/>
      <c r="H85" s="462"/>
    </row>
    <row r="86" spans="2:8" ht="15.75">
      <c r="B86" s="452" t="s">
        <v>313</v>
      </c>
      <c r="C86" s="461"/>
      <c r="D86" s="468">
        <v>0</v>
      </c>
      <c r="E86" s="464">
        <v>309769.19040000002</v>
      </c>
      <c r="F86" s="464">
        <f t="shared" si="3"/>
        <v>309769.19040000002</v>
      </c>
      <c r="G86" s="461"/>
      <c r="H86" s="462"/>
    </row>
    <row r="87" spans="2:8" ht="15.75">
      <c r="B87" s="452" t="s">
        <v>179</v>
      </c>
      <c r="C87" s="461"/>
      <c r="D87" s="468">
        <v>0</v>
      </c>
      <c r="E87" s="464">
        <v>760868.43680000002</v>
      </c>
      <c r="F87" s="464">
        <f t="shared" si="3"/>
        <v>760868.43680000002</v>
      </c>
      <c r="G87" s="461"/>
      <c r="H87" s="462"/>
    </row>
    <row r="88" spans="2:8" ht="15.75">
      <c r="B88" s="452" t="s">
        <v>314</v>
      </c>
      <c r="C88" s="461"/>
      <c r="D88" s="468">
        <v>0</v>
      </c>
      <c r="E88" s="482">
        <v>-29652.828799999999</v>
      </c>
      <c r="F88" s="466">
        <f t="shared" si="3"/>
        <v>-29652.828799999999</v>
      </c>
      <c r="G88" s="461"/>
      <c r="H88" s="462"/>
    </row>
    <row r="89" spans="2:8" ht="15.75">
      <c r="B89" s="452" t="s">
        <v>315</v>
      </c>
      <c r="C89" s="461"/>
      <c r="D89" s="468">
        <v>0</v>
      </c>
      <c r="E89" s="466">
        <v>0</v>
      </c>
      <c r="F89" s="466">
        <f t="shared" si="3"/>
        <v>0</v>
      </c>
      <c r="G89" s="461"/>
      <c r="H89" s="462"/>
    </row>
    <row r="90" spans="2:8" ht="15.75">
      <c r="B90" s="452" t="s">
        <v>316</v>
      </c>
      <c r="C90" s="461"/>
      <c r="D90" s="470">
        <v>0</v>
      </c>
      <c r="E90" s="471">
        <v>0</v>
      </c>
      <c r="F90" s="471">
        <f t="shared" si="3"/>
        <v>0</v>
      </c>
      <c r="G90" s="461"/>
      <c r="H90" s="462"/>
    </row>
    <row r="91" spans="2:8" ht="15.75">
      <c r="B91" s="452"/>
      <c r="C91" s="461"/>
      <c r="D91" s="472"/>
      <c r="E91" s="473"/>
      <c r="F91" s="473"/>
      <c r="G91" s="461"/>
      <c r="H91" s="462"/>
    </row>
    <row r="92" spans="2:8" ht="15.75">
      <c r="B92" s="458" t="s">
        <v>317</v>
      </c>
      <c r="C92" s="461"/>
      <c r="D92" s="475">
        <f>SUM(D84:D90)</f>
        <v>0</v>
      </c>
      <c r="E92" s="475">
        <f>SUM(E84:E90)</f>
        <v>-245804.03359999994</v>
      </c>
      <c r="F92" s="475">
        <f>SUM(F84:F90)</f>
        <v>-245804.03359999994</v>
      </c>
      <c r="G92" s="461"/>
      <c r="H92" s="462"/>
    </row>
    <row r="93" spans="2:8" ht="15">
      <c r="B93" s="452"/>
      <c r="C93" s="483"/>
      <c r="D93" s="466"/>
      <c r="E93" s="466"/>
      <c r="F93" s="466"/>
      <c r="G93" s="483"/>
      <c r="H93" s="462"/>
    </row>
    <row r="94" spans="2:8" ht="15.75">
      <c r="B94" s="452" t="s">
        <v>324</v>
      </c>
      <c r="C94" s="461"/>
      <c r="D94" s="463">
        <v>0</v>
      </c>
      <c r="E94" s="464">
        <v>32607.252799999998</v>
      </c>
      <c r="F94" s="464"/>
      <c r="G94" s="461"/>
      <c r="H94" s="462"/>
    </row>
    <row r="95" spans="2:8" ht="15.75">
      <c r="B95" s="452" t="s">
        <v>325</v>
      </c>
      <c r="C95" s="461"/>
      <c r="D95" s="470">
        <v>0</v>
      </c>
      <c r="E95" s="667">
        <v>-24226.2768</v>
      </c>
      <c r="F95" s="667"/>
      <c r="G95" s="461"/>
      <c r="H95" s="462"/>
    </row>
    <row r="96" spans="2:8" ht="15.75">
      <c r="B96" s="458" t="s">
        <v>318</v>
      </c>
      <c r="C96" s="461"/>
      <c r="D96" s="475">
        <f>-D94+D95</f>
        <v>0</v>
      </c>
      <c r="E96" s="475">
        <f>-E94-E95</f>
        <v>-8380.9759999999987</v>
      </c>
      <c r="F96" s="475"/>
      <c r="G96" s="461"/>
      <c r="H96" s="462"/>
    </row>
    <row r="97" spans="2:8" ht="15.75">
      <c r="B97" s="452"/>
      <c r="C97" s="461"/>
      <c r="D97" s="473"/>
      <c r="E97" s="473"/>
      <c r="F97" s="473"/>
      <c r="G97" s="461"/>
      <c r="H97" s="462"/>
    </row>
    <row r="98" spans="2:8" ht="15.75">
      <c r="B98" s="452"/>
      <c r="C98" s="461"/>
      <c r="D98" s="466"/>
      <c r="E98" s="473"/>
      <c r="F98" s="473"/>
      <c r="G98" s="461"/>
      <c r="H98" s="462"/>
    </row>
    <row r="99" spans="2:8" ht="15.75">
      <c r="B99" s="458" t="s">
        <v>319</v>
      </c>
      <c r="C99" s="461"/>
      <c r="D99" s="463">
        <v>0</v>
      </c>
      <c r="E99" s="464">
        <v>89973.500210686558</v>
      </c>
      <c r="F99" s="475"/>
      <c r="G99" s="462" t="s">
        <v>320</v>
      </c>
      <c r="H99" s="462"/>
    </row>
    <row r="100" spans="2:8" ht="15.75">
      <c r="B100" s="452" t="s">
        <v>321</v>
      </c>
      <c r="C100" s="461"/>
      <c r="D100" s="471"/>
      <c r="E100" s="477">
        <v>0.163543577281175</v>
      </c>
      <c r="F100" s="473"/>
      <c r="G100" s="461"/>
      <c r="H100" s="462"/>
    </row>
    <row r="101" spans="2:8" ht="15.75">
      <c r="B101" s="452" t="s">
        <v>322</v>
      </c>
      <c r="C101" s="461"/>
      <c r="D101" s="478">
        <v>0</v>
      </c>
      <c r="E101" s="475">
        <f>(E100*E99)</f>
        <v>14714.588084964233</v>
      </c>
      <c r="F101" s="475">
        <f>-E101+D101</f>
        <v>-14714.588084964233</v>
      </c>
      <c r="G101" s="461"/>
      <c r="H101" s="462"/>
    </row>
    <row r="102" spans="2:8" ht="15">
      <c r="B102" s="452"/>
      <c r="C102" s="462"/>
      <c r="D102" s="462"/>
      <c r="E102" s="462"/>
      <c r="F102" s="462"/>
      <c r="G102" s="462"/>
      <c r="H102" s="462"/>
    </row>
    <row r="123" spans="1:3" ht="12">
      <c r="A123" s="53"/>
      <c r="B123" s="53"/>
      <c r="C123" s="53"/>
    </row>
    <row r="124" spans="1:3" ht="12">
      <c r="A124" s="53"/>
      <c r="B124" s="53"/>
      <c r="C124" s="53"/>
    </row>
    <row r="125" spans="1:3" ht="12">
      <c r="A125" s="53"/>
      <c r="B125" s="53"/>
      <c r="C125" s="53"/>
    </row>
    <row r="126" spans="1:3" ht="12">
      <c r="A126" s="53"/>
      <c r="B126" s="53"/>
      <c r="C126" s="53"/>
    </row>
    <row r="127" spans="1:3" ht="12">
      <c r="A127" s="53"/>
      <c r="B127" s="53"/>
      <c r="C127" s="53"/>
    </row>
    <row r="157" ht="12">
      <c r="A157" s="53"/>
    </row>
    <row r="226" ht="12">
      <c r="A226" s="1"/>
    </row>
    <row r="243" ht="12">
      <c r="A243" s="53"/>
    </row>
    <row r="244" ht="12">
      <c r="A244" s="53"/>
    </row>
    <row r="245" ht="12">
      <c r="A245" s="53"/>
    </row>
    <row r="246" ht="12">
      <c r="A246" s="53"/>
    </row>
    <row r="247" ht="12">
      <c r="A247" s="53"/>
    </row>
    <row r="248" ht="12">
      <c r="A248" s="53"/>
    </row>
    <row r="249" ht="12">
      <c r="A249" s="53"/>
    </row>
    <row r="250" ht="12">
      <c r="A250" s="53"/>
    </row>
    <row r="251" ht="12">
      <c r="A251" s="53"/>
    </row>
    <row r="252" ht="12">
      <c r="A252" s="53"/>
    </row>
    <row r="253" ht="12">
      <c r="A253" s="53"/>
    </row>
    <row r="254" ht="12">
      <c r="A254" s="53"/>
    </row>
    <row r="255" ht="12">
      <c r="A255" s="53"/>
    </row>
    <row r="256" ht="12">
      <c r="A256" s="53"/>
    </row>
    <row r="257" ht="12">
      <c r="A257" s="53"/>
    </row>
    <row r="258" ht="12">
      <c r="A258" s="53"/>
    </row>
    <row r="259" ht="12">
      <c r="A259" s="53"/>
    </row>
    <row r="260" ht="12">
      <c r="A260" s="53"/>
    </row>
    <row r="261" ht="12">
      <c r="A261" s="53"/>
    </row>
    <row r="262" ht="12">
      <c r="A262" s="53"/>
    </row>
    <row r="263" ht="12">
      <c r="A263" s="53"/>
    </row>
    <row r="264" ht="12">
      <c r="A264" s="53"/>
    </row>
    <row r="265" ht="12">
      <c r="A265" s="53"/>
    </row>
    <row r="266" ht="12">
      <c r="A266" s="53"/>
    </row>
    <row r="267" ht="12">
      <c r="A267" s="53"/>
    </row>
    <row r="268" ht="12">
      <c r="A268" s="53"/>
    </row>
    <row r="269" ht="12">
      <c r="A269" s="53"/>
    </row>
    <row r="270" ht="12">
      <c r="A270" s="53"/>
    </row>
    <row r="271" ht="12">
      <c r="A271" s="53"/>
    </row>
    <row r="272" ht="12">
      <c r="A272" s="53"/>
    </row>
    <row r="273" ht="12">
      <c r="A273" s="53"/>
    </row>
    <row r="274" ht="12">
      <c r="A274" s="53"/>
    </row>
    <row r="275" ht="12">
      <c r="A275" s="53"/>
    </row>
    <row r="276" ht="12">
      <c r="A276" s="53"/>
    </row>
    <row r="277" ht="12">
      <c r="A277" s="53"/>
    </row>
    <row r="278" ht="12">
      <c r="A278" s="53"/>
    </row>
    <row r="279" ht="12">
      <c r="A279" s="53"/>
    </row>
    <row r="280" ht="12">
      <c r="A280" s="53"/>
    </row>
    <row r="281" ht="12">
      <c r="A281" s="53"/>
    </row>
    <row r="282" ht="12">
      <c r="A282" s="53"/>
    </row>
    <row r="283" ht="12">
      <c r="A283" s="53"/>
    </row>
    <row r="284" ht="12">
      <c r="A284" s="53"/>
    </row>
    <row r="285" ht="12">
      <c r="A285" s="53"/>
    </row>
    <row r="286" ht="12">
      <c r="A286" s="53"/>
    </row>
    <row r="287" ht="12">
      <c r="A287" s="53"/>
    </row>
    <row r="288" ht="12">
      <c r="A288" s="53"/>
    </row>
    <row r="289" ht="12">
      <c r="A289" s="53"/>
    </row>
    <row r="290" ht="12">
      <c r="A290" s="53"/>
    </row>
    <row r="291" ht="12">
      <c r="A291" s="53"/>
    </row>
    <row r="292" ht="12">
      <c r="A292" s="53"/>
    </row>
    <row r="293" ht="12">
      <c r="A293" s="53"/>
    </row>
    <row r="294" ht="12">
      <c r="A294" s="53"/>
    </row>
    <row r="295" ht="12">
      <c r="A295" s="53"/>
    </row>
    <row r="296" ht="12">
      <c r="A296" s="53"/>
    </row>
    <row r="297" ht="12">
      <c r="A297" s="53"/>
    </row>
  </sheetData>
  <mergeCells count="1">
    <mergeCell ref="A7:E8"/>
  </mergeCells>
  <pageMargins left="0.7" right="0.7" top="0.75" bottom="0.75" header="0.3" footer="0.3"/>
  <pageSetup horizontalDpi="300" verticalDpi="300" orientation="portrait" r:id="rId1"/>
  <headerFooter>
    <oddFooter>&amp;L&amp;"Times New Roman,Regular"&amp;9O3129680.v1</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M332"/>
  <sheetViews>
    <sheetView workbookViewId="0" topLeftCell="A1"/>
  </sheetViews>
  <sheetFormatPr defaultColWidth="10.85546875" defaultRowHeight="12"/>
  <cols>
    <col min="1" max="1" width="4.14285714285714" style="2" customWidth="1"/>
    <col min="2" max="2" width="33" style="2" customWidth="1"/>
    <col min="3" max="3" width="12.7142857142857" style="2" customWidth="1"/>
    <col min="4" max="4" width="11.2857142857143" style="2" customWidth="1"/>
    <col min="5" max="5" width="11.4285714285714" style="2" customWidth="1"/>
    <col min="6" max="6" width="10.7142857142857" style="30" customWidth="1"/>
    <col min="7" max="7" width="12.1428571428571" style="2" bestFit="1" customWidth="1"/>
    <col min="8" max="8" width="11.5714285714286" style="2" bestFit="1" customWidth="1"/>
    <col min="9" max="13" width="11" style="2" bestFit="1" customWidth="1"/>
    <col min="14" max="16384" width="10.8571428571429" style="54"/>
  </cols>
  <sheetData>
    <row r="1" spans="1:13" s="4" customFormat="1" ht="12">
      <c r="A1" s="1" t="s">
        <v>0</v>
      </c>
      <c r="B1" s="1"/>
      <c r="C1" s="2"/>
      <c r="D1" s="2"/>
      <c r="G1" s="490" t="s">
        <v>1</v>
      </c>
      <c r="H1" s="2"/>
      <c r="I1" s="2"/>
      <c r="J1" s="2"/>
      <c r="K1" s="2"/>
      <c r="L1" s="2"/>
      <c r="M1" s="2"/>
    </row>
    <row r="2" spans="1:13" s="4" customFormat="1" ht="12">
      <c r="A2" s="1" t="s">
        <v>2</v>
      </c>
      <c r="B2" s="1"/>
      <c r="C2" s="3"/>
      <c r="D2" s="2"/>
      <c r="G2" s="486"/>
      <c r="H2" s="2"/>
      <c r="I2" s="2"/>
      <c r="J2" s="2"/>
      <c r="K2" s="2"/>
      <c r="L2" s="2"/>
      <c r="M2" s="2"/>
    </row>
    <row r="3" spans="1:13" s="4" customFormat="1" ht="12">
      <c r="A3" s="1"/>
      <c r="B3" s="1"/>
      <c r="C3" s="2"/>
      <c r="D3" s="2"/>
      <c r="G3" s="487" t="s">
        <v>3</v>
      </c>
      <c r="H3" s="2"/>
      <c r="I3" s="2"/>
      <c r="J3" s="2"/>
      <c r="K3" s="2"/>
      <c r="L3" s="2"/>
      <c r="M3" s="2"/>
    </row>
    <row r="4" spans="1:13" s="4" customFormat="1" ht="12">
      <c r="A4" s="1" t="s">
        <v>111</v>
      </c>
      <c r="B4" s="1"/>
      <c r="C4" s="75"/>
      <c r="D4" s="76"/>
      <c r="G4" s="487" t="s">
        <v>4</v>
      </c>
      <c r="H4" s="2"/>
      <c r="I4" s="2"/>
      <c r="J4" s="2"/>
      <c r="K4" s="2"/>
      <c r="L4" s="2"/>
      <c r="M4" s="2"/>
    </row>
    <row r="5" spans="1:13" s="4" customFormat="1" ht="12">
      <c r="A5" s="386" t="s">
        <v>586</v>
      </c>
      <c r="B5" s="1"/>
      <c r="C5" s="77"/>
      <c r="D5" s="76"/>
      <c r="G5" s="490" t="s">
        <v>112</v>
      </c>
      <c r="H5" s="2"/>
      <c r="I5" s="2"/>
      <c r="J5" s="2"/>
      <c r="K5" s="2"/>
      <c r="L5" s="2"/>
      <c r="M5" s="2"/>
    </row>
    <row r="6" spans="1:13" s="4" customFormat="1" ht="12">
      <c r="A6" s="1" t="s">
        <v>113</v>
      </c>
      <c r="B6" s="1"/>
      <c r="C6" s="77"/>
      <c r="D6" s="76"/>
      <c r="G6" s="486"/>
      <c r="H6" s="2"/>
      <c r="I6" s="2"/>
      <c r="J6" s="2"/>
      <c r="K6" s="2"/>
      <c r="L6" s="2"/>
      <c r="M6" s="2"/>
    </row>
    <row r="7" spans="1:13" s="4" customFormat="1" ht="12">
      <c r="A7" s="8" t="s">
        <v>5</v>
      </c>
      <c r="B7" s="9"/>
      <c r="C7" s="77"/>
      <c r="D7" s="76"/>
      <c r="G7" s="490" t="s">
        <v>6</v>
      </c>
      <c r="H7" s="2"/>
      <c r="I7" s="2"/>
      <c r="J7" s="2"/>
      <c r="K7" s="2"/>
      <c r="L7" s="2"/>
      <c r="M7" s="2"/>
    </row>
    <row r="8" spans="1:13" s="4" customFormat="1" ht="12.75" thickBot="1">
      <c r="A8" s="10"/>
      <c r="B8" s="10"/>
      <c r="C8" s="11"/>
      <c r="D8" s="11"/>
      <c r="E8" s="11"/>
      <c r="F8" s="12"/>
      <c r="G8" s="10"/>
      <c r="H8" s="2"/>
      <c r="I8" s="1"/>
      <c r="J8" s="2"/>
      <c r="K8" s="2"/>
      <c r="L8" s="2"/>
      <c r="M8" s="2"/>
    </row>
    <row r="9" spans="1:13" s="18" customFormat="1" ht="12">
      <c r="A9" s="13"/>
      <c r="B9" s="15">
        <v>-1</v>
      </c>
      <c r="C9" s="16">
        <f>+B9-1</f>
        <v>-2</v>
      </c>
      <c r="D9" s="16">
        <f t="shared" si="0" ref="D9:G9">C9-1</f>
        <v>-3</v>
      </c>
      <c r="E9" s="16">
        <f t="shared" si="0"/>
        <v>-4</v>
      </c>
      <c r="F9" s="16">
        <f t="shared" si="0"/>
        <v>-5</v>
      </c>
      <c r="G9" s="16">
        <f t="shared" si="0"/>
        <v>-6</v>
      </c>
      <c r="H9" s="17"/>
      <c r="I9" s="16"/>
      <c r="J9" s="17"/>
      <c r="K9" s="17"/>
      <c r="L9" s="17"/>
      <c r="M9" s="17"/>
    </row>
    <row r="10" spans="1:13" s="4" customFormat="1" ht="12" customHeight="1">
      <c r="A10" s="415" t="s">
        <v>91</v>
      </c>
      <c r="B10" s="19"/>
      <c r="C10" s="20" t="s">
        <v>9</v>
      </c>
      <c r="D10" s="488" t="s">
        <v>108</v>
      </c>
      <c r="E10" s="21" t="s">
        <v>10</v>
      </c>
      <c r="F10" s="22" t="s">
        <v>11</v>
      </c>
      <c r="G10" s="21" t="s">
        <v>11</v>
      </c>
      <c r="H10" s="2"/>
      <c r="I10" s="21"/>
      <c r="J10" s="35"/>
      <c r="K10" s="2"/>
      <c r="L10" s="2"/>
      <c r="M10" s="2"/>
    </row>
    <row r="11" spans="1:13" s="4" customFormat="1" ht="23.25" customHeight="1">
      <c r="A11" s="23" t="s">
        <v>94</v>
      </c>
      <c r="B11" s="24" t="s">
        <v>12</v>
      </c>
      <c r="C11" s="78" t="s">
        <v>13</v>
      </c>
      <c r="D11" s="25" t="s">
        <v>8</v>
      </c>
      <c r="E11" s="26" t="s">
        <v>14</v>
      </c>
      <c r="F11" s="27" t="s">
        <v>15</v>
      </c>
      <c r="G11" s="25" t="s">
        <v>16</v>
      </c>
      <c r="H11" s="2"/>
      <c r="I11" s="79"/>
      <c r="J11" s="35"/>
      <c r="K11" s="2"/>
      <c r="L11" s="2"/>
      <c r="M11" s="2"/>
    </row>
    <row r="12" spans="1:13" s="4" customFormat="1" ht="12">
      <c r="A12" s="28">
        <v>1</v>
      </c>
      <c r="B12" s="1" t="s">
        <v>17</v>
      </c>
      <c r="C12" s="29"/>
      <c r="D12" s="29"/>
      <c r="E12" s="29"/>
      <c r="F12" s="30"/>
      <c r="G12" s="29"/>
      <c r="H12" s="2"/>
      <c r="I12" s="2"/>
      <c r="J12" s="2"/>
      <c r="K12" s="2"/>
      <c r="L12" s="2"/>
      <c r="M12" s="2"/>
    </row>
    <row r="13" spans="1:13" s="4" customFormat="1" ht="12">
      <c r="A13" s="31">
        <f>A12+1</f>
        <v>2</v>
      </c>
      <c r="B13" s="2" t="s">
        <v>18</v>
      </c>
      <c r="C13" s="33"/>
      <c r="D13" s="33"/>
      <c r="E13" s="63"/>
      <c r="F13" s="30"/>
      <c r="G13" s="29"/>
      <c r="H13" s="2"/>
      <c r="I13" s="2"/>
      <c r="J13" s="2"/>
      <c r="K13" s="2"/>
      <c r="L13" s="2"/>
      <c r="M13" s="2"/>
    </row>
    <row r="14" spans="1:13" s="4" customFormat="1" ht="12">
      <c r="A14" s="31">
        <f t="shared" si="1" ref="A14:A64">A13+1</f>
        <v>3</v>
      </c>
      <c r="B14" s="2" t="s">
        <v>19</v>
      </c>
      <c r="C14" s="29"/>
      <c r="D14" s="29"/>
      <c r="E14" s="63"/>
      <c r="F14" s="30"/>
      <c r="G14" s="29"/>
      <c r="H14" s="2"/>
      <c r="I14" s="2"/>
      <c r="J14" s="2"/>
      <c r="K14" s="2"/>
      <c r="L14" s="2"/>
      <c r="M14" s="2"/>
    </row>
    <row r="15" spans="1:13" s="4" customFormat="1" ht="12">
      <c r="A15" s="31">
        <f t="shared" si="1"/>
        <v>4</v>
      </c>
      <c r="B15" s="2" t="s">
        <v>20</v>
      </c>
      <c r="C15" s="29">
        <f>+'SAND TB'!P17</f>
        <v>2229799.3199999998</v>
      </c>
      <c r="D15" s="39"/>
      <c r="E15" s="39">
        <f t="shared" si="2" ref="E15:E16">C15+D15</f>
        <v>2229799.3199999998</v>
      </c>
      <c r="F15" s="30">
        <f>1-51.62%</f>
        <v>0.48380000000000001</v>
      </c>
      <c r="G15" s="39">
        <f>IF(F15=0,"",ROUND(E15*F15,0))</f>
        <v>1078777</v>
      </c>
      <c r="H15" s="2"/>
      <c r="I15" s="2"/>
      <c r="J15" s="2"/>
      <c r="K15" s="2"/>
      <c r="L15" s="2"/>
      <c r="M15" s="2"/>
    </row>
    <row r="16" spans="1:13" s="4" customFormat="1" ht="12">
      <c r="A16" s="31">
        <f t="shared" si="1"/>
        <v>5</v>
      </c>
      <c r="B16" s="1" t="s">
        <v>21</v>
      </c>
      <c r="C16" s="29"/>
      <c r="D16" s="39"/>
      <c r="E16" s="39">
        <f t="shared" si="2"/>
        <v>0</v>
      </c>
      <c r="F16" s="30"/>
      <c r="G16" s="29" t="str">
        <f t="shared" si="3" ref="G16">IF(F16=0,"",ROUND(E16*F16,0))</f>
        <v/>
      </c>
      <c r="H16" s="2"/>
      <c r="I16" s="2"/>
      <c r="J16" s="2"/>
      <c r="K16" s="2"/>
      <c r="L16" s="2"/>
      <c r="M16" s="2"/>
    </row>
    <row r="17" spans="1:13" s="4" customFormat="1" ht="12">
      <c r="A17" s="31">
        <f t="shared" si="1"/>
        <v>6</v>
      </c>
      <c r="B17" s="2" t="s">
        <v>22</v>
      </c>
      <c r="C17" s="39"/>
      <c r="D17" s="39"/>
      <c r="E17" s="39"/>
      <c r="F17" s="30"/>
      <c r="G17" s="29"/>
      <c r="H17" s="2"/>
      <c r="I17" s="2"/>
      <c r="J17" s="2"/>
      <c r="K17" s="2"/>
      <c r="L17" s="2"/>
      <c r="M17" s="2"/>
    </row>
    <row r="18" spans="1:13" s="4" customFormat="1" ht="12">
      <c r="A18" s="31">
        <f t="shared" si="1"/>
        <v>7</v>
      </c>
      <c r="B18" s="2" t="s">
        <v>23</v>
      </c>
      <c r="C18" s="39"/>
      <c r="D18" s="39"/>
      <c r="E18" s="39"/>
      <c r="F18" s="30"/>
      <c r="G18" s="29"/>
      <c r="H18" s="2"/>
      <c r="I18" s="2"/>
      <c r="J18" s="2"/>
      <c r="K18" s="2"/>
      <c r="L18" s="2"/>
      <c r="M18" s="2"/>
    </row>
    <row r="19" spans="1:13" s="4" customFormat="1" ht="12">
      <c r="A19" s="31">
        <f t="shared" si="1"/>
        <v>8</v>
      </c>
      <c r="B19" s="36" t="s">
        <v>24</v>
      </c>
      <c r="C19" s="39"/>
      <c r="D19" s="39"/>
      <c r="E19" s="39"/>
      <c r="F19" s="30"/>
      <c r="G19" s="29"/>
      <c r="H19" s="2"/>
      <c r="I19" s="2"/>
      <c r="J19" s="2"/>
      <c r="K19" s="2"/>
      <c r="L19" s="2"/>
      <c r="M19" s="2"/>
    </row>
    <row r="20" spans="1:13" s="4" customFormat="1" ht="12">
      <c r="A20" s="31">
        <f t="shared" si="1"/>
        <v>9</v>
      </c>
      <c r="B20" s="2" t="s">
        <v>25</v>
      </c>
      <c r="C20" s="39"/>
      <c r="D20" s="39"/>
      <c r="E20" s="39"/>
      <c r="F20" s="30"/>
      <c r="G20" s="29"/>
      <c r="H20" s="2"/>
      <c r="I20" s="2"/>
      <c r="J20" s="2"/>
      <c r="K20" s="2"/>
      <c r="L20" s="2"/>
      <c r="M20" s="2"/>
    </row>
    <row r="21" spans="1:13" s="4" customFormat="1" ht="12">
      <c r="A21" s="31">
        <f t="shared" si="1"/>
        <v>10</v>
      </c>
      <c r="B21" s="2" t="s">
        <v>26</v>
      </c>
      <c r="C21" s="39"/>
      <c r="D21" s="39"/>
      <c r="E21" s="39"/>
      <c r="F21" s="30"/>
      <c r="G21" s="29"/>
      <c r="H21" s="2"/>
      <c r="I21" s="2"/>
      <c r="J21" s="2"/>
      <c r="K21" s="2"/>
      <c r="L21" s="2"/>
      <c r="M21" s="2"/>
    </row>
    <row r="22" spans="1:13" s="4" customFormat="1" ht="12">
      <c r="A22" s="31">
        <f t="shared" si="1"/>
        <v>11</v>
      </c>
      <c r="B22" s="2" t="s">
        <v>27</v>
      </c>
      <c r="C22" s="39"/>
      <c r="D22" s="39"/>
      <c r="E22" s="39"/>
      <c r="F22" s="30"/>
      <c r="G22" s="29"/>
      <c r="H22" s="2"/>
      <c r="I22" s="2"/>
      <c r="J22" s="2"/>
      <c r="K22" s="2"/>
      <c r="L22" s="2"/>
      <c r="M22" s="2"/>
    </row>
    <row r="23" spans="1:13" s="4" customFormat="1" ht="12">
      <c r="A23" s="31">
        <f t="shared" si="1"/>
        <v>12</v>
      </c>
      <c r="B23" s="2" t="s">
        <v>28</v>
      </c>
      <c r="C23" s="39"/>
      <c r="D23" s="39"/>
      <c r="E23" s="39"/>
      <c r="F23" s="30"/>
      <c r="G23" s="29"/>
      <c r="H23" s="2"/>
      <c r="I23" s="2"/>
      <c r="J23" s="2"/>
      <c r="K23" s="2"/>
      <c r="L23" s="2"/>
      <c r="M23" s="2"/>
    </row>
    <row r="24" spans="1:13" s="4" customFormat="1" ht="12">
      <c r="A24" s="31">
        <f t="shared" si="1"/>
        <v>13</v>
      </c>
      <c r="B24" s="2" t="s">
        <v>29</v>
      </c>
      <c r="C24" s="39"/>
      <c r="D24" s="39"/>
      <c r="E24" s="39"/>
      <c r="F24" s="30"/>
      <c r="G24" s="29"/>
      <c r="H24" s="2"/>
      <c r="I24" s="2"/>
      <c r="J24" s="2"/>
      <c r="K24" s="2"/>
      <c r="L24" s="2"/>
      <c r="M24" s="2"/>
    </row>
    <row r="25" spans="1:13" s="4" customFormat="1" ht="12">
      <c r="A25" s="31">
        <f t="shared" si="1"/>
        <v>14</v>
      </c>
      <c r="B25" s="2" t="s">
        <v>30</v>
      </c>
      <c r="C25" s="39"/>
      <c r="D25" s="39"/>
      <c r="E25" s="39"/>
      <c r="F25" s="30"/>
      <c r="G25" s="29"/>
      <c r="H25" s="2"/>
      <c r="I25" s="2"/>
      <c r="J25" s="2"/>
      <c r="K25" s="2"/>
      <c r="L25" s="2"/>
      <c r="M25" s="2"/>
    </row>
    <row r="26" spans="1:13" s="4" customFormat="1" ht="12">
      <c r="A26" s="31">
        <f t="shared" si="1"/>
        <v>15</v>
      </c>
      <c r="B26" s="2" t="s">
        <v>31</v>
      </c>
      <c r="C26" s="39"/>
      <c r="D26" s="39"/>
      <c r="E26" s="39"/>
      <c r="F26" s="30"/>
      <c r="G26" s="29"/>
      <c r="H26" s="2"/>
      <c r="I26" s="2"/>
      <c r="J26" s="2"/>
      <c r="K26" s="2"/>
      <c r="L26" s="2"/>
      <c r="M26" s="2"/>
    </row>
    <row r="27" spans="1:13" s="4" customFormat="1" ht="12">
      <c r="A27" s="31">
        <f t="shared" si="1"/>
        <v>16</v>
      </c>
      <c r="B27" s="1" t="s">
        <v>32</v>
      </c>
      <c r="C27" s="39"/>
      <c r="D27" s="39"/>
      <c r="E27" s="39"/>
      <c r="F27" s="30"/>
      <c r="G27" s="29"/>
      <c r="H27" s="2"/>
      <c r="I27" s="2"/>
      <c r="J27" s="2"/>
      <c r="K27" s="2"/>
      <c r="L27" s="2"/>
      <c r="M27" s="2"/>
    </row>
    <row r="28" spans="1:13" s="4" customFormat="1" ht="12">
      <c r="A28" s="31">
        <f t="shared" si="1"/>
        <v>17</v>
      </c>
      <c r="B28" s="2" t="s">
        <v>33</v>
      </c>
      <c r="C28" s="39"/>
      <c r="D28" s="39"/>
      <c r="E28" s="39"/>
      <c r="F28" s="30"/>
      <c r="G28" s="29"/>
      <c r="H28" s="2"/>
      <c r="I28" s="2"/>
      <c r="J28" s="2"/>
      <c r="K28" s="2"/>
      <c r="L28" s="2"/>
      <c r="M28" s="2"/>
    </row>
    <row r="29" spans="1:13" s="4" customFormat="1" ht="12">
      <c r="A29" s="31">
        <f t="shared" si="1"/>
        <v>18</v>
      </c>
      <c r="B29" s="2" t="s">
        <v>34</v>
      </c>
      <c r="C29" s="39"/>
      <c r="D29" s="39"/>
      <c r="E29" s="39"/>
      <c r="F29" s="30"/>
      <c r="G29" s="29"/>
      <c r="H29" s="2"/>
      <c r="I29" s="2"/>
      <c r="J29" s="2"/>
      <c r="K29" s="2"/>
      <c r="L29" s="2"/>
      <c r="M29" s="2"/>
    </row>
    <row r="30" spans="1:13" s="4" customFormat="1" ht="12">
      <c r="A30" s="31">
        <f t="shared" si="1"/>
        <v>19</v>
      </c>
      <c r="B30" s="2" t="s">
        <v>35</v>
      </c>
      <c r="C30" s="39"/>
      <c r="D30" s="39"/>
      <c r="E30" s="39"/>
      <c r="F30" s="30"/>
      <c r="G30" s="29"/>
      <c r="H30" s="2"/>
      <c r="I30" s="2"/>
      <c r="J30" s="2"/>
      <c r="K30" s="2"/>
      <c r="L30" s="2"/>
      <c r="M30" s="2"/>
    </row>
    <row r="31" spans="1:13" s="4" customFormat="1" ht="12">
      <c r="A31" s="31">
        <f t="shared" si="1"/>
        <v>20</v>
      </c>
      <c r="B31" s="2" t="s">
        <v>36</v>
      </c>
      <c r="C31" s="39"/>
      <c r="D31" s="39"/>
      <c r="E31" s="39"/>
      <c r="F31" s="30"/>
      <c r="G31" s="29"/>
      <c r="H31" s="2"/>
      <c r="I31" s="2"/>
      <c r="J31" s="2"/>
      <c r="K31" s="2"/>
      <c r="L31" s="2"/>
      <c r="M31" s="2"/>
    </row>
    <row r="32" spans="1:13" s="4" customFormat="1" ht="12">
      <c r="A32" s="31">
        <f t="shared" si="1"/>
        <v>21</v>
      </c>
      <c r="B32" s="2" t="s">
        <v>37</v>
      </c>
      <c r="C32" s="39"/>
      <c r="D32" s="39"/>
      <c r="E32" s="39"/>
      <c r="F32" s="30"/>
      <c r="G32" s="29"/>
      <c r="H32" s="2"/>
      <c r="I32" s="2"/>
      <c r="J32" s="2"/>
      <c r="K32" s="2"/>
      <c r="L32" s="2"/>
      <c r="M32" s="2"/>
    </row>
    <row r="33" spans="1:13" s="4" customFormat="1" ht="12">
      <c r="A33" s="31">
        <f t="shared" si="1"/>
        <v>22</v>
      </c>
      <c r="B33" s="1" t="s">
        <v>38</v>
      </c>
      <c r="C33" s="39"/>
      <c r="D33" s="39"/>
      <c r="E33" s="39"/>
      <c r="F33" s="30"/>
      <c r="G33" s="29"/>
      <c r="H33" s="2"/>
      <c r="I33" s="2"/>
      <c r="J33" s="2"/>
      <c r="K33" s="2"/>
      <c r="L33" s="2"/>
      <c r="M33" s="2"/>
    </row>
    <row r="34" spans="1:13" s="4" customFormat="1" ht="12">
      <c r="A34" s="31">
        <f t="shared" si="1"/>
        <v>23</v>
      </c>
      <c r="B34" s="2" t="s">
        <v>39</v>
      </c>
      <c r="C34" s="39"/>
      <c r="D34" s="39"/>
      <c r="E34" s="39"/>
      <c r="F34" s="30"/>
      <c r="G34" s="29"/>
      <c r="H34" s="2"/>
      <c r="I34" s="2"/>
      <c r="J34" s="2"/>
      <c r="K34" s="2"/>
      <c r="L34" s="2"/>
      <c r="M34" s="2"/>
    </row>
    <row r="35" spans="1:13" s="4" customFormat="1" ht="12">
      <c r="A35" s="31">
        <f t="shared" si="1"/>
        <v>24</v>
      </c>
      <c r="B35" s="2" t="s">
        <v>40</v>
      </c>
      <c r="C35" s="39"/>
      <c r="D35" s="39"/>
      <c r="E35" s="39"/>
      <c r="F35" s="30"/>
      <c r="G35" s="29"/>
      <c r="H35" s="2"/>
      <c r="I35" s="80"/>
      <c r="J35" s="80"/>
      <c r="K35" s="2"/>
      <c r="L35" s="2"/>
      <c r="M35" s="2"/>
    </row>
    <row r="36" spans="1:13" s="4" customFormat="1" ht="12">
      <c r="A36" s="31">
        <f t="shared" si="1"/>
        <v>25</v>
      </c>
      <c r="B36" s="36" t="s">
        <v>41</v>
      </c>
      <c r="C36" s="39"/>
      <c r="D36" s="39"/>
      <c r="E36" s="39"/>
      <c r="F36" s="30"/>
      <c r="G36" s="29"/>
      <c r="H36" s="2"/>
      <c r="I36" s="80"/>
      <c r="J36" s="80"/>
      <c r="K36" s="2"/>
      <c r="L36" s="2"/>
      <c r="M36" s="2"/>
    </row>
    <row r="37" spans="1:13" s="4" customFormat="1" ht="12">
      <c r="A37" s="31">
        <f t="shared" si="1"/>
        <v>26</v>
      </c>
      <c r="B37" s="2" t="s">
        <v>42</v>
      </c>
      <c r="C37" s="39"/>
      <c r="D37" s="39"/>
      <c r="E37" s="39"/>
      <c r="F37" s="30"/>
      <c r="G37" s="29"/>
      <c r="H37" s="2"/>
      <c r="I37" s="80"/>
      <c r="J37" s="80"/>
      <c r="K37" s="2"/>
      <c r="L37" s="2"/>
      <c r="M37" s="2"/>
    </row>
    <row r="38" spans="1:13" s="4" customFormat="1" ht="12">
      <c r="A38" s="31">
        <f t="shared" si="1"/>
        <v>27</v>
      </c>
      <c r="B38" s="2" t="s">
        <v>43</v>
      </c>
      <c r="C38" s="39"/>
      <c r="D38" s="39"/>
      <c r="E38" s="39"/>
      <c r="F38" s="30"/>
      <c r="G38" s="29"/>
      <c r="H38" s="2"/>
      <c r="I38" s="80"/>
      <c r="J38" s="80"/>
      <c r="K38" s="2"/>
      <c r="L38" s="2"/>
      <c r="M38" s="2"/>
    </row>
    <row r="39" spans="1:13" s="4" customFormat="1" ht="12">
      <c r="A39" s="31">
        <f t="shared" si="1"/>
        <v>28</v>
      </c>
      <c r="B39" s="2" t="s">
        <v>44</v>
      </c>
      <c r="C39" s="39"/>
      <c r="D39" s="39"/>
      <c r="E39" s="39"/>
      <c r="F39" s="30"/>
      <c r="G39" s="29"/>
      <c r="H39" s="2"/>
      <c r="I39" s="2"/>
      <c r="J39" s="2"/>
      <c r="K39" s="2"/>
      <c r="L39" s="2"/>
      <c r="M39" s="2"/>
    </row>
    <row r="40" spans="1:13" s="4" customFormat="1" ht="12">
      <c r="A40" s="31">
        <f t="shared" si="1"/>
        <v>29</v>
      </c>
      <c r="B40" s="2" t="s">
        <v>45</v>
      </c>
      <c r="C40" s="39"/>
      <c r="D40" s="39"/>
      <c r="E40" s="39"/>
      <c r="F40" s="30"/>
      <c r="G40" s="29"/>
      <c r="H40" s="2"/>
      <c r="I40" s="2"/>
      <c r="J40" s="2"/>
      <c r="K40" s="2"/>
      <c r="L40" s="2"/>
      <c r="M40" s="2"/>
    </row>
    <row r="41" spans="1:13" s="4" customFormat="1" ht="12">
      <c r="A41" s="31">
        <f t="shared" si="1"/>
        <v>30</v>
      </c>
      <c r="B41" s="1" t="s">
        <v>46</v>
      </c>
      <c r="C41" s="39"/>
      <c r="D41" s="39"/>
      <c r="E41" s="39"/>
      <c r="F41" s="30"/>
      <c r="G41" s="29"/>
      <c r="H41" s="2"/>
      <c r="I41" s="2"/>
      <c r="J41" s="2"/>
      <c r="K41" s="2"/>
      <c r="L41" s="2"/>
      <c r="M41" s="2"/>
    </row>
    <row r="42" spans="1:13" s="4" customFormat="1" ht="12">
      <c r="A42" s="31">
        <f t="shared" si="1"/>
        <v>31</v>
      </c>
      <c r="B42" s="37" t="s">
        <v>47</v>
      </c>
      <c r="C42" s="39"/>
      <c r="D42" s="39"/>
      <c r="E42" s="39"/>
      <c r="F42" s="30"/>
      <c r="G42" s="29"/>
      <c r="H42" s="2"/>
      <c r="I42" s="2"/>
      <c r="J42" s="2"/>
      <c r="K42" s="2"/>
      <c r="L42" s="2"/>
      <c r="M42" s="2"/>
    </row>
    <row r="43" spans="1:13" s="4" customFormat="1" ht="12">
      <c r="A43" s="31">
        <f t="shared" si="1"/>
        <v>32</v>
      </c>
      <c r="B43" s="37" t="s">
        <v>106</v>
      </c>
      <c r="C43" s="39"/>
      <c r="D43" s="39"/>
      <c r="E43" s="39"/>
      <c r="F43" s="30"/>
      <c r="G43" s="29"/>
      <c r="H43" s="2"/>
      <c r="I43" s="34"/>
      <c r="J43" s="2"/>
      <c r="K43" s="2"/>
      <c r="L43" s="2"/>
      <c r="M43" s="2"/>
    </row>
    <row r="44" spans="1:13" s="4" customFormat="1" ht="12">
      <c r="A44" s="31">
        <f t="shared" si="1"/>
        <v>33</v>
      </c>
      <c r="B44" s="36" t="s">
        <v>49</v>
      </c>
      <c r="C44" s="39"/>
      <c r="D44" s="39"/>
      <c r="E44" s="39"/>
      <c r="F44" s="30"/>
      <c r="G44" s="29"/>
      <c r="H44" s="2"/>
      <c r="I44" s="2"/>
      <c r="J44" s="2"/>
      <c r="K44" s="2"/>
      <c r="L44" s="2"/>
      <c r="M44" s="2"/>
    </row>
    <row r="45" spans="1:13" s="4" customFormat="1" ht="12">
      <c r="A45" s="31">
        <f t="shared" si="1"/>
        <v>34</v>
      </c>
      <c r="B45" s="36" t="s">
        <v>50</v>
      </c>
      <c r="C45" s="39"/>
      <c r="D45" s="39"/>
      <c r="E45" s="39"/>
      <c r="F45" s="30"/>
      <c r="G45" s="29"/>
      <c r="H45" s="2"/>
      <c r="I45" s="2"/>
      <c r="J45" s="2"/>
      <c r="K45" s="2"/>
      <c r="L45" s="2"/>
      <c r="M45" s="2"/>
    </row>
    <row r="46" spans="1:13" s="4" customFormat="1" ht="12">
      <c r="A46" s="31">
        <f t="shared" si="1"/>
        <v>35</v>
      </c>
      <c r="B46" s="37" t="s">
        <v>109</v>
      </c>
      <c r="C46" s="39"/>
      <c r="D46" s="39"/>
      <c r="E46" s="39"/>
      <c r="F46" s="30"/>
      <c r="G46" s="29"/>
      <c r="H46" s="2"/>
      <c r="I46" s="34"/>
      <c r="J46" s="2"/>
      <c r="K46" s="2"/>
      <c r="L46" s="2"/>
      <c r="M46" s="2"/>
    </row>
    <row r="47" spans="1:13" s="4" customFormat="1" ht="12">
      <c r="A47" s="31">
        <f t="shared" si="1"/>
        <v>36</v>
      </c>
      <c r="B47" s="37" t="s">
        <v>52</v>
      </c>
      <c r="C47" s="39"/>
      <c r="D47" s="39"/>
      <c r="E47" s="39"/>
      <c r="F47" s="30"/>
      <c r="G47" s="29"/>
      <c r="H47" s="2"/>
      <c r="I47" s="34"/>
      <c r="J47" s="2"/>
      <c r="K47" s="2"/>
      <c r="L47" s="2"/>
      <c r="M47" s="2"/>
    </row>
    <row r="48" spans="1:13" s="4" customFormat="1" ht="12">
      <c r="A48" s="31">
        <f t="shared" si="1"/>
        <v>37</v>
      </c>
      <c r="B48" s="81" t="s">
        <v>110</v>
      </c>
      <c r="C48" s="39"/>
      <c r="D48" s="39"/>
      <c r="E48" s="39"/>
      <c r="F48" s="30"/>
      <c r="G48" s="29"/>
      <c r="H48" s="2"/>
      <c r="I48" s="34"/>
      <c r="J48" s="2"/>
      <c r="K48" s="2"/>
      <c r="L48" s="2"/>
      <c r="M48" s="2"/>
    </row>
    <row r="49" spans="1:13" s="4" customFormat="1" ht="12">
      <c r="A49" s="31">
        <f t="shared" si="1"/>
        <v>38</v>
      </c>
      <c r="B49" s="37" t="s">
        <v>55</v>
      </c>
      <c r="C49" s="39"/>
      <c r="D49" s="39"/>
      <c r="E49" s="39"/>
      <c r="F49" s="30"/>
      <c r="G49" s="29"/>
      <c r="H49" s="2"/>
      <c r="I49" s="2"/>
      <c r="J49" s="2"/>
      <c r="K49" s="2"/>
      <c r="L49" s="2"/>
      <c r="M49" s="2"/>
    </row>
    <row r="50" spans="1:13" s="4" customFormat="1" ht="12">
      <c r="A50" s="31">
        <f t="shared" si="1"/>
        <v>39</v>
      </c>
      <c r="B50" s="37" t="s">
        <v>56</v>
      </c>
      <c r="C50" s="39"/>
      <c r="D50" s="39"/>
      <c r="E50" s="39"/>
      <c r="F50" s="30"/>
      <c r="G50" s="29"/>
      <c r="H50" s="2"/>
      <c r="I50" s="2"/>
      <c r="J50" s="2"/>
      <c r="K50" s="2"/>
      <c r="L50" s="2"/>
      <c r="M50" s="2"/>
    </row>
    <row r="51" spans="1:13" s="4" customFormat="1" ht="12">
      <c r="A51" s="31">
        <f t="shared" si="1"/>
        <v>40</v>
      </c>
      <c r="B51" s="37" t="s">
        <v>57</v>
      </c>
      <c r="C51" s="39"/>
      <c r="D51" s="39"/>
      <c r="E51" s="39"/>
      <c r="F51" s="30"/>
      <c r="G51" s="29"/>
      <c r="H51" s="2"/>
      <c r="I51" s="2"/>
      <c r="J51" s="2"/>
      <c r="K51" s="2"/>
      <c r="L51" s="2"/>
      <c r="M51" s="2"/>
    </row>
    <row r="52" spans="1:13" s="4" customFormat="1" ht="12">
      <c r="A52" s="31">
        <f t="shared" si="1"/>
        <v>41</v>
      </c>
      <c r="B52" s="1" t="s">
        <v>58</v>
      </c>
      <c r="C52" s="39"/>
      <c r="D52" s="39"/>
      <c r="E52" s="39"/>
      <c r="F52" s="30"/>
      <c r="G52" s="29"/>
      <c r="H52" s="2"/>
      <c r="I52" s="2"/>
      <c r="J52" s="2"/>
      <c r="K52" s="2"/>
      <c r="L52" s="2"/>
      <c r="M52" s="2"/>
    </row>
    <row r="53" spans="1:13" s="4" customFormat="1" ht="12">
      <c r="A53" s="31">
        <f t="shared" si="1"/>
        <v>42</v>
      </c>
      <c r="B53" s="37" t="s">
        <v>59</v>
      </c>
      <c r="C53" s="39"/>
      <c r="D53" s="39"/>
      <c r="E53" s="39"/>
      <c r="F53" s="30"/>
      <c r="G53" s="29"/>
      <c r="H53" s="2"/>
      <c r="I53" s="2"/>
      <c r="J53" s="2"/>
      <c r="K53" s="2"/>
      <c r="L53" s="2"/>
      <c r="M53" s="2"/>
    </row>
    <row r="54" spans="1:13" s="4" customFormat="1" ht="12">
      <c r="A54" s="31">
        <f t="shared" si="1"/>
        <v>43</v>
      </c>
      <c r="B54" s="37" t="s">
        <v>60</v>
      </c>
      <c r="C54" s="39"/>
      <c r="D54" s="39"/>
      <c r="E54" s="39"/>
      <c r="F54" s="30"/>
      <c r="G54" s="29"/>
      <c r="H54" s="2"/>
      <c r="I54" s="2"/>
      <c r="J54" s="2"/>
      <c r="K54" s="2"/>
      <c r="L54" s="2"/>
      <c r="M54" s="2"/>
    </row>
    <row r="55" spans="1:13" s="4" customFormat="1" ht="12">
      <c r="A55" s="31">
        <f t="shared" si="1"/>
        <v>44</v>
      </c>
      <c r="B55" s="37" t="s">
        <v>62</v>
      </c>
      <c r="C55" s="39"/>
      <c r="D55" s="39"/>
      <c r="E55" s="39"/>
      <c r="F55" s="30"/>
      <c r="G55" s="29"/>
      <c r="H55" s="2"/>
      <c r="I55" s="2"/>
      <c r="J55" s="2"/>
      <c r="K55" s="2"/>
      <c r="L55" s="2"/>
      <c r="M55" s="2"/>
    </row>
    <row r="56" spans="1:13" s="4" customFormat="1" ht="12">
      <c r="A56" s="31">
        <f t="shared" si="1"/>
        <v>45</v>
      </c>
      <c r="B56" s="37" t="s">
        <v>63</v>
      </c>
      <c r="C56" s="39"/>
      <c r="D56" s="39"/>
      <c r="E56" s="39"/>
      <c r="F56" s="30"/>
      <c r="G56" s="29"/>
      <c r="H56" s="2"/>
      <c r="I56" s="2"/>
      <c r="J56" s="2"/>
      <c r="K56" s="2"/>
      <c r="L56" s="2"/>
      <c r="M56" s="2"/>
    </row>
    <row r="57" spans="1:13" s="4" customFormat="1" ht="12">
      <c r="A57" s="31">
        <f t="shared" si="1"/>
        <v>46</v>
      </c>
      <c r="B57" s="37" t="s">
        <v>64</v>
      </c>
      <c r="C57" s="39"/>
      <c r="D57" s="39"/>
      <c r="E57" s="39"/>
      <c r="F57" s="30"/>
      <c r="G57" s="29"/>
      <c r="H57" s="2"/>
      <c r="I57" s="2"/>
      <c r="J57" s="2"/>
      <c r="K57" s="2"/>
      <c r="L57" s="2"/>
      <c r="M57" s="2"/>
    </row>
    <row r="58" spans="1:13" s="4" customFormat="1" ht="12">
      <c r="A58" s="31">
        <f t="shared" si="1"/>
        <v>47</v>
      </c>
      <c r="B58" s="37" t="s">
        <v>65</v>
      </c>
      <c r="C58" s="39"/>
      <c r="D58" s="39"/>
      <c r="E58" s="39"/>
      <c r="F58" s="30"/>
      <c r="G58" s="29"/>
      <c r="H58" s="2"/>
      <c r="I58" s="2"/>
      <c r="J58" s="2"/>
      <c r="K58" s="2"/>
      <c r="L58" s="2"/>
      <c r="M58" s="2"/>
    </row>
    <row r="59" spans="1:247" s="4" customFormat="1" ht="12">
      <c r="A59" s="31">
        <f t="shared" si="1"/>
        <v>48</v>
      </c>
      <c r="B59" s="37" t="s">
        <v>66</v>
      </c>
      <c r="C59" s="39"/>
      <c r="D59" s="39"/>
      <c r="E59" s="39"/>
      <c r="F59" s="30"/>
      <c r="G59" s="29"/>
      <c r="H59" s="19"/>
      <c r="I59" s="8"/>
      <c r="J59" s="2"/>
      <c r="K59" s="29"/>
      <c r="L59" s="29"/>
      <c r="M59" s="29"/>
      <c r="N59" s="40"/>
      <c r="O59" s="41"/>
      <c r="P59" s="40"/>
      <c r="Q59" s="42"/>
      <c r="R59" s="43"/>
      <c r="T59" s="40"/>
      <c r="U59" s="40"/>
      <c r="V59" s="40"/>
      <c r="W59" s="40"/>
      <c r="X59" s="41"/>
      <c r="Y59" s="40"/>
      <c r="Z59" s="42"/>
      <c r="AA59" s="43"/>
      <c r="AC59" s="40"/>
      <c r="AD59" s="40"/>
      <c r="AE59" s="40"/>
      <c r="AF59" s="40"/>
      <c r="AG59" s="41"/>
      <c r="AH59" s="40"/>
      <c r="AI59" s="42"/>
      <c r="AJ59" s="43"/>
      <c r="AL59" s="40"/>
      <c r="AM59" s="40"/>
      <c r="AN59" s="40"/>
      <c r="AO59" s="40"/>
      <c r="AP59" s="41"/>
      <c r="AQ59" s="40"/>
      <c r="AR59" s="42"/>
      <c r="AS59" s="43"/>
      <c r="AU59" s="40"/>
      <c r="AV59" s="40"/>
      <c r="AW59" s="40"/>
      <c r="AX59" s="40"/>
      <c r="AY59" s="41"/>
      <c r="AZ59" s="40"/>
      <c r="BA59" s="42"/>
      <c r="BB59" s="43"/>
      <c r="BD59" s="40"/>
      <c r="BE59" s="40"/>
      <c r="BF59" s="40"/>
      <c r="BG59" s="40"/>
      <c r="BH59" s="41"/>
      <c r="BI59" s="40"/>
      <c r="BJ59" s="42"/>
      <c r="BK59" s="43"/>
      <c r="BM59" s="40"/>
      <c r="BN59" s="40"/>
      <c r="BO59" s="40"/>
      <c r="BP59" s="40"/>
      <c r="BQ59" s="41"/>
      <c r="BR59" s="40"/>
      <c r="BS59" s="42"/>
      <c r="BT59" s="43"/>
      <c r="BV59" s="40"/>
      <c r="BW59" s="40"/>
      <c r="BX59" s="40"/>
      <c r="BY59" s="40"/>
      <c r="BZ59" s="41"/>
      <c r="CA59" s="40"/>
      <c r="CB59" s="42"/>
      <c r="CC59" s="43"/>
      <c r="CE59" s="40"/>
      <c r="CF59" s="40"/>
      <c r="CG59" s="40"/>
      <c r="CH59" s="40"/>
      <c r="CI59" s="41"/>
      <c r="CJ59" s="40"/>
      <c r="CK59" s="42"/>
      <c r="CL59" s="43"/>
      <c r="CN59" s="40"/>
      <c r="CO59" s="40"/>
      <c r="CP59" s="40"/>
      <c r="CQ59" s="40"/>
      <c r="CR59" s="41"/>
      <c r="CS59" s="40"/>
      <c r="CT59" s="42"/>
      <c r="CU59" s="43"/>
      <c r="CW59" s="40"/>
      <c r="CX59" s="40"/>
      <c r="CY59" s="40"/>
      <c r="CZ59" s="40"/>
      <c r="DA59" s="41"/>
      <c r="DB59" s="40"/>
      <c r="DC59" s="42"/>
      <c r="DD59" s="43"/>
      <c r="DF59" s="40"/>
      <c r="DG59" s="40"/>
      <c r="DH59" s="40"/>
      <c r="DI59" s="40"/>
      <c r="DJ59" s="41"/>
      <c r="DK59" s="40"/>
      <c r="DL59" s="42"/>
      <c r="DM59" s="43"/>
      <c r="DO59" s="40"/>
      <c r="DP59" s="40"/>
      <c r="DQ59" s="40"/>
      <c r="DR59" s="40"/>
      <c r="DS59" s="41"/>
      <c r="DT59" s="40"/>
      <c r="DU59" s="42"/>
      <c r="DV59" s="43"/>
      <c r="DX59" s="40"/>
      <c r="DY59" s="40"/>
      <c r="DZ59" s="40"/>
      <c r="EA59" s="40"/>
      <c r="EB59" s="41"/>
      <c r="EC59" s="40"/>
      <c r="ED59" s="42"/>
      <c r="EE59" s="43"/>
      <c r="EG59" s="40"/>
      <c r="EH59" s="40"/>
      <c r="EI59" s="40"/>
      <c r="EJ59" s="40"/>
      <c r="EK59" s="41"/>
      <c r="EL59" s="40"/>
      <c r="EM59" s="42"/>
      <c r="EN59" s="43"/>
      <c r="EP59" s="40"/>
      <c r="EQ59" s="40"/>
      <c r="ER59" s="40"/>
      <c r="ES59" s="40"/>
      <c r="ET59" s="41"/>
      <c r="EU59" s="40"/>
      <c r="EV59" s="42"/>
      <c r="EW59" s="43"/>
      <c r="EY59" s="40"/>
      <c r="EZ59" s="40"/>
      <c r="FA59" s="40"/>
      <c r="FB59" s="40"/>
      <c r="FC59" s="41"/>
      <c r="FD59" s="40"/>
      <c r="FE59" s="42"/>
      <c r="FF59" s="43"/>
      <c r="FH59" s="40"/>
      <c r="FI59" s="40"/>
      <c r="FJ59" s="40"/>
      <c r="FK59" s="40"/>
      <c r="FL59" s="41"/>
      <c r="FM59" s="40"/>
      <c r="FN59" s="42"/>
      <c r="FO59" s="43"/>
      <c r="FQ59" s="40"/>
      <c r="FR59" s="40"/>
      <c r="FS59" s="40"/>
      <c r="FT59" s="40"/>
      <c r="FU59" s="41"/>
      <c r="FV59" s="40"/>
      <c r="FW59" s="42"/>
      <c r="FX59" s="43"/>
      <c r="FZ59" s="40"/>
      <c r="GA59" s="40"/>
      <c r="GB59" s="40"/>
      <c r="GC59" s="40"/>
      <c r="GD59" s="41"/>
      <c r="GE59" s="40"/>
      <c r="GF59" s="42"/>
      <c r="GG59" s="43"/>
      <c r="GI59" s="40"/>
      <c r="GJ59" s="40"/>
      <c r="GK59" s="40"/>
      <c r="GL59" s="40"/>
      <c r="GM59" s="41"/>
      <c r="GN59" s="40"/>
      <c r="GO59" s="42"/>
      <c r="GP59" s="43"/>
      <c r="GR59" s="40"/>
      <c r="GS59" s="40"/>
      <c r="GT59" s="40"/>
      <c r="GU59" s="40"/>
      <c r="GV59" s="41"/>
      <c r="GW59" s="40"/>
      <c r="GX59" s="42"/>
      <c r="GY59" s="43"/>
      <c r="HA59" s="40"/>
      <c r="HB59" s="40"/>
      <c r="HC59" s="40"/>
      <c r="HD59" s="40"/>
      <c r="HE59" s="41"/>
      <c r="HF59" s="40"/>
      <c r="HG59" s="42"/>
      <c r="HH59" s="43"/>
      <c r="HJ59" s="40"/>
      <c r="HK59" s="40"/>
      <c r="HL59" s="40"/>
      <c r="HM59" s="40"/>
      <c r="HN59" s="41"/>
      <c r="HO59" s="40"/>
      <c r="HP59" s="42"/>
      <c r="HQ59" s="43"/>
      <c r="HS59" s="40"/>
      <c r="HT59" s="40"/>
      <c r="HU59" s="40"/>
      <c r="HV59" s="40"/>
      <c r="HW59" s="41"/>
      <c r="HX59" s="40"/>
      <c r="HY59" s="42"/>
      <c r="HZ59" s="43"/>
      <c r="IB59" s="40"/>
      <c r="IC59" s="40"/>
      <c r="ID59" s="40"/>
      <c r="IE59" s="40"/>
      <c r="IF59" s="41"/>
      <c r="IG59" s="40"/>
      <c r="IH59" s="42"/>
      <c r="II59" s="43"/>
      <c r="IK59" s="40"/>
      <c r="IL59" s="40"/>
      <c r="IM59" s="40"/>
    </row>
    <row r="60" spans="1:247" s="4" customFormat="1" ht="12">
      <c r="A60" s="31">
        <f t="shared" si="1"/>
        <v>49</v>
      </c>
      <c r="B60" s="36" t="s">
        <v>67</v>
      </c>
      <c r="C60" s="39"/>
      <c r="D60" s="39"/>
      <c r="E60" s="39"/>
      <c r="F60" s="30"/>
      <c r="G60" s="29"/>
      <c r="H60" s="19"/>
      <c r="I60" s="8"/>
      <c r="J60" s="2"/>
      <c r="K60" s="29"/>
      <c r="L60" s="29"/>
      <c r="M60" s="29"/>
      <c r="N60" s="40"/>
      <c r="O60" s="41"/>
      <c r="P60" s="40"/>
      <c r="Q60" s="42"/>
      <c r="R60" s="43"/>
      <c r="T60" s="40"/>
      <c r="U60" s="40"/>
      <c r="V60" s="40"/>
      <c r="W60" s="40"/>
      <c r="X60" s="41"/>
      <c r="Y60" s="40"/>
      <c r="Z60" s="42"/>
      <c r="AA60" s="43"/>
      <c r="AC60" s="40"/>
      <c r="AD60" s="40"/>
      <c r="AE60" s="40"/>
      <c r="AF60" s="40"/>
      <c r="AG60" s="41"/>
      <c r="AH60" s="40"/>
      <c r="AI60" s="42"/>
      <c r="AJ60" s="43"/>
      <c r="AL60" s="40"/>
      <c r="AM60" s="40"/>
      <c r="AN60" s="40"/>
      <c r="AO60" s="40"/>
      <c r="AP60" s="41"/>
      <c r="AQ60" s="40"/>
      <c r="AR60" s="42"/>
      <c r="AS60" s="43"/>
      <c r="AU60" s="40"/>
      <c r="AV60" s="40"/>
      <c r="AW60" s="40"/>
      <c r="AX60" s="40"/>
      <c r="AY60" s="41"/>
      <c r="AZ60" s="40"/>
      <c r="BA60" s="42"/>
      <c r="BB60" s="43"/>
      <c r="BD60" s="40"/>
      <c r="BE60" s="40"/>
      <c r="BF60" s="40"/>
      <c r="BG60" s="40"/>
      <c r="BH60" s="41"/>
      <c r="BI60" s="40"/>
      <c r="BJ60" s="42"/>
      <c r="BK60" s="43"/>
      <c r="BM60" s="40"/>
      <c r="BN60" s="40"/>
      <c r="BO60" s="40"/>
      <c r="BP60" s="40"/>
      <c r="BQ60" s="41"/>
      <c r="BR60" s="40"/>
      <c r="BS60" s="42"/>
      <c r="BT60" s="43"/>
      <c r="BV60" s="40"/>
      <c r="BW60" s="40"/>
      <c r="BX60" s="40"/>
      <c r="BY60" s="40"/>
      <c r="BZ60" s="41"/>
      <c r="CA60" s="40"/>
      <c r="CB60" s="42"/>
      <c r="CC60" s="43"/>
      <c r="CE60" s="40"/>
      <c r="CF60" s="40"/>
      <c r="CG60" s="40"/>
      <c r="CH60" s="40"/>
      <c r="CI60" s="41"/>
      <c r="CJ60" s="40"/>
      <c r="CK60" s="42"/>
      <c r="CL60" s="43"/>
      <c r="CN60" s="40"/>
      <c r="CO60" s="40"/>
      <c r="CP60" s="40"/>
      <c r="CQ60" s="40"/>
      <c r="CR60" s="41"/>
      <c r="CS60" s="40"/>
      <c r="CT60" s="42"/>
      <c r="CU60" s="43"/>
      <c r="CW60" s="40"/>
      <c r="CX60" s="40"/>
      <c r="CY60" s="40"/>
      <c r="CZ60" s="40"/>
      <c r="DA60" s="41"/>
      <c r="DB60" s="40"/>
      <c r="DC60" s="42"/>
      <c r="DD60" s="43"/>
      <c r="DF60" s="40"/>
      <c r="DG60" s="40"/>
      <c r="DH60" s="40"/>
      <c r="DI60" s="40"/>
      <c r="DJ60" s="41"/>
      <c r="DK60" s="40"/>
      <c r="DL60" s="42"/>
      <c r="DM60" s="43"/>
      <c r="DO60" s="40"/>
      <c r="DP60" s="40"/>
      <c r="DQ60" s="40"/>
      <c r="DR60" s="40"/>
      <c r="DS60" s="41"/>
      <c r="DT60" s="40"/>
      <c r="DU60" s="42"/>
      <c r="DV60" s="43"/>
      <c r="DX60" s="40"/>
      <c r="DY60" s="40"/>
      <c r="DZ60" s="40"/>
      <c r="EA60" s="40"/>
      <c r="EB60" s="41"/>
      <c r="EC60" s="40"/>
      <c r="ED60" s="42"/>
      <c r="EE60" s="43"/>
      <c r="EG60" s="40"/>
      <c r="EH60" s="40"/>
      <c r="EI60" s="40"/>
      <c r="EJ60" s="40"/>
      <c r="EK60" s="41"/>
      <c r="EL60" s="40"/>
      <c r="EM60" s="42"/>
      <c r="EN60" s="43"/>
      <c r="EP60" s="40"/>
      <c r="EQ60" s="40"/>
      <c r="ER60" s="40"/>
      <c r="ES60" s="40"/>
      <c r="ET60" s="41"/>
      <c r="EU60" s="40"/>
      <c r="EV60" s="42"/>
      <c r="EW60" s="43"/>
      <c r="EY60" s="40"/>
      <c r="EZ60" s="40"/>
      <c r="FA60" s="40"/>
      <c r="FB60" s="40"/>
      <c r="FC60" s="41"/>
      <c r="FD60" s="40"/>
      <c r="FE60" s="42"/>
      <c r="FF60" s="43"/>
      <c r="FH60" s="40"/>
      <c r="FI60" s="40"/>
      <c r="FJ60" s="40"/>
      <c r="FK60" s="40"/>
      <c r="FL60" s="41"/>
      <c r="FM60" s="40"/>
      <c r="FN60" s="42"/>
      <c r="FO60" s="43"/>
      <c r="FQ60" s="40"/>
      <c r="FR60" s="40"/>
      <c r="FS60" s="40"/>
      <c r="FT60" s="40"/>
      <c r="FU60" s="41"/>
      <c r="FV60" s="40"/>
      <c r="FW60" s="42"/>
      <c r="FX60" s="43"/>
      <c r="FZ60" s="40"/>
      <c r="GA60" s="40"/>
      <c r="GB60" s="40"/>
      <c r="GC60" s="40"/>
      <c r="GD60" s="41"/>
      <c r="GE60" s="40"/>
      <c r="GF60" s="42"/>
      <c r="GG60" s="43"/>
      <c r="GI60" s="40"/>
      <c r="GJ60" s="40"/>
      <c r="GK60" s="40"/>
      <c r="GL60" s="40"/>
      <c r="GM60" s="41"/>
      <c r="GN60" s="40"/>
      <c r="GO60" s="42"/>
      <c r="GP60" s="43"/>
      <c r="GR60" s="40"/>
      <c r="GS60" s="40"/>
      <c r="GT60" s="40"/>
      <c r="GU60" s="40"/>
      <c r="GV60" s="41"/>
      <c r="GW60" s="40"/>
      <c r="GX60" s="42"/>
      <c r="GY60" s="43"/>
      <c r="HA60" s="40"/>
      <c r="HB60" s="40"/>
      <c r="HC60" s="40"/>
      <c r="HD60" s="40"/>
      <c r="HE60" s="41"/>
      <c r="HF60" s="40"/>
      <c r="HG60" s="42"/>
      <c r="HH60" s="43"/>
      <c r="HJ60" s="40"/>
      <c r="HK60" s="40"/>
      <c r="HL60" s="40"/>
      <c r="HM60" s="40"/>
      <c r="HN60" s="41"/>
      <c r="HO60" s="40"/>
      <c r="HP60" s="42"/>
      <c r="HQ60" s="43"/>
      <c r="HS60" s="40"/>
      <c r="HT60" s="40"/>
      <c r="HU60" s="40"/>
      <c r="HV60" s="40"/>
      <c r="HW60" s="41"/>
      <c r="HX60" s="40"/>
      <c r="HY60" s="42"/>
      <c r="HZ60" s="43"/>
      <c r="IB60" s="40"/>
      <c r="IC60" s="40"/>
      <c r="ID60" s="40"/>
      <c r="IE60" s="40"/>
      <c r="IF60" s="41"/>
      <c r="IG60" s="40"/>
      <c r="IH60" s="42"/>
      <c r="II60" s="43"/>
      <c r="IK60" s="40"/>
      <c r="IL60" s="40"/>
      <c r="IM60" s="40"/>
    </row>
    <row r="61" spans="1:247" s="4" customFormat="1" ht="12">
      <c r="A61" s="31">
        <f t="shared" si="1"/>
        <v>50</v>
      </c>
      <c r="B61" s="37" t="s">
        <v>68</v>
      </c>
      <c r="C61" s="39"/>
      <c r="D61" s="39"/>
      <c r="E61" s="39"/>
      <c r="F61" s="30"/>
      <c r="G61" s="29"/>
      <c r="H61" s="19"/>
      <c r="I61" s="8"/>
      <c r="J61" s="2"/>
      <c r="K61" s="29"/>
      <c r="L61" s="29"/>
      <c r="M61" s="29"/>
      <c r="N61" s="40"/>
      <c r="O61" s="41"/>
      <c r="P61" s="40"/>
      <c r="Q61" s="42"/>
      <c r="R61" s="43"/>
      <c r="T61" s="40"/>
      <c r="U61" s="40"/>
      <c r="V61" s="40"/>
      <c r="W61" s="40"/>
      <c r="X61" s="41"/>
      <c r="Y61" s="40"/>
      <c r="Z61" s="42"/>
      <c r="AA61" s="43"/>
      <c r="AC61" s="40"/>
      <c r="AD61" s="40"/>
      <c r="AE61" s="40"/>
      <c r="AF61" s="40"/>
      <c r="AG61" s="41"/>
      <c r="AH61" s="40"/>
      <c r="AI61" s="42"/>
      <c r="AJ61" s="43"/>
      <c r="AL61" s="40"/>
      <c r="AM61" s="40"/>
      <c r="AN61" s="40"/>
      <c r="AO61" s="40"/>
      <c r="AP61" s="41"/>
      <c r="AQ61" s="40"/>
      <c r="AR61" s="42"/>
      <c r="AS61" s="43"/>
      <c r="AU61" s="40"/>
      <c r="AV61" s="40"/>
      <c r="AW61" s="40"/>
      <c r="AX61" s="40"/>
      <c r="AY61" s="41"/>
      <c r="AZ61" s="40"/>
      <c r="BA61" s="42"/>
      <c r="BB61" s="43"/>
      <c r="BD61" s="40"/>
      <c r="BE61" s="40"/>
      <c r="BF61" s="40"/>
      <c r="BG61" s="40"/>
      <c r="BH61" s="41"/>
      <c r="BI61" s="40"/>
      <c r="BJ61" s="42"/>
      <c r="BK61" s="43"/>
      <c r="BM61" s="40"/>
      <c r="BN61" s="40"/>
      <c r="BO61" s="40"/>
      <c r="BP61" s="40"/>
      <c r="BQ61" s="41"/>
      <c r="BR61" s="40"/>
      <c r="BS61" s="42"/>
      <c r="BT61" s="43"/>
      <c r="BV61" s="40"/>
      <c r="BW61" s="40"/>
      <c r="BX61" s="40"/>
      <c r="BY61" s="40"/>
      <c r="BZ61" s="41"/>
      <c r="CA61" s="40"/>
      <c r="CB61" s="42"/>
      <c r="CC61" s="43"/>
      <c r="CE61" s="40"/>
      <c r="CF61" s="40"/>
      <c r="CG61" s="40"/>
      <c r="CH61" s="40"/>
      <c r="CI61" s="41"/>
      <c r="CJ61" s="40"/>
      <c r="CK61" s="42"/>
      <c r="CL61" s="43"/>
      <c r="CN61" s="40"/>
      <c r="CO61" s="40"/>
      <c r="CP61" s="40"/>
      <c r="CQ61" s="40"/>
      <c r="CR61" s="41"/>
      <c r="CS61" s="40"/>
      <c r="CT61" s="42"/>
      <c r="CU61" s="43"/>
      <c r="CW61" s="40"/>
      <c r="CX61" s="40"/>
      <c r="CY61" s="40"/>
      <c r="CZ61" s="40"/>
      <c r="DA61" s="41"/>
      <c r="DB61" s="40"/>
      <c r="DC61" s="42"/>
      <c r="DD61" s="43"/>
      <c r="DF61" s="40"/>
      <c r="DG61" s="40"/>
      <c r="DH61" s="40"/>
      <c r="DI61" s="40"/>
      <c r="DJ61" s="41"/>
      <c r="DK61" s="40"/>
      <c r="DL61" s="42"/>
      <c r="DM61" s="43"/>
      <c r="DO61" s="40"/>
      <c r="DP61" s="40"/>
      <c r="DQ61" s="40"/>
      <c r="DR61" s="40"/>
      <c r="DS61" s="41"/>
      <c r="DT61" s="40"/>
      <c r="DU61" s="42"/>
      <c r="DV61" s="43"/>
      <c r="DX61" s="40"/>
      <c r="DY61" s="40"/>
      <c r="DZ61" s="40"/>
      <c r="EA61" s="40"/>
      <c r="EB61" s="41"/>
      <c r="EC61" s="40"/>
      <c r="ED61" s="42"/>
      <c r="EE61" s="43"/>
      <c r="EG61" s="40"/>
      <c r="EH61" s="40"/>
      <c r="EI61" s="40"/>
      <c r="EJ61" s="40"/>
      <c r="EK61" s="41"/>
      <c r="EL61" s="40"/>
      <c r="EM61" s="42"/>
      <c r="EN61" s="43"/>
      <c r="EP61" s="40"/>
      <c r="EQ61" s="40"/>
      <c r="ER61" s="40"/>
      <c r="ES61" s="40"/>
      <c r="ET61" s="41"/>
      <c r="EU61" s="40"/>
      <c r="EV61" s="42"/>
      <c r="EW61" s="43"/>
      <c r="EY61" s="40"/>
      <c r="EZ61" s="40"/>
      <c r="FA61" s="40"/>
      <c r="FB61" s="40"/>
      <c r="FC61" s="41"/>
      <c r="FD61" s="40"/>
      <c r="FE61" s="42"/>
      <c r="FF61" s="43"/>
      <c r="FH61" s="40"/>
      <c r="FI61" s="40"/>
      <c r="FJ61" s="40"/>
      <c r="FK61" s="40"/>
      <c r="FL61" s="41"/>
      <c r="FM61" s="40"/>
      <c r="FN61" s="42"/>
      <c r="FO61" s="43"/>
      <c r="FQ61" s="40"/>
      <c r="FR61" s="40"/>
      <c r="FS61" s="40"/>
      <c r="FT61" s="40"/>
      <c r="FU61" s="41"/>
      <c r="FV61" s="40"/>
      <c r="FW61" s="42"/>
      <c r="FX61" s="43"/>
      <c r="FZ61" s="40"/>
      <c r="GA61" s="40"/>
      <c r="GB61" s="40"/>
      <c r="GC61" s="40"/>
      <c r="GD61" s="41"/>
      <c r="GE61" s="40"/>
      <c r="GF61" s="42"/>
      <c r="GG61" s="43"/>
      <c r="GI61" s="40"/>
      <c r="GJ61" s="40"/>
      <c r="GK61" s="40"/>
      <c r="GL61" s="40"/>
      <c r="GM61" s="41"/>
      <c r="GN61" s="40"/>
      <c r="GO61" s="42"/>
      <c r="GP61" s="43"/>
      <c r="GR61" s="40"/>
      <c r="GS61" s="40"/>
      <c r="GT61" s="40"/>
      <c r="GU61" s="40"/>
      <c r="GV61" s="41"/>
      <c r="GW61" s="40"/>
      <c r="GX61" s="42"/>
      <c r="GY61" s="43"/>
      <c r="HA61" s="40"/>
      <c r="HB61" s="40"/>
      <c r="HC61" s="40"/>
      <c r="HD61" s="40"/>
      <c r="HE61" s="41"/>
      <c r="HF61" s="40"/>
      <c r="HG61" s="42"/>
      <c r="HH61" s="43"/>
      <c r="HJ61" s="40"/>
      <c r="HK61" s="40"/>
      <c r="HL61" s="40"/>
      <c r="HM61" s="40"/>
      <c r="HN61" s="41"/>
      <c r="HO61" s="40"/>
      <c r="HP61" s="42"/>
      <c r="HQ61" s="43"/>
      <c r="HS61" s="40"/>
      <c r="HT61" s="40"/>
      <c r="HU61" s="40"/>
      <c r="HV61" s="40"/>
      <c r="HW61" s="41"/>
      <c r="HX61" s="40"/>
      <c r="HY61" s="42"/>
      <c r="HZ61" s="43"/>
      <c r="IB61" s="40"/>
      <c r="IC61" s="40"/>
      <c r="ID61" s="40"/>
      <c r="IE61" s="40"/>
      <c r="IF61" s="41"/>
      <c r="IG61" s="40"/>
      <c r="IH61" s="42"/>
      <c r="II61" s="43"/>
      <c r="IK61" s="40"/>
      <c r="IL61" s="40"/>
      <c r="IM61" s="40"/>
    </row>
    <row r="62" spans="1:247" s="4" customFormat="1" ht="12">
      <c r="A62" s="31">
        <f t="shared" si="1"/>
        <v>51</v>
      </c>
      <c r="B62" s="37" t="s">
        <v>69</v>
      </c>
      <c r="C62" s="39"/>
      <c r="D62" s="29"/>
      <c r="E62" s="63"/>
      <c r="F62" s="30"/>
      <c r="G62" s="29"/>
      <c r="H62" s="19"/>
      <c r="I62" s="8"/>
      <c r="J62" s="2"/>
      <c r="K62" s="29"/>
      <c r="L62" s="29"/>
      <c r="M62" s="29"/>
      <c r="N62" s="40"/>
      <c r="O62" s="41"/>
      <c r="P62" s="40"/>
      <c r="Q62" s="42"/>
      <c r="R62" s="43"/>
      <c r="T62" s="40"/>
      <c r="U62" s="40"/>
      <c r="V62" s="40"/>
      <c r="W62" s="40"/>
      <c r="X62" s="41"/>
      <c r="Y62" s="40"/>
      <c r="Z62" s="42"/>
      <c r="AA62" s="43"/>
      <c r="AC62" s="40"/>
      <c r="AD62" s="40"/>
      <c r="AE62" s="40"/>
      <c r="AF62" s="40"/>
      <c r="AG62" s="41"/>
      <c r="AH62" s="40"/>
      <c r="AI62" s="42"/>
      <c r="AJ62" s="43"/>
      <c r="AL62" s="40"/>
      <c r="AM62" s="40"/>
      <c r="AN62" s="40"/>
      <c r="AO62" s="40"/>
      <c r="AP62" s="41"/>
      <c r="AQ62" s="40"/>
      <c r="AR62" s="42"/>
      <c r="AS62" s="43"/>
      <c r="AU62" s="40"/>
      <c r="AV62" s="40"/>
      <c r="AW62" s="40"/>
      <c r="AX62" s="40"/>
      <c r="AY62" s="41"/>
      <c r="AZ62" s="40"/>
      <c r="BA62" s="42"/>
      <c r="BB62" s="43"/>
      <c r="BD62" s="40"/>
      <c r="BE62" s="40"/>
      <c r="BF62" s="40"/>
      <c r="BG62" s="40"/>
      <c r="BH62" s="41"/>
      <c r="BI62" s="40"/>
      <c r="BJ62" s="42"/>
      <c r="BK62" s="43"/>
      <c r="BM62" s="40"/>
      <c r="BN62" s="40"/>
      <c r="BO62" s="40"/>
      <c r="BP62" s="40"/>
      <c r="BQ62" s="41"/>
      <c r="BR62" s="40"/>
      <c r="BS62" s="42"/>
      <c r="BT62" s="43"/>
      <c r="BV62" s="40"/>
      <c r="BW62" s="40"/>
      <c r="BX62" s="40"/>
      <c r="BY62" s="40"/>
      <c r="BZ62" s="41"/>
      <c r="CA62" s="40"/>
      <c r="CB62" s="42"/>
      <c r="CC62" s="43"/>
      <c r="CE62" s="40"/>
      <c r="CF62" s="40"/>
      <c r="CG62" s="40"/>
      <c r="CH62" s="40"/>
      <c r="CI62" s="41"/>
      <c r="CJ62" s="40"/>
      <c r="CK62" s="42"/>
      <c r="CL62" s="43"/>
      <c r="CN62" s="40"/>
      <c r="CO62" s="40"/>
      <c r="CP62" s="40"/>
      <c r="CQ62" s="40"/>
      <c r="CR62" s="41"/>
      <c r="CS62" s="40"/>
      <c r="CT62" s="42"/>
      <c r="CU62" s="43"/>
      <c r="CW62" s="40"/>
      <c r="CX62" s="40"/>
      <c r="CY62" s="40"/>
      <c r="CZ62" s="40"/>
      <c r="DA62" s="41"/>
      <c r="DB62" s="40"/>
      <c r="DC62" s="42"/>
      <c r="DD62" s="43"/>
      <c r="DF62" s="40"/>
      <c r="DG62" s="40"/>
      <c r="DH62" s="40"/>
      <c r="DI62" s="40"/>
      <c r="DJ62" s="41"/>
      <c r="DK62" s="40"/>
      <c r="DL62" s="42"/>
      <c r="DM62" s="43"/>
      <c r="DO62" s="40"/>
      <c r="DP62" s="40"/>
      <c r="DQ62" s="40"/>
      <c r="DR62" s="40"/>
      <c r="DS62" s="41"/>
      <c r="DT62" s="40"/>
      <c r="DU62" s="42"/>
      <c r="DV62" s="43"/>
      <c r="DX62" s="40"/>
      <c r="DY62" s="40"/>
      <c r="DZ62" s="40"/>
      <c r="EA62" s="40"/>
      <c r="EB62" s="41"/>
      <c r="EC62" s="40"/>
      <c r="ED62" s="42"/>
      <c r="EE62" s="43"/>
      <c r="EG62" s="40"/>
      <c r="EH62" s="40"/>
      <c r="EI62" s="40"/>
      <c r="EJ62" s="40"/>
      <c r="EK62" s="41"/>
      <c r="EL62" s="40"/>
      <c r="EM62" s="42"/>
      <c r="EN62" s="43"/>
      <c r="EP62" s="40"/>
      <c r="EQ62" s="40"/>
      <c r="ER62" s="40"/>
      <c r="ES62" s="40"/>
      <c r="ET62" s="41"/>
      <c r="EU62" s="40"/>
      <c r="EV62" s="42"/>
      <c r="EW62" s="43"/>
      <c r="EY62" s="40"/>
      <c r="EZ62" s="40"/>
      <c r="FA62" s="40"/>
      <c r="FB62" s="40"/>
      <c r="FC62" s="41"/>
      <c r="FD62" s="40"/>
      <c r="FE62" s="42"/>
      <c r="FF62" s="43"/>
      <c r="FH62" s="40"/>
      <c r="FI62" s="40"/>
      <c r="FJ62" s="40"/>
      <c r="FK62" s="40"/>
      <c r="FL62" s="41"/>
      <c r="FM62" s="40"/>
      <c r="FN62" s="42"/>
      <c r="FO62" s="43"/>
      <c r="FQ62" s="40"/>
      <c r="FR62" s="40"/>
      <c r="FS62" s="40"/>
      <c r="FT62" s="40"/>
      <c r="FU62" s="41"/>
      <c r="FV62" s="40"/>
      <c r="FW62" s="42"/>
      <c r="FX62" s="43"/>
      <c r="FZ62" s="40"/>
      <c r="GA62" s="40"/>
      <c r="GB62" s="40"/>
      <c r="GC62" s="40"/>
      <c r="GD62" s="41"/>
      <c r="GE62" s="40"/>
      <c r="GF62" s="42"/>
      <c r="GG62" s="43"/>
      <c r="GI62" s="40"/>
      <c r="GJ62" s="40"/>
      <c r="GK62" s="40"/>
      <c r="GL62" s="40"/>
      <c r="GM62" s="41"/>
      <c r="GN62" s="40"/>
      <c r="GO62" s="42"/>
      <c r="GP62" s="43"/>
      <c r="GR62" s="40"/>
      <c r="GS62" s="40"/>
      <c r="GT62" s="40"/>
      <c r="GU62" s="40"/>
      <c r="GV62" s="41"/>
      <c r="GW62" s="40"/>
      <c r="GX62" s="42"/>
      <c r="GY62" s="43"/>
      <c r="HA62" s="40"/>
      <c r="HB62" s="40"/>
      <c r="HC62" s="40"/>
      <c r="HD62" s="40"/>
      <c r="HE62" s="41"/>
      <c r="HF62" s="40"/>
      <c r="HG62" s="42"/>
      <c r="HH62" s="43"/>
      <c r="HJ62" s="40"/>
      <c r="HK62" s="40"/>
      <c r="HL62" s="40"/>
      <c r="HM62" s="40"/>
      <c r="HN62" s="41"/>
      <c r="HO62" s="40"/>
      <c r="HP62" s="42"/>
      <c r="HQ62" s="43"/>
      <c r="HS62" s="40"/>
      <c r="HT62" s="40"/>
      <c r="HU62" s="40"/>
      <c r="HV62" s="40"/>
      <c r="HW62" s="41"/>
      <c r="HX62" s="40"/>
      <c r="HY62" s="42"/>
      <c r="HZ62" s="43"/>
      <c r="IB62" s="40"/>
      <c r="IC62" s="40"/>
      <c r="ID62" s="40"/>
      <c r="IE62" s="40"/>
      <c r="IF62" s="41"/>
      <c r="IG62" s="40"/>
      <c r="IH62" s="42"/>
      <c r="II62" s="43"/>
      <c r="IK62" s="40"/>
      <c r="IL62" s="40"/>
      <c r="IM62" s="40"/>
    </row>
    <row r="63" spans="1:247" s="4" customFormat="1" ht="12">
      <c r="A63" s="31">
        <f t="shared" si="1"/>
        <v>52</v>
      </c>
      <c r="B63" s="37" t="s">
        <v>70</v>
      </c>
      <c r="C63" s="39"/>
      <c r="D63" s="39"/>
      <c r="E63" s="39"/>
      <c r="F63" s="30"/>
      <c r="G63" s="29"/>
      <c r="H63" s="19"/>
      <c r="I63" s="8"/>
      <c r="J63" s="2"/>
      <c r="K63" s="29"/>
      <c r="L63" s="29"/>
      <c r="M63" s="29"/>
      <c r="N63" s="40"/>
      <c r="O63" s="41"/>
      <c r="P63" s="40"/>
      <c r="Q63" s="42"/>
      <c r="R63" s="43"/>
      <c r="T63" s="40"/>
      <c r="U63" s="40"/>
      <c r="V63" s="40"/>
      <c r="W63" s="40"/>
      <c r="X63" s="41"/>
      <c r="Y63" s="40"/>
      <c r="Z63" s="42"/>
      <c r="AA63" s="43"/>
      <c r="AC63" s="40"/>
      <c r="AD63" s="40"/>
      <c r="AE63" s="40"/>
      <c r="AF63" s="40"/>
      <c r="AG63" s="41"/>
      <c r="AH63" s="40"/>
      <c r="AI63" s="42"/>
      <c r="AJ63" s="43"/>
      <c r="AL63" s="40"/>
      <c r="AM63" s="40"/>
      <c r="AN63" s="40"/>
      <c r="AO63" s="40"/>
      <c r="AP63" s="41"/>
      <c r="AQ63" s="40"/>
      <c r="AR63" s="42"/>
      <c r="AS63" s="43"/>
      <c r="AU63" s="40"/>
      <c r="AV63" s="40"/>
      <c r="AW63" s="40"/>
      <c r="AX63" s="40"/>
      <c r="AY63" s="41"/>
      <c r="AZ63" s="40"/>
      <c r="BA63" s="42"/>
      <c r="BB63" s="43"/>
      <c r="BD63" s="40"/>
      <c r="BE63" s="40"/>
      <c r="BF63" s="40"/>
      <c r="BG63" s="40"/>
      <c r="BH63" s="41"/>
      <c r="BI63" s="40"/>
      <c r="BJ63" s="42"/>
      <c r="BK63" s="43"/>
      <c r="BM63" s="40"/>
      <c r="BN63" s="40"/>
      <c r="BO63" s="40"/>
      <c r="BP63" s="40"/>
      <c r="BQ63" s="41"/>
      <c r="BR63" s="40"/>
      <c r="BS63" s="42"/>
      <c r="BT63" s="43"/>
      <c r="BV63" s="40"/>
      <c r="BW63" s="40"/>
      <c r="BX63" s="40"/>
      <c r="BY63" s="40"/>
      <c r="BZ63" s="41"/>
      <c r="CA63" s="40"/>
      <c r="CB63" s="42"/>
      <c r="CC63" s="43"/>
      <c r="CE63" s="40"/>
      <c r="CF63" s="40"/>
      <c r="CG63" s="40"/>
      <c r="CH63" s="40"/>
      <c r="CI63" s="41"/>
      <c r="CJ63" s="40"/>
      <c r="CK63" s="42"/>
      <c r="CL63" s="43"/>
      <c r="CN63" s="40"/>
      <c r="CO63" s="40"/>
      <c r="CP63" s="40"/>
      <c r="CQ63" s="40"/>
      <c r="CR63" s="41"/>
      <c r="CS63" s="40"/>
      <c r="CT63" s="42"/>
      <c r="CU63" s="43"/>
      <c r="CW63" s="40"/>
      <c r="CX63" s="40"/>
      <c r="CY63" s="40"/>
      <c r="CZ63" s="40"/>
      <c r="DA63" s="41"/>
      <c r="DB63" s="40"/>
      <c r="DC63" s="42"/>
      <c r="DD63" s="43"/>
      <c r="DF63" s="40"/>
      <c r="DG63" s="40"/>
      <c r="DH63" s="40"/>
      <c r="DI63" s="40"/>
      <c r="DJ63" s="41"/>
      <c r="DK63" s="40"/>
      <c r="DL63" s="42"/>
      <c r="DM63" s="43"/>
      <c r="DO63" s="40"/>
      <c r="DP63" s="40"/>
      <c r="DQ63" s="40"/>
      <c r="DR63" s="40"/>
      <c r="DS63" s="41"/>
      <c r="DT63" s="40"/>
      <c r="DU63" s="42"/>
      <c r="DV63" s="43"/>
      <c r="DX63" s="40"/>
      <c r="DY63" s="40"/>
      <c r="DZ63" s="40"/>
      <c r="EA63" s="40"/>
      <c r="EB63" s="41"/>
      <c r="EC63" s="40"/>
      <c r="ED63" s="42"/>
      <c r="EE63" s="43"/>
      <c r="EG63" s="40"/>
      <c r="EH63" s="40"/>
      <c r="EI63" s="40"/>
      <c r="EJ63" s="40"/>
      <c r="EK63" s="41"/>
      <c r="EL63" s="40"/>
      <c r="EM63" s="42"/>
      <c r="EN63" s="43"/>
      <c r="EP63" s="40"/>
      <c r="EQ63" s="40"/>
      <c r="ER63" s="40"/>
      <c r="ES63" s="40"/>
      <c r="ET63" s="41"/>
      <c r="EU63" s="40"/>
      <c r="EV63" s="42"/>
      <c r="EW63" s="43"/>
      <c r="EY63" s="40"/>
      <c r="EZ63" s="40"/>
      <c r="FA63" s="40"/>
      <c r="FB63" s="40"/>
      <c r="FC63" s="41"/>
      <c r="FD63" s="40"/>
      <c r="FE63" s="42"/>
      <c r="FF63" s="43"/>
      <c r="FH63" s="40"/>
      <c r="FI63" s="40"/>
      <c r="FJ63" s="40"/>
      <c r="FK63" s="40"/>
      <c r="FL63" s="41"/>
      <c r="FM63" s="40"/>
      <c r="FN63" s="42"/>
      <c r="FO63" s="43"/>
      <c r="FQ63" s="40"/>
      <c r="FR63" s="40"/>
      <c r="FS63" s="40"/>
      <c r="FT63" s="40"/>
      <c r="FU63" s="41"/>
      <c r="FV63" s="40"/>
      <c r="FW63" s="42"/>
      <c r="FX63" s="43"/>
      <c r="FZ63" s="40"/>
      <c r="GA63" s="40"/>
      <c r="GB63" s="40"/>
      <c r="GC63" s="40"/>
      <c r="GD63" s="41"/>
      <c r="GE63" s="40"/>
      <c r="GF63" s="42"/>
      <c r="GG63" s="43"/>
      <c r="GI63" s="40"/>
      <c r="GJ63" s="40"/>
      <c r="GK63" s="40"/>
      <c r="GL63" s="40"/>
      <c r="GM63" s="41"/>
      <c r="GN63" s="40"/>
      <c r="GO63" s="42"/>
      <c r="GP63" s="43"/>
      <c r="GR63" s="40"/>
      <c r="GS63" s="40"/>
      <c r="GT63" s="40"/>
      <c r="GU63" s="40"/>
      <c r="GV63" s="41"/>
      <c r="GW63" s="40"/>
      <c r="GX63" s="42"/>
      <c r="GY63" s="43"/>
      <c r="HA63" s="40"/>
      <c r="HB63" s="40"/>
      <c r="HC63" s="40"/>
      <c r="HD63" s="40"/>
      <c r="HE63" s="41"/>
      <c r="HF63" s="40"/>
      <c r="HG63" s="42"/>
      <c r="HH63" s="43"/>
      <c r="HJ63" s="40"/>
      <c r="HK63" s="40"/>
      <c r="HL63" s="40"/>
      <c r="HM63" s="40"/>
      <c r="HN63" s="41"/>
      <c r="HO63" s="40"/>
      <c r="HP63" s="42"/>
      <c r="HQ63" s="43"/>
      <c r="HS63" s="40"/>
      <c r="HT63" s="40"/>
      <c r="HU63" s="40"/>
      <c r="HV63" s="40"/>
      <c r="HW63" s="41"/>
      <c r="HX63" s="40"/>
      <c r="HY63" s="42"/>
      <c r="HZ63" s="43"/>
      <c r="IB63" s="40"/>
      <c r="IC63" s="40"/>
      <c r="ID63" s="40"/>
      <c r="IE63" s="40"/>
      <c r="IF63" s="41"/>
      <c r="IG63" s="40"/>
      <c r="IH63" s="42"/>
      <c r="II63" s="43"/>
      <c r="IK63" s="40"/>
      <c r="IL63" s="40"/>
      <c r="IM63" s="40"/>
    </row>
    <row r="64" spans="1:13" s="4" customFormat="1" ht="12">
      <c r="A64" s="31">
        <f t="shared" si="1"/>
        <v>53</v>
      </c>
      <c r="B64" s="35" t="s">
        <v>71</v>
      </c>
      <c r="C64" s="82">
        <f t="shared" si="4" ref="C64:E64">SUM(C13:C63)</f>
        <v>2229799.3199999998</v>
      </c>
      <c r="D64" s="82">
        <f t="shared" si="4"/>
        <v>0</v>
      </c>
      <c r="E64" s="82">
        <f t="shared" si="4"/>
        <v>2229799.3199999998</v>
      </c>
      <c r="F64" s="30"/>
      <c r="G64" s="82">
        <f>SUM(G13:G63)</f>
        <v>1078777</v>
      </c>
      <c r="H64" s="2"/>
      <c r="I64" s="73">
        <f>-1129453+79496-9933</f>
        <v>-1059890</v>
      </c>
      <c r="J64" s="73"/>
      <c r="K64" s="2"/>
      <c r="L64" s="2"/>
      <c r="M64" s="2"/>
    </row>
    <row r="65" spans="1:13" s="4" customFormat="1" ht="12">
      <c r="A65" s="2"/>
      <c r="B65" s="2"/>
      <c r="C65" s="2"/>
      <c r="D65" s="2"/>
      <c r="E65" s="2"/>
      <c r="F65" s="30"/>
      <c r="G65" s="2"/>
      <c r="H65" s="2"/>
      <c r="I65" s="2"/>
      <c r="J65" s="2"/>
      <c r="K65" s="2"/>
      <c r="L65" s="2"/>
      <c r="M65" s="2"/>
    </row>
    <row r="66" spans="1:13" s="4" customFormat="1" ht="12">
      <c r="A66" s="2"/>
      <c r="B66" s="2"/>
      <c r="C66" s="2"/>
      <c r="D66" s="2"/>
      <c r="E66" s="2"/>
      <c r="F66" s="30"/>
      <c r="G66" s="2"/>
      <c r="H66" s="2"/>
      <c r="I66" s="2"/>
      <c r="J66" s="2"/>
      <c r="K66" s="2"/>
      <c r="L66" s="2"/>
      <c r="M66" s="2"/>
    </row>
    <row r="67" spans="1:13" s="4" customFormat="1" ht="12">
      <c r="A67" s="2"/>
      <c r="B67" s="2"/>
      <c r="C67" s="2"/>
      <c r="D67" s="2"/>
      <c r="E67" s="2"/>
      <c r="F67" s="30"/>
      <c r="G67" s="2"/>
      <c r="H67" s="2"/>
      <c r="I67" s="2"/>
      <c r="J67" s="2"/>
      <c r="K67" s="2"/>
      <c r="L67" s="2"/>
      <c r="M67" s="2"/>
    </row>
    <row r="68" spans="1:13" s="4" customFormat="1" ht="12">
      <c r="A68" s="2"/>
      <c r="B68" s="1" t="s">
        <v>120</v>
      </c>
      <c r="C68" s="2"/>
      <c r="D68" s="2"/>
      <c r="E68" s="2"/>
      <c r="F68" s="30"/>
      <c r="G68" s="2"/>
      <c r="H68" s="2"/>
      <c r="I68" s="2"/>
      <c r="J68" s="2"/>
      <c r="K68" s="2"/>
      <c r="L68" s="2"/>
      <c r="M68" s="2"/>
    </row>
    <row r="69" spans="1:13" s="4" customFormat="1" ht="12">
      <c r="A69" s="2"/>
      <c r="B69" s="2"/>
      <c r="C69" s="2"/>
      <c r="D69" s="2"/>
      <c r="E69" s="2"/>
      <c r="F69" s="30"/>
      <c r="G69" s="2"/>
      <c r="H69" s="2"/>
      <c r="I69" s="2"/>
      <c r="J69" s="2"/>
      <c r="K69" s="2"/>
      <c r="L69" s="2"/>
      <c r="M69" s="2"/>
    </row>
    <row r="70" spans="1:13" s="4" customFormat="1" ht="12">
      <c r="A70" s="2"/>
      <c r="B70" s="222" t="s">
        <v>189</v>
      </c>
      <c r="C70" s="2"/>
      <c r="D70" s="2"/>
      <c r="E70" s="2"/>
      <c r="F70" s="30"/>
      <c r="G70" s="2"/>
      <c r="H70" s="2"/>
      <c r="I70" s="2"/>
      <c r="J70" s="2"/>
      <c r="K70" s="2"/>
      <c r="L70" s="2"/>
      <c r="M70" s="2"/>
    </row>
    <row r="71" spans="1:13" s="4" customFormat="1" ht="12">
      <c r="A71" s="2"/>
      <c r="B71" s="2"/>
      <c r="C71" s="2"/>
      <c r="D71" s="2"/>
      <c r="E71" s="2"/>
      <c r="F71" s="30"/>
      <c r="G71" s="2"/>
      <c r="H71" s="2"/>
      <c r="I71" s="2"/>
      <c r="J71" s="2"/>
      <c r="K71" s="2"/>
      <c r="L71" s="2"/>
      <c r="M71" s="2"/>
    </row>
    <row r="72" spans="1:14" s="4" customFormat="1" ht="12.75">
      <c r="A72" s="2"/>
      <c r="B72" s="224" t="s">
        <v>164</v>
      </c>
      <c r="C72" s="225"/>
      <c r="D72" s="226"/>
      <c r="E72" s="225" t="s">
        <v>165</v>
      </c>
      <c r="F72" s="225"/>
      <c r="G72" s="225"/>
      <c r="H72" s="225"/>
      <c r="I72" s="226"/>
      <c r="J72" s="226"/>
      <c r="K72" s="225" t="s">
        <v>8</v>
      </c>
      <c r="L72" s="226"/>
      <c r="M72" s="226"/>
      <c r="N72" s="225"/>
    </row>
    <row r="73" spans="1:14" s="4" customFormat="1" ht="12.75">
      <c r="A73" s="2"/>
      <c r="B73" s="227"/>
      <c r="C73" s="225" t="s">
        <v>167</v>
      </c>
      <c r="D73" s="226"/>
      <c r="E73" s="225" t="s">
        <v>168</v>
      </c>
      <c r="F73" s="225" t="s">
        <v>169</v>
      </c>
      <c r="G73" s="225" t="s">
        <v>167</v>
      </c>
      <c r="H73" s="225" t="s">
        <v>167</v>
      </c>
      <c r="I73" s="226"/>
      <c r="J73" s="226"/>
      <c r="K73" s="225" t="s">
        <v>190</v>
      </c>
      <c r="L73" s="225" t="s">
        <v>167</v>
      </c>
      <c r="M73" s="225" t="s">
        <v>167</v>
      </c>
      <c r="N73" s="225"/>
    </row>
    <row r="74" spans="1:14" s="4" customFormat="1" ht="12.75">
      <c r="A74" s="2"/>
      <c r="B74" s="224" t="s">
        <v>170</v>
      </c>
      <c r="C74" s="225" t="s">
        <v>10</v>
      </c>
      <c r="D74" s="228" t="s">
        <v>173</v>
      </c>
      <c r="E74" s="225" t="s">
        <v>174</v>
      </c>
      <c r="F74" s="225" t="s">
        <v>175</v>
      </c>
      <c r="G74" s="225" t="s">
        <v>172</v>
      </c>
      <c r="H74" s="225" t="s">
        <v>10</v>
      </c>
      <c r="I74" s="228" t="s">
        <v>173</v>
      </c>
      <c r="J74" s="228" t="s">
        <v>173</v>
      </c>
      <c r="K74" s="225" t="s">
        <v>191</v>
      </c>
      <c r="L74" s="225" t="s">
        <v>172</v>
      </c>
      <c r="M74" s="225" t="s">
        <v>10</v>
      </c>
      <c r="N74" s="225"/>
    </row>
    <row r="75" spans="1:14" s="4" customFormat="1" ht="12.75">
      <c r="A75" s="2"/>
      <c r="B75" s="227"/>
      <c r="C75" s="229" t="s">
        <v>177</v>
      </c>
      <c r="D75" s="231" t="s">
        <v>178</v>
      </c>
      <c r="E75" s="229" t="s">
        <v>192</v>
      </c>
      <c r="F75" s="230" t="s">
        <v>193</v>
      </c>
      <c r="G75" s="230" t="s">
        <v>105</v>
      </c>
      <c r="H75" s="229" t="s">
        <v>177</v>
      </c>
      <c r="I75" s="231" t="s">
        <v>194</v>
      </c>
      <c r="J75" s="231" t="s">
        <v>195</v>
      </c>
      <c r="K75" s="229" t="s">
        <v>196</v>
      </c>
      <c r="L75" s="229" t="s">
        <v>105</v>
      </c>
      <c r="M75" s="229" t="s">
        <v>177</v>
      </c>
      <c r="N75" s="229"/>
    </row>
    <row r="76" spans="1:14" s="4" customFormat="1" ht="12.75">
      <c r="A76" s="2"/>
      <c r="B76" s="227"/>
      <c r="C76" s="226"/>
      <c r="D76" s="226"/>
      <c r="E76" s="226"/>
      <c r="F76" s="226"/>
      <c r="G76" s="226"/>
      <c r="H76" s="226"/>
      <c r="I76" s="226"/>
      <c r="J76" s="226"/>
      <c r="K76" s="226"/>
      <c r="L76" s="226"/>
      <c r="M76" s="226"/>
      <c r="N76" s="226"/>
    </row>
    <row r="77" spans="1:14" s="4" customFormat="1" ht="12.75">
      <c r="A77" s="2"/>
      <c r="B77" s="227" t="s">
        <v>184</v>
      </c>
      <c r="C77" s="234" t="e">
        <f>(#REF!+#REF!)</f>
        <v>#REF!</v>
      </c>
      <c r="D77" s="235"/>
      <c r="E77" s="236">
        <v>0</v>
      </c>
      <c r="F77" s="232">
        <v>0</v>
      </c>
      <c r="G77" s="233">
        <v>0</v>
      </c>
      <c r="H77" s="234">
        <f t="shared" si="5" ref="H77:H83">(G77+F77)</f>
        <v>0</v>
      </c>
      <c r="I77" s="235"/>
      <c r="J77" s="234"/>
      <c r="K77" s="233">
        <v>0</v>
      </c>
      <c r="L77" s="237">
        <v>0</v>
      </c>
      <c r="M77" s="237">
        <f>(L77+K77)</f>
        <v>0</v>
      </c>
      <c r="N77" s="234"/>
    </row>
    <row r="78" spans="1:14" s="4" customFormat="1" ht="13.5">
      <c r="A78" s="2"/>
      <c r="B78" s="227" t="s">
        <v>185</v>
      </c>
      <c r="C78" s="238" t="e">
        <f>(#REF!+#REF!)</f>
        <v>#REF!</v>
      </c>
      <c r="D78" s="235"/>
      <c r="E78" s="236">
        <v>0</v>
      </c>
      <c r="F78" s="232">
        <v>0</v>
      </c>
      <c r="G78" s="239">
        <v>0</v>
      </c>
      <c r="H78" s="238">
        <f t="shared" si="5"/>
        <v>0</v>
      </c>
      <c r="I78" s="235"/>
      <c r="J78" s="238"/>
      <c r="K78" s="237">
        <v>0</v>
      </c>
      <c r="L78" s="238">
        <v>0</v>
      </c>
      <c r="M78" s="238">
        <f>(L78+K78)</f>
        <v>0</v>
      </c>
      <c r="N78" s="238"/>
    </row>
    <row r="79" spans="1:14" s="4" customFormat="1" ht="12.75">
      <c r="A79" s="2"/>
      <c r="B79" s="227" t="s">
        <v>197</v>
      </c>
      <c r="C79" s="238" t="e">
        <f>(#REF!+#REF!)</f>
        <v>#REF!</v>
      </c>
      <c r="D79" s="235"/>
      <c r="E79" s="236">
        <v>0</v>
      </c>
      <c r="F79" s="232">
        <v>0</v>
      </c>
      <c r="G79" s="238">
        <v>0</v>
      </c>
      <c r="H79" s="238">
        <f t="shared" si="5"/>
        <v>0</v>
      </c>
      <c r="I79" s="235"/>
      <c r="J79" s="238"/>
      <c r="K79" s="237">
        <v>0</v>
      </c>
      <c r="L79" s="238" t="e">
        <f>(E79*#REF!)</f>
        <v>#REF!</v>
      </c>
      <c r="M79" s="238" t="e">
        <f>(L79+K79)</f>
        <v>#REF!</v>
      </c>
      <c r="N79" s="238"/>
    </row>
    <row r="80" spans="1:14" s="4" customFormat="1" ht="12.75">
      <c r="A80" s="2"/>
      <c r="B80" s="227" t="s">
        <v>186</v>
      </c>
      <c r="C80" s="238" t="e">
        <f>(#REF!+#REF!)</f>
        <v>#REF!</v>
      </c>
      <c r="D80" s="235"/>
      <c r="E80" s="240">
        <v>0</v>
      </c>
      <c r="F80" s="232">
        <f>31774+93303+22578</f>
        <v>147655</v>
      </c>
      <c r="G80" s="238" t="e">
        <f>(L80/2)</f>
        <v>#REF!</v>
      </c>
      <c r="H80" s="238" t="e">
        <f t="shared" si="5"/>
        <v>#REF!</v>
      </c>
      <c r="I80" s="235"/>
      <c r="J80" s="238"/>
      <c r="K80" s="237">
        <v>0</v>
      </c>
      <c r="L80" s="238" t="e">
        <f>(E80*#REF!)</f>
        <v>#REF!</v>
      </c>
      <c r="M80" s="238" t="e">
        <f>(L80+K80)</f>
        <v>#REF!</v>
      </c>
      <c r="N80" s="238"/>
    </row>
    <row r="81" spans="1:14" s="4" customFormat="1" ht="12.75">
      <c r="A81" s="2"/>
      <c r="B81" s="227" t="s">
        <v>198</v>
      </c>
      <c r="C81" s="238" t="e">
        <f>(#REF!+#REF!)</f>
        <v>#REF!</v>
      </c>
      <c r="D81" s="235"/>
      <c r="E81" s="240">
        <v>0</v>
      </c>
      <c r="F81" s="232">
        <f>-5996+165143+260310+36925-72-19201</f>
        <v>437109</v>
      </c>
      <c r="G81" s="238">
        <v>19273</v>
      </c>
      <c r="H81" s="238">
        <f t="shared" si="5"/>
        <v>456382</v>
      </c>
      <c r="I81" s="235"/>
      <c r="J81" s="238"/>
      <c r="K81" s="237">
        <v>0</v>
      </c>
      <c r="L81" s="238" t="e">
        <f>(E81*#REF!)</f>
        <v>#REF!</v>
      </c>
      <c r="M81" s="238" t="e">
        <f>(L81+K81)</f>
        <v>#REF!</v>
      </c>
      <c r="N81" s="238"/>
    </row>
    <row r="82" spans="1:14" s="4" customFormat="1" ht="12.75">
      <c r="A82" s="2"/>
      <c r="B82" s="241" t="s">
        <v>199</v>
      </c>
      <c r="C82" s="243" t="e">
        <f>(#REF!+#REF!)</f>
        <v>#REF!</v>
      </c>
      <c r="D82" s="244">
        <v>0.5776</v>
      </c>
      <c r="E82" s="245"/>
      <c r="F82" s="242">
        <v>51338</v>
      </c>
      <c r="G82" s="243"/>
      <c r="H82" s="243">
        <f t="shared" si="5"/>
        <v>51338</v>
      </c>
      <c r="I82" s="244">
        <f>D82</f>
        <v>0.5776</v>
      </c>
      <c r="J82" s="243">
        <f>I82*H82</f>
        <v>29652.828799999999</v>
      </c>
      <c r="K82" s="242">
        <f>(417988+14339)-(378001+12383)</f>
        <v>41943</v>
      </c>
      <c r="L82" s="243">
        <f>M82-K82</f>
        <v>-24226.2768</v>
      </c>
      <c r="M82" s="243">
        <f>K82*(1-I82)</f>
        <v>17716.7232</v>
      </c>
      <c r="N82" s="243"/>
    </row>
    <row r="83" spans="1:14" s="4" customFormat="1" ht="12.75">
      <c r="A83" s="2"/>
      <c r="B83" s="227" t="s">
        <v>200</v>
      </c>
      <c r="C83" s="238" t="e">
        <f>(#REF!+#REF!)</f>
        <v>#REF!</v>
      </c>
      <c r="D83" s="235"/>
      <c r="E83" s="240">
        <v>0</v>
      </c>
      <c r="F83" s="232">
        <v>0</v>
      </c>
      <c r="G83" s="238" t="e">
        <f>(L83/2)</f>
        <v>#REF!</v>
      </c>
      <c r="H83" s="238" t="e">
        <f t="shared" si="5"/>
        <v>#REF!</v>
      </c>
      <c r="I83" s="235"/>
      <c r="J83" s="246"/>
      <c r="K83" s="237">
        <v>0</v>
      </c>
      <c r="L83" s="238" t="e">
        <f>(E83*#REF!)</f>
        <v>#REF!</v>
      </c>
      <c r="M83" s="238" t="e">
        <f>(L83+K83)</f>
        <v>#REF!</v>
      </c>
      <c r="N83" s="238"/>
    </row>
    <row r="84" spans="1:14" s="4" customFormat="1" ht="12.75">
      <c r="A84" s="2"/>
      <c r="B84" s="227"/>
      <c r="C84" s="247"/>
      <c r="D84" s="226"/>
      <c r="E84" s="226"/>
      <c r="F84" s="247"/>
      <c r="G84" s="247"/>
      <c r="H84" s="247"/>
      <c r="I84" s="226"/>
      <c r="J84" s="226"/>
      <c r="K84" s="247"/>
      <c r="L84" s="247"/>
      <c r="M84" s="247"/>
      <c r="N84" s="247"/>
    </row>
    <row r="85" spans="1:14" s="4" customFormat="1" ht="13.5">
      <c r="A85" s="2"/>
      <c r="B85" s="248" t="s">
        <v>71</v>
      </c>
      <c r="C85" s="239" t="e">
        <f>SUM(C77:C83)</f>
        <v>#REF!</v>
      </c>
      <c r="D85" s="249"/>
      <c r="E85" s="249"/>
      <c r="F85" s="239">
        <f>SUM(F77:F83)</f>
        <v>636102</v>
      </c>
      <c r="G85" s="239" t="e">
        <f>SUM(G77:G83)</f>
        <v>#REF!</v>
      </c>
      <c r="H85" s="239" t="e">
        <f>SUM(H77:H83)</f>
        <v>#REF!</v>
      </c>
      <c r="I85" s="226"/>
      <c r="J85" s="234">
        <f>SUM(J82:J84)</f>
        <v>29652.828799999999</v>
      </c>
      <c r="K85" s="234">
        <f>SUM(K77:K84)</f>
        <v>41943</v>
      </c>
      <c r="L85" s="234" t="e">
        <f>SUM(L77:L84)</f>
        <v>#REF!</v>
      </c>
      <c r="M85" s="234" t="e">
        <f>SUM(M77:M83)</f>
        <v>#REF!</v>
      </c>
      <c r="N85" s="234"/>
    </row>
    <row r="86" spans="1:13" s="4" customFormat="1" ht="12">
      <c r="A86" s="2"/>
      <c r="B86" s="2"/>
      <c r="C86" s="2"/>
      <c r="D86" s="2"/>
      <c r="E86" s="2"/>
      <c r="F86" s="30"/>
      <c r="G86" s="2"/>
      <c r="H86" s="2"/>
      <c r="I86" s="2"/>
      <c r="J86" s="2"/>
      <c r="K86" s="2"/>
      <c r="L86" s="2"/>
      <c r="M86" s="2"/>
    </row>
    <row r="87" spans="1:13" s="4" customFormat="1" ht="12">
      <c r="A87" s="2"/>
      <c r="B87" s="2"/>
      <c r="C87" s="2"/>
      <c r="D87" s="2"/>
      <c r="E87" s="2"/>
      <c r="F87" s="30"/>
      <c r="G87" s="2"/>
      <c r="H87" s="2"/>
      <c r="I87" s="2"/>
      <c r="J87" s="2"/>
      <c r="K87" s="2"/>
      <c r="L87" s="2"/>
      <c r="M87" s="2"/>
    </row>
    <row r="88" spans="1:13" s="4" customFormat="1" ht="12">
      <c r="A88" s="2"/>
      <c r="B88" s="4" t="s">
        <v>201</v>
      </c>
      <c r="C88" s="2"/>
      <c r="D88" s="2"/>
      <c r="E88" s="2"/>
      <c r="F88" s="30"/>
      <c r="G88" s="2"/>
      <c r="H88" s="2"/>
      <c r="I88" s="2"/>
      <c r="J88" s="2"/>
      <c r="K88" s="2"/>
      <c r="L88" s="2"/>
      <c r="M88" s="2"/>
    </row>
    <row r="89" spans="1:13" s="4" customFormat="1" ht="12">
      <c r="A89" s="2"/>
      <c r="B89" s="4" t="s">
        <v>202</v>
      </c>
      <c r="C89" s="2"/>
      <c r="D89" s="2"/>
      <c r="E89" s="2"/>
      <c r="F89" s="30"/>
      <c r="G89" s="2"/>
      <c r="H89" s="2"/>
      <c r="I89" s="2"/>
      <c r="J89" s="2"/>
      <c r="K89" s="2"/>
      <c r="L89" s="2"/>
      <c r="M89" s="2"/>
    </row>
    <row r="90" spans="1:13" s="4" customFormat="1" ht="12">
      <c r="A90" s="2"/>
      <c r="B90" s="4" t="s">
        <v>179</v>
      </c>
      <c r="C90" s="2"/>
      <c r="D90" s="2"/>
      <c r="E90" s="2"/>
      <c r="F90" s="30"/>
      <c r="G90" s="2"/>
      <c r="H90" s="2"/>
      <c r="I90" s="2"/>
      <c r="J90" s="2"/>
      <c r="K90" s="2"/>
      <c r="L90" s="2"/>
      <c r="M90" s="2"/>
    </row>
    <row r="91" spans="1:13" s="4" customFormat="1" ht="12">
      <c r="A91" s="2"/>
      <c r="B91" s="4" t="s">
        <v>195</v>
      </c>
      <c r="C91" s="2"/>
      <c r="D91" s="2"/>
      <c r="E91" s="2"/>
      <c r="F91" s="30"/>
      <c r="G91" s="2"/>
      <c r="H91" s="2"/>
      <c r="I91" s="2"/>
      <c r="J91" s="2"/>
      <c r="K91" s="2"/>
      <c r="L91" s="2"/>
      <c r="M91" s="2"/>
    </row>
    <row r="92" spans="1:13" s="4" customFormat="1" ht="12">
      <c r="A92" s="2"/>
      <c r="B92" s="4" t="s">
        <v>71</v>
      </c>
      <c r="C92" s="2"/>
      <c r="D92" s="2"/>
      <c r="E92" s="2"/>
      <c r="F92" s="30"/>
      <c r="G92" s="2"/>
      <c r="H92" s="2"/>
      <c r="I92" s="2"/>
      <c r="J92" s="2"/>
      <c r="K92" s="2"/>
      <c r="L92" s="2"/>
      <c r="M92" s="2"/>
    </row>
    <row r="93" spans="1:13" s="4" customFormat="1" ht="12">
      <c r="A93" s="2"/>
      <c r="B93" s="4" t="s">
        <v>203</v>
      </c>
      <c r="C93" s="2"/>
      <c r="D93" s="2"/>
      <c r="E93" s="2"/>
      <c r="F93" s="30"/>
      <c r="G93" s="2"/>
      <c r="H93" s="2"/>
      <c r="I93" s="2"/>
      <c r="J93" s="2"/>
      <c r="K93" s="2"/>
      <c r="L93" s="2"/>
      <c r="M93" s="2"/>
    </row>
    <row r="94" spans="1:13" s="4" customFormat="1" ht="12">
      <c r="A94" s="2"/>
      <c r="B94" s="2" t="s">
        <v>204</v>
      </c>
      <c r="C94" s="2"/>
      <c r="D94" s="2"/>
      <c r="E94" s="2"/>
      <c r="F94" s="30"/>
      <c r="G94" s="2"/>
      <c r="H94" s="2"/>
      <c r="I94" s="2"/>
      <c r="J94" s="2"/>
      <c r="K94" s="2"/>
      <c r="L94" s="2"/>
      <c r="M94" s="2"/>
    </row>
    <row r="95" spans="1:13" s="4" customFormat="1" ht="12">
      <c r="A95" s="2"/>
      <c r="B95" s="2"/>
      <c r="C95" s="2"/>
      <c r="D95" s="2"/>
      <c r="E95" s="2"/>
      <c r="F95" s="30"/>
      <c r="G95" s="2"/>
      <c r="H95" s="2"/>
      <c r="I95" s="2"/>
      <c r="J95" s="2"/>
      <c r="K95" s="2"/>
      <c r="L95" s="2"/>
      <c r="M95" s="2"/>
    </row>
    <row r="96" spans="1:13" s="4" customFormat="1" ht="12">
      <c r="A96" s="2"/>
      <c r="B96" s="2"/>
      <c r="C96" s="2"/>
      <c r="D96" s="2"/>
      <c r="E96" s="2"/>
      <c r="F96" s="30"/>
      <c r="G96" s="2"/>
      <c r="H96" s="2"/>
      <c r="I96" s="2"/>
      <c r="J96" s="2"/>
      <c r="K96" s="2"/>
      <c r="L96" s="2"/>
      <c r="M96" s="2"/>
    </row>
    <row r="97" spans="1:13" s="4" customFormat="1" ht="12">
      <c r="A97" s="2"/>
      <c r="B97" s="2"/>
      <c r="C97" s="2"/>
      <c r="D97" s="2"/>
      <c r="E97" s="2"/>
      <c r="F97" s="30"/>
      <c r="G97" s="2"/>
      <c r="H97" s="2"/>
      <c r="I97" s="2"/>
      <c r="J97" s="2"/>
      <c r="K97" s="2"/>
      <c r="L97" s="2"/>
      <c r="M97" s="2"/>
    </row>
    <row r="98" spans="1:13" s="4" customFormat="1" ht="12">
      <c r="A98" s="2"/>
      <c r="B98" s="2"/>
      <c r="C98" s="2"/>
      <c r="D98" s="2"/>
      <c r="E98" s="2"/>
      <c r="F98" s="30"/>
      <c r="G98" s="2"/>
      <c r="H98" s="2"/>
      <c r="I98" s="2"/>
      <c r="J98" s="2"/>
      <c r="K98" s="2"/>
      <c r="L98" s="2"/>
      <c r="M98" s="2"/>
    </row>
    <row r="99" spans="1:13" s="4" customFormat="1" ht="12">
      <c r="A99" s="2"/>
      <c r="B99" s="2"/>
      <c r="C99" s="2"/>
      <c r="D99" s="2"/>
      <c r="E99" s="2"/>
      <c r="F99" s="30"/>
      <c r="G99" s="2"/>
      <c r="H99" s="2"/>
      <c r="I99" s="2"/>
      <c r="J99" s="2"/>
      <c r="K99" s="2"/>
      <c r="L99" s="2"/>
      <c r="M99" s="2"/>
    </row>
    <row r="100" spans="1:13" s="4" customFormat="1" ht="12">
      <c r="A100" s="2"/>
      <c r="B100" s="2"/>
      <c r="C100" s="2"/>
      <c r="D100" s="2"/>
      <c r="E100" s="2"/>
      <c r="F100" s="30"/>
      <c r="G100" s="2"/>
      <c r="H100" s="2"/>
      <c r="I100" s="2"/>
      <c r="J100" s="2"/>
      <c r="K100" s="2"/>
      <c r="L100" s="2"/>
      <c r="M100" s="2"/>
    </row>
    <row r="101" spans="1:13" s="4" customFormat="1" ht="12">
      <c r="A101" s="2"/>
      <c r="B101" s="2"/>
      <c r="C101" s="2"/>
      <c r="D101" s="2"/>
      <c r="E101" s="2"/>
      <c r="F101" s="30"/>
      <c r="G101" s="2"/>
      <c r="H101" s="2"/>
      <c r="I101" s="2"/>
      <c r="J101" s="2"/>
      <c r="K101" s="2"/>
      <c r="L101" s="2"/>
      <c r="M101" s="2"/>
    </row>
    <row r="102" spans="1:13" s="4" customFormat="1" ht="12">
      <c r="A102" s="2"/>
      <c r="B102" s="2"/>
      <c r="C102" s="2"/>
      <c r="D102" s="2"/>
      <c r="E102" s="2"/>
      <c r="F102" s="30"/>
      <c r="G102" s="2"/>
      <c r="H102" s="2"/>
      <c r="I102" s="2"/>
      <c r="J102" s="2"/>
      <c r="K102" s="2"/>
      <c r="L102" s="2"/>
      <c r="M102" s="2"/>
    </row>
    <row r="103" spans="1:13" s="4" customFormat="1" ht="12">
      <c r="A103" s="2"/>
      <c r="B103" s="2"/>
      <c r="C103" s="2"/>
      <c r="D103" s="2"/>
      <c r="E103" s="2"/>
      <c r="F103" s="30"/>
      <c r="G103" s="2"/>
      <c r="H103" s="2"/>
      <c r="I103" s="2"/>
      <c r="J103" s="2"/>
      <c r="K103" s="2"/>
      <c r="L103" s="2"/>
      <c r="M103" s="2"/>
    </row>
    <row r="104" spans="1:13" s="4" customFormat="1" ht="12">
      <c r="A104" s="2"/>
      <c r="B104" s="2"/>
      <c r="C104" s="2"/>
      <c r="D104" s="2"/>
      <c r="E104" s="2"/>
      <c r="F104" s="30"/>
      <c r="G104" s="2"/>
      <c r="H104" s="2"/>
      <c r="I104" s="2"/>
      <c r="J104" s="2"/>
      <c r="K104" s="2"/>
      <c r="L104" s="2"/>
      <c r="M104" s="2"/>
    </row>
    <row r="105" spans="1:13" s="4" customFormat="1" ht="12">
      <c r="A105" s="2"/>
      <c r="B105" s="2"/>
      <c r="C105" s="2"/>
      <c r="D105" s="2"/>
      <c r="E105" s="2"/>
      <c r="F105" s="30"/>
      <c r="G105" s="2"/>
      <c r="H105" s="2"/>
      <c r="I105" s="2"/>
      <c r="J105" s="2"/>
      <c r="K105" s="2"/>
      <c r="L105" s="2"/>
      <c r="M105" s="2"/>
    </row>
    <row r="106" spans="1:13" s="4" customFormat="1" ht="12">
      <c r="A106" s="2"/>
      <c r="B106" s="2"/>
      <c r="C106" s="2"/>
      <c r="D106" s="2"/>
      <c r="E106" s="2"/>
      <c r="F106" s="30"/>
      <c r="G106" s="2"/>
      <c r="H106" s="2"/>
      <c r="I106" s="2"/>
      <c r="J106" s="2"/>
      <c r="K106" s="2"/>
      <c r="L106" s="2"/>
      <c r="M106" s="2"/>
    </row>
    <row r="107" spans="1:13" s="4" customFormat="1" ht="12">
      <c r="A107" s="2"/>
      <c r="B107" s="2"/>
      <c r="C107" s="2"/>
      <c r="D107" s="2"/>
      <c r="E107" s="2"/>
      <c r="F107" s="30"/>
      <c r="G107" s="2"/>
      <c r="H107" s="2"/>
      <c r="I107" s="2"/>
      <c r="J107" s="2"/>
      <c r="K107" s="2"/>
      <c r="L107" s="2"/>
      <c r="M107" s="2"/>
    </row>
    <row r="108" spans="1:13" s="4" customFormat="1" ht="12">
      <c r="A108" s="2"/>
      <c r="B108" s="2"/>
      <c r="C108" s="2"/>
      <c r="D108" s="2"/>
      <c r="E108" s="2"/>
      <c r="F108" s="30"/>
      <c r="G108" s="2"/>
      <c r="H108" s="2"/>
      <c r="I108" s="2"/>
      <c r="J108" s="2"/>
      <c r="K108" s="2"/>
      <c r="L108" s="2"/>
      <c r="M108" s="2"/>
    </row>
    <row r="109" spans="1:13" s="4" customFormat="1" ht="12">
      <c r="A109" s="2"/>
      <c r="B109" s="2"/>
      <c r="C109" s="2"/>
      <c r="D109" s="2"/>
      <c r="E109" s="2"/>
      <c r="F109" s="30"/>
      <c r="G109" s="2"/>
      <c r="H109" s="2"/>
      <c r="I109" s="2"/>
      <c r="J109" s="2"/>
      <c r="K109" s="2"/>
      <c r="L109" s="2"/>
      <c r="M109" s="2"/>
    </row>
    <row r="110" spans="1:13" s="4" customFormat="1" ht="12">
      <c r="A110" s="2"/>
      <c r="B110" s="2"/>
      <c r="C110" s="2"/>
      <c r="D110" s="2"/>
      <c r="E110" s="2"/>
      <c r="F110" s="30"/>
      <c r="G110" s="2"/>
      <c r="H110" s="2"/>
      <c r="I110" s="2"/>
      <c r="J110" s="2"/>
      <c r="K110" s="2"/>
      <c r="L110" s="2"/>
      <c r="M110" s="2"/>
    </row>
    <row r="111" spans="1:13" s="4" customFormat="1" ht="12">
      <c r="A111" s="2"/>
      <c r="B111" s="2"/>
      <c r="C111" s="2"/>
      <c r="D111" s="2"/>
      <c r="E111" s="2"/>
      <c r="F111" s="30"/>
      <c r="G111" s="2"/>
      <c r="H111" s="2"/>
      <c r="I111" s="2"/>
      <c r="J111" s="2"/>
      <c r="K111" s="2"/>
      <c r="L111" s="2"/>
      <c r="M111" s="2"/>
    </row>
    <row r="112" spans="1:13" s="4" customFormat="1" ht="12">
      <c r="A112" s="2"/>
      <c r="B112" s="2"/>
      <c r="C112" s="2"/>
      <c r="D112" s="2"/>
      <c r="E112" s="2"/>
      <c r="F112" s="30"/>
      <c r="G112" s="2"/>
      <c r="H112" s="2"/>
      <c r="I112" s="2"/>
      <c r="J112" s="2"/>
      <c r="K112" s="2"/>
      <c r="L112" s="2"/>
      <c r="M112" s="2"/>
    </row>
    <row r="113" spans="1:13" s="4" customFormat="1" ht="12">
      <c r="A113" s="2"/>
      <c r="B113" s="2"/>
      <c r="C113" s="2"/>
      <c r="D113" s="2"/>
      <c r="E113" s="2"/>
      <c r="F113" s="30"/>
      <c r="G113" s="2"/>
      <c r="H113" s="2"/>
      <c r="I113" s="2"/>
      <c r="J113" s="2"/>
      <c r="K113" s="2"/>
      <c r="L113" s="2"/>
      <c r="M113" s="2"/>
    </row>
    <row r="114" spans="1:13" s="4" customFormat="1" ht="12">
      <c r="A114" s="2"/>
      <c r="B114" s="2"/>
      <c r="C114" s="2"/>
      <c r="D114" s="2"/>
      <c r="E114" s="2"/>
      <c r="F114" s="30"/>
      <c r="G114" s="2"/>
      <c r="H114" s="2"/>
      <c r="I114" s="2"/>
      <c r="J114" s="2"/>
      <c r="K114" s="2"/>
      <c r="L114" s="2"/>
      <c r="M114" s="2"/>
    </row>
    <row r="115" spans="1:13" s="4" customFormat="1" ht="12">
      <c r="A115" s="2"/>
      <c r="B115" s="2"/>
      <c r="C115" s="2"/>
      <c r="D115" s="2"/>
      <c r="E115" s="2"/>
      <c r="F115" s="30"/>
      <c r="G115" s="2"/>
      <c r="H115" s="2"/>
      <c r="I115" s="2"/>
      <c r="J115" s="2"/>
      <c r="K115" s="2"/>
      <c r="L115" s="2"/>
      <c r="M115" s="2"/>
    </row>
    <row r="116" spans="1:13" s="4" customFormat="1" ht="12">
      <c r="A116" s="2"/>
      <c r="B116" s="2"/>
      <c r="C116" s="2"/>
      <c r="D116" s="2"/>
      <c r="E116" s="2"/>
      <c r="F116" s="30"/>
      <c r="G116" s="2"/>
      <c r="H116" s="2"/>
      <c r="I116" s="2"/>
      <c r="J116" s="2"/>
      <c r="K116" s="2"/>
      <c r="L116" s="2"/>
      <c r="M116" s="2"/>
    </row>
    <row r="117" spans="1:13" s="4" customFormat="1" ht="12">
      <c r="A117" s="53"/>
      <c r="B117" s="53"/>
      <c r="C117" s="2"/>
      <c r="D117" s="2"/>
      <c r="E117" s="2"/>
      <c r="F117" s="30"/>
      <c r="G117" s="2"/>
      <c r="H117" s="2"/>
      <c r="I117" s="2"/>
      <c r="J117" s="2"/>
      <c r="K117" s="2"/>
      <c r="L117" s="2"/>
      <c r="M117" s="2"/>
    </row>
    <row r="118" spans="1:13" s="4" customFormat="1" ht="12">
      <c r="A118" s="53"/>
      <c r="B118" s="53"/>
      <c r="C118" s="2"/>
      <c r="D118" s="2"/>
      <c r="E118" s="2"/>
      <c r="F118" s="30"/>
      <c r="G118" s="2"/>
      <c r="H118" s="2"/>
      <c r="I118" s="2"/>
      <c r="J118" s="2"/>
      <c r="K118" s="2"/>
      <c r="L118" s="2"/>
      <c r="M118" s="2"/>
    </row>
    <row r="119" spans="1:13" s="4" customFormat="1" ht="12">
      <c r="A119" s="53"/>
      <c r="B119" s="53"/>
      <c r="C119" s="2"/>
      <c r="D119" s="2"/>
      <c r="E119" s="2"/>
      <c r="F119" s="30"/>
      <c r="G119" s="2"/>
      <c r="H119" s="2"/>
      <c r="I119" s="2"/>
      <c r="J119" s="2"/>
      <c r="K119" s="2"/>
      <c r="L119" s="2"/>
      <c r="M119" s="2"/>
    </row>
    <row r="120" spans="1:13" s="4" customFormat="1" ht="12">
      <c r="A120" s="53"/>
      <c r="B120" s="53"/>
      <c r="C120" s="2"/>
      <c r="D120" s="2"/>
      <c r="E120" s="2"/>
      <c r="F120" s="30"/>
      <c r="G120" s="2"/>
      <c r="H120" s="2"/>
      <c r="I120" s="2"/>
      <c r="J120" s="2"/>
      <c r="K120" s="2"/>
      <c r="L120" s="2"/>
      <c r="M120" s="2"/>
    </row>
    <row r="121" spans="1:13" s="4" customFormat="1" ht="12">
      <c r="A121" s="53"/>
      <c r="B121" s="53"/>
      <c r="C121" s="2"/>
      <c r="D121" s="2"/>
      <c r="E121" s="2"/>
      <c r="F121" s="30"/>
      <c r="G121" s="2"/>
      <c r="H121" s="2"/>
      <c r="I121" s="2"/>
      <c r="J121" s="2"/>
      <c r="K121" s="2"/>
      <c r="L121" s="2"/>
      <c r="M121" s="2"/>
    </row>
    <row r="122" spans="1:13" s="4" customFormat="1" ht="12">
      <c r="A122" s="2"/>
      <c r="B122" s="2"/>
      <c r="C122" s="2"/>
      <c r="D122" s="2"/>
      <c r="E122" s="2"/>
      <c r="F122" s="30"/>
      <c r="G122" s="2"/>
      <c r="H122" s="2"/>
      <c r="I122" s="2"/>
      <c r="J122" s="2"/>
      <c r="K122" s="2"/>
      <c r="L122" s="2"/>
      <c r="M122" s="2"/>
    </row>
    <row r="123" spans="1:13" s="4" customFormat="1" ht="12">
      <c r="A123" s="2"/>
      <c r="B123" s="2"/>
      <c r="C123" s="2"/>
      <c r="D123" s="2"/>
      <c r="E123" s="2"/>
      <c r="F123" s="30"/>
      <c r="G123" s="2"/>
      <c r="H123" s="2"/>
      <c r="I123" s="2"/>
      <c r="J123" s="2"/>
      <c r="K123" s="2"/>
      <c r="L123" s="2"/>
      <c r="M123" s="2"/>
    </row>
    <row r="124" spans="1:13" s="4" customFormat="1" ht="12">
      <c r="A124" s="2"/>
      <c r="B124" s="2"/>
      <c r="C124" s="2"/>
      <c r="D124" s="2"/>
      <c r="E124" s="2"/>
      <c r="F124" s="30"/>
      <c r="G124" s="2"/>
      <c r="H124" s="2"/>
      <c r="I124" s="2"/>
      <c r="J124" s="2"/>
      <c r="K124" s="2"/>
      <c r="L124" s="2"/>
      <c r="M124" s="2"/>
    </row>
    <row r="125" spans="1:13" s="4" customFormat="1" ht="12">
      <c r="A125" s="2"/>
      <c r="B125" s="2"/>
      <c r="C125" s="2"/>
      <c r="D125" s="2"/>
      <c r="E125" s="2"/>
      <c r="F125" s="30"/>
      <c r="G125" s="2"/>
      <c r="H125" s="2"/>
      <c r="I125" s="2"/>
      <c r="J125" s="2"/>
      <c r="K125" s="2"/>
      <c r="L125" s="2"/>
      <c r="M125" s="2"/>
    </row>
    <row r="126" spans="1:13" s="4" customFormat="1" ht="12">
      <c r="A126" s="2"/>
      <c r="B126" s="2"/>
      <c r="C126" s="2"/>
      <c r="D126" s="2"/>
      <c r="E126" s="2"/>
      <c r="F126" s="30"/>
      <c r="G126" s="2"/>
      <c r="H126" s="2"/>
      <c r="I126" s="2"/>
      <c r="J126" s="2"/>
      <c r="K126" s="2"/>
      <c r="L126" s="2"/>
      <c r="M126" s="2"/>
    </row>
    <row r="127" spans="1:13" s="4" customFormat="1" ht="12">
      <c r="A127" s="2"/>
      <c r="B127" s="2"/>
      <c r="C127" s="2"/>
      <c r="D127" s="2"/>
      <c r="E127" s="2"/>
      <c r="F127" s="30"/>
      <c r="G127" s="2"/>
      <c r="H127" s="2"/>
      <c r="I127" s="2"/>
      <c r="J127" s="2"/>
      <c r="K127" s="2"/>
      <c r="L127" s="2"/>
      <c r="M127" s="2"/>
    </row>
    <row r="128" spans="1:13" s="4" customFormat="1" ht="12">
      <c r="A128" s="2"/>
      <c r="B128" s="2"/>
      <c r="C128" s="2"/>
      <c r="D128" s="2"/>
      <c r="E128" s="2"/>
      <c r="F128" s="30"/>
      <c r="G128" s="2"/>
      <c r="H128" s="2"/>
      <c r="I128" s="2"/>
      <c r="J128" s="2"/>
      <c r="K128" s="2"/>
      <c r="L128" s="2"/>
      <c r="M128" s="2"/>
    </row>
    <row r="129" spans="1:13" s="4" customFormat="1" ht="12">
      <c r="A129" s="2"/>
      <c r="B129" s="2"/>
      <c r="C129" s="2"/>
      <c r="D129" s="2"/>
      <c r="E129" s="2"/>
      <c r="F129" s="30"/>
      <c r="G129" s="2"/>
      <c r="H129" s="2"/>
      <c r="I129" s="2"/>
      <c r="J129" s="2"/>
      <c r="K129" s="2"/>
      <c r="L129" s="2"/>
      <c r="M129" s="2"/>
    </row>
    <row r="130" spans="1:13" s="4" customFormat="1" ht="12">
      <c r="A130" s="2"/>
      <c r="B130" s="2"/>
      <c r="C130" s="2"/>
      <c r="D130" s="2"/>
      <c r="E130" s="2"/>
      <c r="F130" s="30"/>
      <c r="G130" s="2"/>
      <c r="H130" s="2"/>
      <c r="I130" s="2"/>
      <c r="J130" s="2"/>
      <c r="K130" s="2"/>
      <c r="L130" s="2"/>
      <c r="M130" s="2"/>
    </row>
    <row r="131" spans="1:13" s="4" customFormat="1" ht="12">
      <c r="A131" s="2"/>
      <c r="B131" s="2"/>
      <c r="C131" s="2"/>
      <c r="D131" s="2"/>
      <c r="E131" s="2"/>
      <c r="F131" s="30"/>
      <c r="G131" s="2"/>
      <c r="H131" s="2"/>
      <c r="I131" s="2"/>
      <c r="J131" s="2"/>
      <c r="K131" s="2"/>
      <c r="L131" s="2"/>
      <c r="M131" s="2"/>
    </row>
    <row r="132" spans="1:13" s="4" customFormat="1" ht="12">
      <c r="A132" s="2"/>
      <c r="B132" s="2"/>
      <c r="C132" s="2"/>
      <c r="D132" s="2"/>
      <c r="E132" s="2"/>
      <c r="F132" s="30"/>
      <c r="G132" s="2"/>
      <c r="H132" s="2"/>
      <c r="I132" s="2"/>
      <c r="J132" s="2"/>
      <c r="K132" s="2"/>
      <c r="L132" s="2"/>
      <c r="M132" s="2"/>
    </row>
    <row r="133" spans="1:13" s="4" customFormat="1" ht="12">
      <c r="A133" s="2"/>
      <c r="B133" s="2"/>
      <c r="C133" s="2"/>
      <c r="D133" s="2"/>
      <c r="E133" s="2"/>
      <c r="F133" s="30"/>
      <c r="G133" s="2"/>
      <c r="H133" s="2"/>
      <c r="I133" s="2"/>
      <c r="J133" s="2"/>
      <c r="K133" s="2"/>
      <c r="L133" s="2"/>
      <c r="M133" s="2"/>
    </row>
    <row r="134" spans="1:13" s="4" customFormat="1" ht="12">
      <c r="A134" s="2"/>
      <c r="B134" s="2"/>
      <c r="C134" s="2"/>
      <c r="D134" s="2"/>
      <c r="E134" s="2"/>
      <c r="F134" s="30"/>
      <c r="G134" s="2"/>
      <c r="H134" s="2"/>
      <c r="I134" s="2"/>
      <c r="J134" s="2"/>
      <c r="K134" s="2"/>
      <c r="L134" s="2"/>
      <c r="M134" s="2"/>
    </row>
    <row r="135" spans="1:13" s="4" customFormat="1" ht="12">
      <c r="A135" s="2"/>
      <c r="B135" s="2"/>
      <c r="C135" s="2"/>
      <c r="D135" s="2"/>
      <c r="E135" s="2"/>
      <c r="F135" s="30"/>
      <c r="G135" s="2"/>
      <c r="H135" s="2"/>
      <c r="I135" s="2"/>
      <c r="J135" s="2"/>
      <c r="K135" s="2"/>
      <c r="L135" s="2"/>
      <c r="M135" s="2"/>
    </row>
    <row r="136" spans="1:13" s="4" customFormat="1" ht="12">
      <c r="A136" s="2"/>
      <c r="B136" s="2"/>
      <c r="C136" s="2"/>
      <c r="D136" s="2"/>
      <c r="E136" s="2"/>
      <c r="F136" s="30"/>
      <c r="G136" s="2"/>
      <c r="H136" s="2"/>
      <c r="I136" s="2"/>
      <c r="J136" s="2"/>
      <c r="K136" s="2"/>
      <c r="L136" s="2"/>
      <c r="M136" s="2"/>
    </row>
    <row r="137" spans="1:13" s="4" customFormat="1" ht="12">
      <c r="A137" s="2"/>
      <c r="B137" s="2"/>
      <c r="C137" s="2"/>
      <c r="D137" s="2"/>
      <c r="E137" s="2"/>
      <c r="F137" s="30"/>
      <c r="G137" s="2"/>
      <c r="H137" s="2"/>
      <c r="I137" s="2"/>
      <c r="J137" s="2"/>
      <c r="K137" s="2"/>
      <c r="L137" s="2"/>
      <c r="M137" s="2"/>
    </row>
    <row r="138" spans="1:13" s="4" customFormat="1" ht="12">
      <c r="A138" s="2"/>
      <c r="B138" s="2"/>
      <c r="C138" s="2"/>
      <c r="D138" s="2"/>
      <c r="E138" s="2"/>
      <c r="F138" s="30"/>
      <c r="G138" s="2"/>
      <c r="H138" s="2"/>
      <c r="I138" s="2"/>
      <c r="J138" s="2"/>
      <c r="K138" s="2"/>
      <c r="L138" s="2"/>
      <c r="M138" s="2"/>
    </row>
    <row r="139" spans="1:13" s="4" customFormat="1" ht="12">
      <c r="A139" s="2"/>
      <c r="B139" s="2"/>
      <c r="C139" s="2"/>
      <c r="D139" s="2"/>
      <c r="E139" s="2"/>
      <c r="F139" s="30"/>
      <c r="G139" s="2"/>
      <c r="H139" s="2"/>
      <c r="I139" s="2"/>
      <c r="J139" s="2"/>
      <c r="K139" s="2"/>
      <c r="L139" s="2"/>
      <c r="M139" s="2"/>
    </row>
    <row r="140" spans="1:13" s="4" customFormat="1" ht="12">
      <c r="A140" s="2"/>
      <c r="B140" s="2"/>
      <c r="C140" s="2"/>
      <c r="D140" s="2"/>
      <c r="E140" s="2"/>
      <c r="F140" s="30"/>
      <c r="G140" s="2"/>
      <c r="H140" s="2"/>
      <c r="I140" s="2"/>
      <c r="J140" s="2"/>
      <c r="K140" s="2"/>
      <c r="L140" s="2"/>
      <c r="M140" s="2"/>
    </row>
    <row r="141" spans="1:13" s="4" customFormat="1" ht="12">
      <c r="A141" s="2"/>
      <c r="B141" s="2"/>
      <c r="C141" s="2"/>
      <c r="D141" s="2"/>
      <c r="E141" s="2"/>
      <c r="F141" s="30"/>
      <c r="G141" s="2"/>
      <c r="H141" s="2"/>
      <c r="I141" s="2"/>
      <c r="J141" s="2"/>
      <c r="K141" s="2"/>
      <c r="L141" s="2"/>
      <c r="M141" s="2"/>
    </row>
    <row r="142" spans="1:13" s="4" customFormat="1" ht="12">
      <c r="A142" s="2"/>
      <c r="B142" s="2"/>
      <c r="C142" s="2"/>
      <c r="D142" s="2"/>
      <c r="E142" s="2"/>
      <c r="F142" s="30"/>
      <c r="G142" s="2"/>
      <c r="H142" s="2"/>
      <c r="I142" s="2"/>
      <c r="J142" s="2"/>
      <c r="K142" s="2"/>
      <c r="L142" s="2"/>
      <c r="M142" s="2"/>
    </row>
    <row r="143" spans="1:13" s="4" customFormat="1" ht="12">
      <c r="A143" s="2"/>
      <c r="B143" s="2"/>
      <c r="C143" s="2"/>
      <c r="D143" s="2"/>
      <c r="E143" s="2"/>
      <c r="F143" s="30"/>
      <c r="G143" s="2"/>
      <c r="H143" s="2"/>
      <c r="I143" s="2"/>
      <c r="J143" s="2"/>
      <c r="K143" s="2"/>
      <c r="L143" s="2"/>
      <c r="M143" s="2"/>
    </row>
    <row r="144" spans="1:13" s="4" customFormat="1" ht="12">
      <c r="A144" s="2"/>
      <c r="B144" s="2"/>
      <c r="C144" s="2"/>
      <c r="D144" s="2"/>
      <c r="E144" s="2"/>
      <c r="F144" s="30"/>
      <c r="G144" s="2"/>
      <c r="H144" s="2"/>
      <c r="I144" s="2"/>
      <c r="J144" s="2"/>
      <c r="K144" s="2"/>
      <c r="L144" s="2"/>
      <c r="M144" s="2"/>
    </row>
    <row r="145" spans="1:13" s="4" customFormat="1" ht="12">
      <c r="A145" s="2"/>
      <c r="B145" s="2"/>
      <c r="C145" s="2"/>
      <c r="D145" s="2"/>
      <c r="E145" s="2"/>
      <c r="F145" s="30"/>
      <c r="G145" s="2"/>
      <c r="H145" s="2"/>
      <c r="I145" s="2"/>
      <c r="J145" s="2"/>
      <c r="K145" s="2"/>
      <c r="L145" s="2"/>
      <c r="M145" s="2"/>
    </row>
    <row r="146" spans="1:13" s="4" customFormat="1" ht="12">
      <c r="A146" s="2"/>
      <c r="B146" s="2"/>
      <c r="C146" s="2"/>
      <c r="D146" s="2"/>
      <c r="E146" s="2"/>
      <c r="F146" s="30"/>
      <c r="G146" s="2"/>
      <c r="H146" s="2"/>
      <c r="I146" s="2"/>
      <c r="J146" s="2"/>
      <c r="K146" s="2"/>
      <c r="L146" s="2"/>
      <c r="M146" s="2"/>
    </row>
    <row r="147" spans="1:13" s="4" customFormat="1" ht="12">
      <c r="A147" s="2"/>
      <c r="B147" s="2"/>
      <c r="C147" s="2"/>
      <c r="D147" s="2"/>
      <c r="E147" s="2"/>
      <c r="F147" s="30"/>
      <c r="G147" s="2"/>
      <c r="H147" s="2"/>
      <c r="I147" s="2"/>
      <c r="J147" s="2"/>
      <c r="K147" s="2"/>
      <c r="L147" s="2"/>
      <c r="M147" s="2"/>
    </row>
    <row r="148" spans="1:13" s="4" customFormat="1" ht="12">
      <c r="A148" s="2"/>
      <c r="B148" s="2"/>
      <c r="C148" s="2"/>
      <c r="D148" s="2"/>
      <c r="E148" s="2"/>
      <c r="F148" s="30"/>
      <c r="G148" s="2"/>
      <c r="H148" s="2"/>
      <c r="I148" s="2"/>
      <c r="J148" s="2"/>
      <c r="K148" s="2"/>
      <c r="L148" s="2"/>
      <c r="M148" s="2"/>
    </row>
    <row r="149" spans="1:13" s="4" customFormat="1" ht="12">
      <c r="A149" s="2"/>
      <c r="B149" s="2"/>
      <c r="C149" s="2"/>
      <c r="D149" s="2"/>
      <c r="E149" s="2"/>
      <c r="F149" s="30"/>
      <c r="G149" s="2"/>
      <c r="H149" s="2"/>
      <c r="I149" s="2"/>
      <c r="J149" s="2"/>
      <c r="K149" s="2"/>
      <c r="L149" s="2"/>
      <c r="M149" s="2"/>
    </row>
    <row r="150" spans="1:13" s="4" customFormat="1" ht="12">
      <c r="A150" s="2"/>
      <c r="B150" s="2"/>
      <c r="C150" s="2"/>
      <c r="D150" s="2"/>
      <c r="E150" s="2"/>
      <c r="F150" s="30"/>
      <c r="G150" s="2"/>
      <c r="H150" s="2"/>
      <c r="I150" s="2"/>
      <c r="J150" s="2"/>
      <c r="K150" s="2"/>
      <c r="L150" s="2"/>
      <c r="M150" s="2"/>
    </row>
    <row r="151" spans="1:13" s="4" customFormat="1" ht="12">
      <c r="A151" s="53"/>
      <c r="B151" s="53"/>
      <c r="C151" s="2"/>
      <c r="D151" s="2"/>
      <c r="E151" s="2"/>
      <c r="F151" s="30"/>
      <c r="G151" s="2"/>
      <c r="H151" s="2"/>
      <c r="I151" s="2"/>
      <c r="J151" s="2"/>
      <c r="K151" s="2"/>
      <c r="L151" s="2"/>
      <c r="M151" s="2"/>
    </row>
    <row r="152" spans="1:13" s="4" customFormat="1" ht="12">
      <c r="A152" s="2"/>
      <c r="B152" s="2"/>
      <c r="C152" s="2"/>
      <c r="D152" s="2"/>
      <c r="E152" s="2"/>
      <c r="F152" s="30"/>
      <c r="G152" s="2"/>
      <c r="H152" s="2"/>
      <c r="I152" s="2"/>
      <c r="J152" s="2"/>
      <c r="K152" s="2"/>
      <c r="L152" s="2"/>
      <c r="M152" s="2"/>
    </row>
    <row r="153" spans="1:13" s="4" customFormat="1" ht="12">
      <c r="A153" s="2"/>
      <c r="B153" s="2"/>
      <c r="C153" s="2"/>
      <c r="D153" s="2"/>
      <c r="E153" s="2"/>
      <c r="F153" s="30"/>
      <c r="G153" s="2"/>
      <c r="H153" s="2"/>
      <c r="I153" s="2"/>
      <c r="J153" s="2"/>
      <c r="K153" s="2"/>
      <c r="L153" s="2"/>
      <c r="M153" s="2"/>
    </row>
    <row r="154" spans="1:13" s="4" customFormat="1" ht="12">
      <c r="A154" s="2"/>
      <c r="B154" s="2"/>
      <c r="C154" s="2"/>
      <c r="D154" s="2"/>
      <c r="E154" s="2"/>
      <c r="F154" s="30"/>
      <c r="G154" s="2"/>
      <c r="H154" s="2"/>
      <c r="I154" s="2"/>
      <c r="J154" s="2"/>
      <c r="K154" s="2"/>
      <c r="L154" s="2"/>
      <c r="M154" s="2"/>
    </row>
    <row r="155" spans="1:13" s="4" customFormat="1" ht="12">
      <c r="A155" s="2"/>
      <c r="B155" s="2"/>
      <c r="C155" s="2"/>
      <c r="D155" s="2"/>
      <c r="E155" s="2"/>
      <c r="F155" s="30"/>
      <c r="G155" s="2"/>
      <c r="H155" s="2"/>
      <c r="I155" s="2"/>
      <c r="J155" s="2"/>
      <c r="K155" s="2"/>
      <c r="L155" s="2"/>
      <c r="M155" s="2"/>
    </row>
    <row r="156" spans="1:13" s="4" customFormat="1" ht="12">
      <c r="A156" s="2"/>
      <c r="B156" s="2"/>
      <c r="C156" s="2"/>
      <c r="D156" s="2"/>
      <c r="E156" s="2"/>
      <c r="F156" s="30"/>
      <c r="G156" s="2"/>
      <c r="H156" s="2"/>
      <c r="I156" s="2"/>
      <c r="J156" s="2"/>
      <c r="K156" s="2"/>
      <c r="L156" s="2"/>
      <c r="M156" s="2"/>
    </row>
    <row r="157" spans="1:13" s="4" customFormat="1" ht="12">
      <c r="A157" s="2"/>
      <c r="B157" s="2"/>
      <c r="C157" s="2"/>
      <c r="D157" s="2"/>
      <c r="E157" s="2"/>
      <c r="F157" s="30"/>
      <c r="G157" s="2"/>
      <c r="H157" s="2"/>
      <c r="I157" s="2"/>
      <c r="J157" s="2"/>
      <c r="K157" s="2"/>
      <c r="L157" s="2"/>
      <c r="M157" s="2"/>
    </row>
    <row r="158" spans="1:13" s="4" customFormat="1" ht="12">
      <c r="A158" s="2"/>
      <c r="B158" s="2"/>
      <c r="C158" s="2"/>
      <c r="D158" s="2"/>
      <c r="E158" s="2"/>
      <c r="F158" s="30"/>
      <c r="G158" s="2"/>
      <c r="H158" s="2"/>
      <c r="I158" s="2"/>
      <c r="J158" s="2"/>
      <c r="K158" s="2"/>
      <c r="L158" s="2"/>
      <c r="M158" s="2"/>
    </row>
    <row r="159" spans="1:13" s="4" customFormat="1" ht="12">
      <c r="A159" s="2"/>
      <c r="B159" s="2"/>
      <c r="C159" s="2"/>
      <c r="D159" s="2"/>
      <c r="E159" s="2"/>
      <c r="F159" s="30"/>
      <c r="G159" s="2"/>
      <c r="H159" s="2"/>
      <c r="I159" s="2"/>
      <c r="J159" s="2"/>
      <c r="K159" s="2"/>
      <c r="L159" s="2"/>
      <c r="M159" s="2"/>
    </row>
    <row r="160" spans="1:13" s="4" customFormat="1" ht="12">
      <c r="A160" s="2"/>
      <c r="B160" s="2"/>
      <c r="C160" s="2"/>
      <c r="D160" s="2"/>
      <c r="E160" s="2"/>
      <c r="F160" s="30"/>
      <c r="G160" s="2"/>
      <c r="H160" s="2"/>
      <c r="I160" s="2"/>
      <c r="J160" s="2"/>
      <c r="K160" s="2"/>
      <c r="L160" s="2"/>
      <c r="M160" s="2"/>
    </row>
    <row r="161" spans="1:13" s="4" customFormat="1" ht="12">
      <c r="A161" s="2"/>
      <c r="B161" s="2"/>
      <c r="C161" s="2"/>
      <c r="D161" s="2"/>
      <c r="E161" s="2"/>
      <c r="F161" s="30"/>
      <c r="G161" s="2"/>
      <c r="H161" s="2"/>
      <c r="I161" s="2"/>
      <c r="J161" s="2"/>
      <c r="K161" s="2"/>
      <c r="L161" s="2"/>
      <c r="M161" s="2"/>
    </row>
    <row r="162" spans="1:13" s="4" customFormat="1" ht="12">
      <c r="A162" s="2"/>
      <c r="B162" s="2"/>
      <c r="C162" s="2"/>
      <c r="D162" s="2"/>
      <c r="E162" s="2"/>
      <c r="F162" s="30"/>
      <c r="G162" s="2"/>
      <c r="H162" s="2"/>
      <c r="I162" s="2"/>
      <c r="J162" s="2"/>
      <c r="K162" s="2"/>
      <c r="L162" s="2"/>
      <c r="M162" s="2"/>
    </row>
    <row r="163" spans="1:13" s="4" customFormat="1" ht="12">
      <c r="A163" s="2"/>
      <c r="B163" s="2"/>
      <c r="C163" s="2"/>
      <c r="D163" s="2"/>
      <c r="E163" s="2"/>
      <c r="F163" s="30"/>
      <c r="G163" s="2"/>
      <c r="H163" s="2"/>
      <c r="I163" s="2"/>
      <c r="J163" s="2"/>
      <c r="K163" s="2"/>
      <c r="L163" s="2"/>
      <c r="M163" s="2"/>
    </row>
    <row r="164" spans="1:13" s="4" customFormat="1" ht="12">
      <c r="A164" s="2"/>
      <c r="B164" s="2"/>
      <c r="C164" s="2"/>
      <c r="D164" s="2"/>
      <c r="E164" s="2"/>
      <c r="F164" s="30"/>
      <c r="G164" s="2"/>
      <c r="H164" s="2"/>
      <c r="I164" s="2"/>
      <c r="J164" s="2"/>
      <c r="K164" s="2"/>
      <c r="L164" s="2"/>
      <c r="M164" s="2"/>
    </row>
    <row r="165" spans="1:13" s="4" customFormat="1" ht="12">
      <c r="A165" s="2"/>
      <c r="B165" s="2"/>
      <c r="C165" s="2"/>
      <c r="D165" s="2"/>
      <c r="E165" s="2"/>
      <c r="F165" s="30"/>
      <c r="G165" s="2"/>
      <c r="H165" s="2"/>
      <c r="I165" s="2"/>
      <c r="J165" s="2"/>
      <c r="K165" s="2"/>
      <c r="L165" s="2"/>
      <c r="M165" s="2"/>
    </row>
    <row r="166" spans="1:13" s="4" customFormat="1" ht="12">
      <c r="A166" s="2"/>
      <c r="B166" s="2"/>
      <c r="C166" s="2"/>
      <c r="D166" s="2"/>
      <c r="E166" s="2"/>
      <c r="F166" s="30"/>
      <c r="G166" s="2"/>
      <c r="H166" s="2"/>
      <c r="I166" s="2"/>
      <c r="J166" s="2"/>
      <c r="K166" s="2"/>
      <c r="L166" s="2"/>
      <c r="M166" s="2"/>
    </row>
    <row r="167" spans="1:13" s="4" customFormat="1" ht="12">
      <c r="A167" s="2"/>
      <c r="B167" s="2"/>
      <c r="C167" s="2"/>
      <c r="D167" s="2"/>
      <c r="E167" s="2"/>
      <c r="F167" s="30"/>
      <c r="G167" s="2"/>
      <c r="H167" s="2"/>
      <c r="I167" s="2"/>
      <c r="J167" s="2"/>
      <c r="K167" s="2"/>
      <c r="L167" s="2"/>
      <c r="M167" s="2"/>
    </row>
    <row r="168" spans="1:13" s="4" customFormat="1" ht="12">
      <c r="A168" s="2"/>
      <c r="B168" s="2"/>
      <c r="C168" s="2"/>
      <c r="D168" s="2"/>
      <c r="E168" s="2"/>
      <c r="F168" s="30"/>
      <c r="G168" s="2"/>
      <c r="H168" s="2"/>
      <c r="I168" s="2"/>
      <c r="J168" s="2"/>
      <c r="K168" s="2"/>
      <c r="L168" s="2"/>
      <c r="M168" s="2"/>
    </row>
    <row r="169" spans="1:13" s="4" customFormat="1" ht="12">
      <c r="A169" s="2"/>
      <c r="B169" s="2"/>
      <c r="C169" s="2"/>
      <c r="D169" s="2"/>
      <c r="E169" s="2"/>
      <c r="F169" s="30"/>
      <c r="G169" s="2"/>
      <c r="H169" s="2"/>
      <c r="I169" s="2"/>
      <c r="J169" s="2"/>
      <c r="K169" s="2"/>
      <c r="L169" s="2"/>
      <c r="M169" s="2"/>
    </row>
    <row r="170" spans="1:13" s="4" customFormat="1" ht="12">
      <c r="A170" s="2"/>
      <c r="B170" s="2"/>
      <c r="C170" s="2"/>
      <c r="D170" s="2"/>
      <c r="E170" s="2"/>
      <c r="F170" s="30"/>
      <c r="G170" s="2"/>
      <c r="H170" s="2"/>
      <c r="I170" s="2"/>
      <c r="J170" s="2"/>
      <c r="K170" s="2"/>
      <c r="L170" s="2"/>
      <c r="M170" s="2"/>
    </row>
    <row r="171" spans="1:13" s="4" customFormat="1" ht="12">
      <c r="A171" s="2"/>
      <c r="B171" s="2"/>
      <c r="C171" s="2"/>
      <c r="D171" s="2"/>
      <c r="E171" s="2"/>
      <c r="F171" s="30"/>
      <c r="G171" s="2"/>
      <c r="H171" s="2"/>
      <c r="I171" s="2"/>
      <c r="J171" s="2"/>
      <c r="K171" s="2"/>
      <c r="L171" s="2"/>
      <c r="M171" s="2"/>
    </row>
    <row r="172" spans="1:13" s="4" customFormat="1" ht="12">
      <c r="A172" s="2"/>
      <c r="B172" s="2"/>
      <c r="C172" s="2"/>
      <c r="D172" s="2"/>
      <c r="E172" s="2"/>
      <c r="F172" s="30"/>
      <c r="G172" s="2"/>
      <c r="H172" s="2"/>
      <c r="I172" s="2"/>
      <c r="J172" s="2"/>
      <c r="K172" s="2"/>
      <c r="L172" s="2"/>
      <c r="M172" s="2"/>
    </row>
    <row r="173" spans="1:13" s="4" customFormat="1" ht="12">
      <c r="A173" s="2"/>
      <c r="B173" s="2"/>
      <c r="C173" s="2"/>
      <c r="D173" s="2"/>
      <c r="E173" s="2"/>
      <c r="F173" s="30"/>
      <c r="G173" s="2"/>
      <c r="H173" s="2"/>
      <c r="I173" s="2"/>
      <c r="J173" s="2"/>
      <c r="K173" s="2"/>
      <c r="L173" s="2"/>
      <c r="M173" s="2"/>
    </row>
    <row r="174" spans="1:13" s="4" customFormat="1" ht="12">
      <c r="A174" s="2"/>
      <c r="B174" s="2"/>
      <c r="C174" s="2"/>
      <c r="D174" s="2"/>
      <c r="E174" s="2"/>
      <c r="F174" s="30"/>
      <c r="G174" s="2"/>
      <c r="H174" s="2"/>
      <c r="I174" s="2"/>
      <c r="J174" s="2"/>
      <c r="K174" s="2"/>
      <c r="L174" s="2"/>
      <c r="M174" s="2"/>
    </row>
    <row r="175" spans="1:13" s="4" customFormat="1" ht="12">
      <c r="A175" s="2"/>
      <c r="B175" s="2"/>
      <c r="C175" s="2"/>
      <c r="D175" s="2"/>
      <c r="E175" s="2"/>
      <c r="F175" s="30"/>
      <c r="G175" s="2"/>
      <c r="H175" s="2"/>
      <c r="I175" s="2"/>
      <c r="J175" s="2"/>
      <c r="K175" s="2"/>
      <c r="L175" s="2"/>
      <c r="M175" s="2"/>
    </row>
    <row r="176" spans="1:13" s="4" customFormat="1" ht="12">
      <c r="A176" s="2"/>
      <c r="B176" s="2"/>
      <c r="C176" s="2"/>
      <c r="D176" s="2"/>
      <c r="E176" s="2"/>
      <c r="F176" s="30"/>
      <c r="G176" s="2"/>
      <c r="H176" s="2"/>
      <c r="I176" s="2"/>
      <c r="J176" s="2"/>
      <c r="K176" s="2"/>
      <c r="L176" s="2"/>
      <c r="M176" s="2"/>
    </row>
    <row r="177" spans="1:13" s="4" customFormat="1" ht="12">
      <c r="A177" s="2"/>
      <c r="B177" s="2"/>
      <c r="C177" s="2"/>
      <c r="D177" s="2"/>
      <c r="E177" s="2"/>
      <c r="F177" s="30"/>
      <c r="G177" s="2"/>
      <c r="H177" s="2"/>
      <c r="I177" s="2"/>
      <c r="J177" s="2"/>
      <c r="K177" s="2"/>
      <c r="L177" s="2"/>
      <c r="M177" s="2"/>
    </row>
    <row r="178" spans="1:13" s="4" customFormat="1" ht="12">
      <c r="A178" s="2"/>
      <c r="B178" s="2"/>
      <c r="C178" s="2"/>
      <c r="D178" s="2"/>
      <c r="E178" s="2"/>
      <c r="F178" s="30"/>
      <c r="G178" s="2"/>
      <c r="H178" s="2"/>
      <c r="I178" s="2"/>
      <c r="J178" s="2"/>
      <c r="K178" s="2"/>
      <c r="L178" s="2"/>
      <c r="M178" s="2"/>
    </row>
    <row r="179" spans="1:13" s="4" customFormat="1" ht="12">
      <c r="A179" s="2"/>
      <c r="B179" s="2"/>
      <c r="C179" s="2"/>
      <c r="D179" s="2"/>
      <c r="E179" s="2"/>
      <c r="F179" s="30"/>
      <c r="G179" s="2"/>
      <c r="H179" s="2"/>
      <c r="I179" s="2"/>
      <c r="J179" s="2"/>
      <c r="K179" s="2"/>
      <c r="L179" s="2"/>
      <c r="M179" s="2"/>
    </row>
    <row r="180" spans="1:13" s="4" customFormat="1" ht="12">
      <c r="A180" s="2"/>
      <c r="B180" s="2"/>
      <c r="C180" s="2"/>
      <c r="D180" s="2"/>
      <c r="E180" s="2"/>
      <c r="F180" s="30"/>
      <c r="G180" s="2"/>
      <c r="H180" s="2"/>
      <c r="I180" s="2"/>
      <c r="J180" s="2"/>
      <c r="K180" s="2"/>
      <c r="L180" s="2"/>
      <c r="M180" s="2"/>
    </row>
    <row r="181" spans="1:13" s="4" customFormat="1" ht="12">
      <c r="A181" s="2"/>
      <c r="B181" s="2"/>
      <c r="C181" s="2"/>
      <c r="D181" s="2"/>
      <c r="E181" s="2"/>
      <c r="F181" s="30"/>
      <c r="G181" s="2"/>
      <c r="H181" s="2"/>
      <c r="I181" s="2"/>
      <c r="J181" s="2"/>
      <c r="K181" s="2"/>
      <c r="L181" s="2"/>
      <c r="M181" s="2"/>
    </row>
    <row r="182" spans="1:13" s="4" customFormat="1" ht="12">
      <c r="A182" s="2"/>
      <c r="B182" s="2"/>
      <c r="C182" s="2"/>
      <c r="D182" s="2"/>
      <c r="E182" s="2"/>
      <c r="F182" s="30"/>
      <c r="G182" s="2"/>
      <c r="H182" s="2"/>
      <c r="I182" s="2"/>
      <c r="J182" s="2"/>
      <c r="K182" s="2"/>
      <c r="L182" s="2"/>
      <c r="M182" s="2"/>
    </row>
    <row r="183" spans="1:13" s="4" customFormat="1" ht="12">
      <c r="A183" s="2"/>
      <c r="B183" s="2"/>
      <c r="C183" s="2"/>
      <c r="D183" s="2"/>
      <c r="E183" s="2"/>
      <c r="F183" s="30"/>
      <c r="G183" s="2"/>
      <c r="H183" s="2"/>
      <c r="I183" s="2"/>
      <c r="J183" s="2"/>
      <c r="K183" s="2"/>
      <c r="L183" s="2"/>
      <c r="M183" s="2"/>
    </row>
    <row r="184" spans="1:13" s="4" customFormat="1" ht="12">
      <c r="A184" s="2"/>
      <c r="B184" s="2"/>
      <c r="C184" s="2"/>
      <c r="D184" s="2"/>
      <c r="E184" s="2"/>
      <c r="F184" s="30"/>
      <c r="G184" s="2"/>
      <c r="H184" s="2"/>
      <c r="I184" s="2"/>
      <c r="J184" s="2"/>
      <c r="K184" s="2"/>
      <c r="L184" s="2"/>
      <c r="M184" s="2"/>
    </row>
    <row r="185" spans="1:13" s="4" customFormat="1" ht="12">
      <c r="A185" s="2"/>
      <c r="B185" s="2"/>
      <c r="C185" s="2"/>
      <c r="D185" s="2"/>
      <c r="E185" s="2"/>
      <c r="F185" s="30"/>
      <c r="G185" s="2"/>
      <c r="H185" s="2"/>
      <c r="I185" s="2"/>
      <c r="J185" s="2"/>
      <c r="K185" s="2"/>
      <c r="L185" s="2"/>
      <c r="M185" s="2"/>
    </row>
    <row r="186" spans="1:13" s="4" customFormat="1" ht="12">
      <c r="A186" s="2"/>
      <c r="B186" s="2"/>
      <c r="C186" s="2"/>
      <c r="D186" s="2"/>
      <c r="E186" s="2"/>
      <c r="F186" s="30"/>
      <c r="G186" s="2"/>
      <c r="H186" s="2"/>
      <c r="I186" s="2"/>
      <c r="J186" s="2"/>
      <c r="K186" s="2"/>
      <c r="L186" s="2"/>
      <c r="M186" s="2"/>
    </row>
    <row r="187" spans="1:13" s="4" customFormat="1" ht="12">
      <c r="A187" s="2"/>
      <c r="B187" s="2"/>
      <c r="C187" s="2"/>
      <c r="D187" s="2"/>
      <c r="E187" s="2"/>
      <c r="F187" s="30"/>
      <c r="G187" s="2"/>
      <c r="H187" s="2"/>
      <c r="I187" s="2"/>
      <c r="J187" s="2"/>
      <c r="K187" s="2"/>
      <c r="L187" s="2"/>
      <c r="M187" s="2"/>
    </row>
    <row r="188" spans="1:13" s="4" customFormat="1" ht="12">
      <c r="A188" s="2"/>
      <c r="B188" s="2"/>
      <c r="C188" s="2"/>
      <c r="D188" s="2"/>
      <c r="E188" s="2"/>
      <c r="F188" s="30"/>
      <c r="G188" s="2"/>
      <c r="H188" s="2"/>
      <c r="I188" s="2"/>
      <c r="J188" s="2"/>
      <c r="K188" s="2"/>
      <c r="L188" s="2"/>
      <c r="M188" s="2"/>
    </row>
    <row r="189" spans="1:13" s="4" customFormat="1" ht="12">
      <c r="A189" s="2"/>
      <c r="B189" s="2"/>
      <c r="C189" s="2"/>
      <c r="D189" s="2"/>
      <c r="E189" s="2"/>
      <c r="F189" s="30"/>
      <c r="G189" s="2"/>
      <c r="H189" s="2"/>
      <c r="I189" s="2"/>
      <c r="J189" s="2"/>
      <c r="K189" s="2"/>
      <c r="L189" s="2"/>
      <c r="M189" s="2"/>
    </row>
    <row r="190" spans="1:13" s="4" customFormat="1" ht="12">
      <c r="A190" s="2"/>
      <c r="B190" s="2"/>
      <c r="C190" s="2"/>
      <c r="D190" s="2"/>
      <c r="E190" s="2"/>
      <c r="F190" s="30"/>
      <c r="G190" s="2"/>
      <c r="H190" s="2"/>
      <c r="I190" s="2"/>
      <c r="J190" s="2"/>
      <c r="K190" s="2"/>
      <c r="L190" s="2"/>
      <c r="M190" s="2"/>
    </row>
    <row r="191" spans="1:13" s="4" customFormat="1" ht="12">
      <c r="A191" s="2"/>
      <c r="B191" s="2"/>
      <c r="C191" s="2"/>
      <c r="D191" s="2"/>
      <c r="E191" s="2"/>
      <c r="F191" s="30"/>
      <c r="G191" s="2"/>
      <c r="H191" s="2"/>
      <c r="I191" s="2"/>
      <c r="J191" s="2"/>
      <c r="K191" s="2"/>
      <c r="L191" s="2"/>
      <c r="M191" s="2"/>
    </row>
    <row r="192" spans="1:13" s="4" customFormat="1" ht="12">
      <c r="A192" s="2"/>
      <c r="B192" s="2"/>
      <c r="C192" s="2"/>
      <c r="D192" s="2"/>
      <c r="E192" s="2"/>
      <c r="F192" s="30"/>
      <c r="G192" s="2"/>
      <c r="H192" s="2"/>
      <c r="I192" s="2"/>
      <c r="J192" s="2"/>
      <c r="K192" s="2"/>
      <c r="L192" s="2"/>
      <c r="M192" s="2"/>
    </row>
    <row r="193" spans="1:13" s="4" customFormat="1" ht="12">
      <c r="A193" s="2"/>
      <c r="B193" s="2"/>
      <c r="C193" s="2"/>
      <c r="D193" s="2"/>
      <c r="E193" s="2"/>
      <c r="F193" s="30"/>
      <c r="G193" s="2"/>
      <c r="H193" s="2"/>
      <c r="I193" s="2"/>
      <c r="J193" s="2"/>
      <c r="K193" s="2"/>
      <c r="L193" s="2"/>
      <c r="M193" s="2"/>
    </row>
    <row r="194" spans="1:13" s="4" customFormat="1" ht="12">
      <c r="A194" s="2"/>
      <c r="B194" s="2"/>
      <c r="C194" s="2"/>
      <c r="D194" s="2"/>
      <c r="E194" s="2"/>
      <c r="F194" s="30"/>
      <c r="G194" s="2"/>
      <c r="H194" s="2"/>
      <c r="I194" s="2"/>
      <c r="J194" s="2"/>
      <c r="K194" s="2"/>
      <c r="L194" s="2"/>
      <c r="M194" s="2"/>
    </row>
    <row r="195" spans="1:13" s="4" customFormat="1" ht="12">
      <c r="A195" s="2"/>
      <c r="B195" s="2"/>
      <c r="C195" s="2"/>
      <c r="D195" s="2"/>
      <c r="E195" s="2"/>
      <c r="F195" s="30"/>
      <c r="G195" s="2"/>
      <c r="H195" s="2"/>
      <c r="I195" s="2"/>
      <c r="J195" s="2"/>
      <c r="K195" s="2"/>
      <c r="L195" s="2"/>
      <c r="M195" s="2"/>
    </row>
    <row r="196" spans="1:13" s="4" customFormat="1" ht="12">
      <c r="A196" s="2"/>
      <c r="B196" s="2"/>
      <c r="C196" s="2"/>
      <c r="D196" s="2"/>
      <c r="E196" s="2"/>
      <c r="F196" s="30"/>
      <c r="G196" s="2"/>
      <c r="H196" s="2"/>
      <c r="I196" s="2"/>
      <c r="J196" s="2"/>
      <c r="K196" s="2"/>
      <c r="L196" s="2"/>
      <c r="M196" s="2"/>
    </row>
    <row r="197" spans="1:13" s="4" customFormat="1" ht="12">
      <c r="A197" s="2"/>
      <c r="B197" s="2"/>
      <c r="C197" s="2"/>
      <c r="D197" s="2"/>
      <c r="E197" s="2"/>
      <c r="F197" s="30"/>
      <c r="G197" s="2"/>
      <c r="H197" s="2"/>
      <c r="I197" s="2"/>
      <c r="J197" s="2"/>
      <c r="K197" s="2"/>
      <c r="L197" s="2"/>
      <c r="M197" s="2"/>
    </row>
    <row r="198" spans="1:13" s="4" customFormat="1" ht="12">
      <c r="A198" s="2"/>
      <c r="B198" s="2"/>
      <c r="C198" s="2"/>
      <c r="D198" s="2"/>
      <c r="E198" s="2"/>
      <c r="F198" s="30"/>
      <c r="G198" s="2"/>
      <c r="H198" s="2"/>
      <c r="I198" s="2"/>
      <c r="J198" s="2"/>
      <c r="K198" s="2"/>
      <c r="L198" s="2"/>
      <c r="M198" s="2"/>
    </row>
    <row r="199" spans="1:13" s="4" customFormat="1" ht="12">
      <c r="A199" s="2"/>
      <c r="B199" s="2"/>
      <c r="C199" s="2"/>
      <c r="D199" s="2"/>
      <c r="E199" s="2"/>
      <c r="F199" s="30"/>
      <c r="G199" s="2"/>
      <c r="H199" s="2"/>
      <c r="I199" s="2"/>
      <c r="J199" s="2"/>
      <c r="K199" s="2"/>
      <c r="L199" s="2"/>
      <c r="M199" s="2"/>
    </row>
    <row r="200" spans="1:13" s="4" customFormat="1" ht="12">
      <c r="A200" s="2"/>
      <c r="B200" s="2"/>
      <c r="C200" s="2"/>
      <c r="D200" s="2"/>
      <c r="E200" s="2"/>
      <c r="F200" s="30"/>
      <c r="G200" s="2"/>
      <c r="H200" s="2"/>
      <c r="I200" s="2"/>
      <c r="J200" s="2"/>
      <c r="K200" s="2"/>
      <c r="L200" s="2"/>
      <c r="M200" s="2"/>
    </row>
    <row r="201" spans="1:13" s="4" customFormat="1" ht="12">
      <c r="A201" s="2"/>
      <c r="B201" s="2"/>
      <c r="C201" s="2"/>
      <c r="D201" s="2"/>
      <c r="E201" s="2"/>
      <c r="F201" s="30"/>
      <c r="G201" s="2"/>
      <c r="H201" s="2"/>
      <c r="I201" s="2"/>
      <c r="J201" s="2"/>
      <c r="K201" s="2"/>
      <c r="L201" s="2"/>
      <c r="M201" s="2"/>
    </row>
    <row r="202" spans="1:13" s="4" customFormat="1" ht="12">
      <c r="A202" s="2"/>
      <c r="B202" s="2"/>
      <c r="C202" s="2"/>
      <c r="D202" s="2"/>
      <c r="E202" s="2"/>
      <c r="F202" s="30"/>
      <c r="G202" s="2"/>
      <c r="H202" s="2"/>
      <c r="I202" s="2"/>
      <c r="J202" s="2"/>
      <c r="K202" s="2"/>
      <c r="L202" s="2"/>
      <c r="M202" s="2"/>
    </row>
    <row r="203" spans="1:13" s="4" customFormat="1" ht="12">
      <c r="A203" s="2"/>
      <c r="B203" s="2"/>
      <c r="C203" s="2"/>
      <c r="D203" s="2"/>
      <c r="E203" s="2"/>
      <c r="F203" s="30"/>
      <c r="G203" s="2"/>
      <c r="H203" s="2"/>
      <c r="I203" s="2"/>
      <c r="J203" s="2"/>
      <c r="K203" s="2"/>
      <c r="L203" s="2"/>
      <c r="M203" s="2"/>
    </row>
    <row r="204" spans="1:13" s="4" customFormat="1" ht="12">
      <c r="A204" s="2"/>
      <c r="B204" s="2"/>
      <c r="C204" s="2"/>
      <c r="D204" s="2"/>
      <c r="E204" s="2"/>
      <c r="F204" s="30"/>
      <c r="G204" s="2"/>
      <c r="H204" s="2"/>
      <c r="I204" s="2"/>
      <c r="J204" s="2"/>
      <c r="K204" s="2"/>
      <c r="L204" s="2"/>
      <c r="M204" s="2"/>
    </row>
    <row r="205" spans="1:13" s="4" customFormat="1" ht="12">
      <c r="A205" s="2"/>
      <c r="B205" s="2"/>
      <c r="C205" s="2"/>
      <c r="D205" s="2"/>
      <c r="E205" s="2"/>
      <c r="F205" s="30"/>
      <c r="G205" s="2"/>
      <c r="H205" s="2"/>
      <c r="I205" s="2"/>
      <c r="J205" s="2"/>
      <c r="K205" s="2"/>
      <c r="L205" s="2"/>
      <c r="M205" s="2"/>
    </row>
    <row r="206" spans="1:13" s="4" customFormat="1" ht="12">
      <c r="A206" s="2"/>
      <c r="B206" s="2"/>
      <c r="C206" s="2"/>
      <c r="D206" s="2"/>
      <c r="E206" s="2"/>
      <c r="F206" s="30"/>
      <c r="G206" s="2"/>
      <c r="H206" s="2"/>
      <c r="I206" s="2"/>
      <c r="J206" s="2"/>
      <c r="K206" s="2"/>
      <c r="L206" s="2"/>
      <c r="M206" s="2"/>
    </row>
    <row r="207" spans="1:13" s="4" customFormat="1" ht="12">
      <c r="A207" s="2"/>
      <c r="B207" s="2"/>
      <c r="C207" s="2"/>
      <c r="D207" s="2"/>
      <c r="E207" s="2"/>
      <c r="F207" s="30"/>
      <c r="G207" s="2"/>
      <c r="H207" s="2"/>
      <c r="I207" s="2"/>
      <c r="J207" s="2"/>
      <c r="K207" s="2"/>
      <c r="L207" s="2"/>
      <c r="M207" s="2"/>
    </row>
    <row r="208" spans="1:13" s="4" customFormat="1" ht="12">
      <c r="A208" s="2"/>
      <c r="B208" s="2"/>
      <c r="C208" s="2"/>
      <c r="D208" s="2"/>
      <c r="E208" s="2"/>
      <c r="F208" s="30"/>
      <c r="G208" s="2"/>
      <c r="H208" s="2"/>
      <c r="I208" s="2"/>
      <c r="J208" s="2"/>
      <c r="K208" s="2"/>
      <c r="L208" s="2"/>
      <c r="M208" s="2"/>
    </row>
    <row r="209" spans="1:13" s="4" customFormat="1" ht="12">
      <c r="A209" s="2"/>
      <c r="B209" s="2"/>
      <c r="C209" s="2"/>
      <c r="D209" s="2"/>
      <c r="E209" s="2"/>
      <c r="F209" s="30"/>
      <c r="G209" s="2"/>
      <c r="H209" s="2"/>
      <c r="I209" s="2"/>
      <c r="J209" s="2"/>
      <c r="K209" s="2"/>
      <c r="L209" s="2"/>
      <c r="M209" s="2"/>
    </row>
    <row r="210" spans="1:13" s="4" customFormat="1" ht="12">
      <c r="A210" s="2"/>
      <c r="B210" s="2"/>
      <c r="C210" s="2"/>
      <c r="D210" s="2"/>
      <c r="E210" s="2"/>
      <c r="F210" s="30"/>
      <c r="G210" s="2"/>
      <c r="H210" s="2"/>
      <c r="I210" s="2"/>
      <c r="J210" s="2"/>
      <c r="K210" s="2"/>
      <c r="L210" s="2"/>
      <c r="M210" s="2"/>
    </row>
    <row r="211" spans="1:13" s="4" customFormat="1" ht="12">
      <c r="A211" s="2"/>
      <c r="B211" s="2"/>
      <c r="C211" s="2"/>
      <c r="D211" s="2"/>
      <c r="E211" s="2"/>
      <c r="F211" s="30"/>
      <c r="G211" s="2"/>
      <c r="H211" s="2"/>
      <c r="I211" s="2"/>
      <c r="J211" s="2"/>
      <c r="K211" s="2"/>
      <c r="L211" s="2"/>
      <c r="M211" s="2"/>
    </row>
    <row r="212" spans="1:13" s="4" customFormat="1" ht="12">
      <c r="A212" s="2"/>
      <c r="B212" s="2"/>
      <c r="C212" s="2"/>
      <c r="D212" s="2"/>
      <c r="E212" s="2"/>
      <c r="F212" s="30"/>
      <c r="G212" s="2"/>
      <c r="H212" s="2"/>
      <c r="I212" s="2"/>
      <c r="J212" s="2"/>
      <c r="K212" s="2"/>
      <c r="L212" s="2"/>
      <c r="M212" s="2"/>
    </row>
    <row r="213" spans="1:13" s="4" customFormat="1" ht="12">
      <c r="A213" s="2"/>
      <c r="B213" s="2"/>
      <c r="C213" s="2"/>
      <c r="D213" s="2"/>
      <c r="E213" s="2"/>
      <c r="F213" s="30"/>
      <c r="G213" s="2"/>
      <c r="H213" s="2"/>
      <c r="I213" s="2"/>
      <c r="J213" s="2"/>
      <c r="K213" s="2"/>
      <c r="L213" s="2"/>
      <c r="M213" s="2"/>
    </row>
    <row r="214" spans="1:13" s="4" customFormat="1" ht="12">
      <c r="A214" s="2"/>
      <c r="B214" s="2"/>
      <c r="C214" s="2"/>
      <c r="D214" s="2"/>
      <c r="E214" s="2"/>
      <c r="F214" s="30"/>
      <c r="G214" s="2"/>
      <c r="H214" s="2"/>
      <c r="I214" s="2"/>
      <c r="J214" s="2"/>
      <c r="K214" s="2"/>
      <c r="L214" s="2"/>
      <c r="M214" s="2"/>
    </row>
    <row r="215" spans="1:13" s="4" customFormat="1" ht="12">
      <c r="A215" s="2"/>
      <c r="B215" s="2"/>
      <c r="C215" s="2"/>
      <c r="D215" s="2"/>
      <c r="E215" s="2"/>
      <c r="F215" s="30"/>
      <c r="G215" s="2"/>
      <c r="H215" s="2"/>
      <c r="I215" s="2"/>
      <c r="J215" s="2"/>
      <c r="K215" s="2"/>
      <c r="L215" s="2"/>
      <c r="M215" s="2"/>
    </row>
    <row r="216" spans="1:13" s="4" customFormat="1" ht="12">
      <c r="A216" s="2"/>
      <c r="B216" s="2"/>
      <c r="C216" s="2"/>
      <c r="D216" s="2"/>
      <c r="E216" s="2"/>
      <c r="F216" s="30"/>
      <c r="G216" s="2"/>
      <c r="H216" s="2"/>
      <c r="I216" s="2"/>
      <c r="J216" s="2"/>
      <c r="K216" s="2"/>
      <c r="L216" s="2"/>
      <c r="M216" s="2"/>
    </row>
    <row r="217" spans="1:13" s="4" customFormat="1" ht="12">
      <c r="A217" s="2"/>
      <c r="B217" s="2"/>
      <c r="C217" s="2"/>
      <c r="D217" s="2"/>
      <c r="E217" s="2"/>
      <c r="F217" s="30"/>
      <c r="G217" s="2"/>
      <c r="H217" s="2"/>
      <c r="I217" s="2"/>
      <c r="J217" s="2"/>
      <c r="K217" s="2"/>
      <c r="L217" s="2"/>
      <c r="M217" s="2"/>
    </row>
    <row r="218" spans="1:13" s="4" customFormat="1" ht="12">
      <c r="A218" s="2"/>
      <c r="B218" s="2"/>
      <c r="C218" s="2"/>
      <c r="D218" s="2"/>
      <c r="E218" s="2"/>
      <c r="F218" s="30"/>
      <c r="G218" s="2"/>
      <c r="H218" s="2"/>
      <c r="I218" s="2"/>
      <c r="J218" s="2"/>
      <c r="K218" s="2"/>
      <c r="L218" s="2"/>
      <c r="M218" s="2"/>
    </row>
    <row r="219" spans="1:13" s="4" customFormat="1" ht="12">
      <c r="A219" s="2"/>
      <c r="B219" s="2"/>
      <c r="C219" s="2"/>
      <c r="D219" s="2"/>
      <c r="E219" s="2"/>
      <c r="F219" s="30"/>
      <c r="G219" s="2"/>
      <c r="H219" s="2"/>
      <c r="I219" s="2"/>
      <c r="J219" s="2"/>
      <c r="K219" s="2"/>
      <c r="L219" s="2"/>
      <c r="M219" s="2"/>
    </row>
    <row r="220" spans="1:13" s="4" customFormat="1" ht="12">
      <c r="A220" s="1"/>
      <c r="B220" s="2"/>
      <c r="C220" s="2"/>
      <c r="D220" s="2"/>
      <c r="E220" s="2"/>
      <c r="F220" s="30"/>
      <c r="G220" s="2"/>
      <c r="H220" s="2"/>
      <c r="I220" s="2"/>
      <c r="J220" s="2"/>
      <c r="K220" s="2"/>
      <c r="L220" s="2"/>
      <c r="M220" s="2"/>
    </row>
    <row r="221" spans="1:13" s="4" customFormat="1" ht="12">
      <c r="A221" s="2"/>
      <c r="B221" s="2"/>
      <c r="C221" s="2"/>
      <c r="D221" s="2"/>
      <c r="E221" s="2"/>
      <c r="F221" s="30"/>
      <c r="G221" s="2"/>
      <c r="H221" s="2"/>
      <c r="I221" s="2"/>
      <c r="J221" s="2"/>
      <c r="K221" s="2"/>
      <c r="L221" s="2"/>
      <c r="M221" s="2"/>
    </row>
    <row r="222" spans="1:13" s="4" customFormat="1" ht="12">
      <c r="A222" s="2"/>
      <c r="B222" s="2"/>
      <c r="C222" s="2"/>
      <c r="D222" s="2"/>
      <c r="E222" s="2"/>
      <c r="F222" s="30"/>
      <c r="G222" s="2"/>
      <c r="H222" s="2"/>
      <c r="I222" s="2"/>
      <c r="J222" s="2"/>
      <c r="K222" s="2"/>
      <c r="L222" s="2"/>
      <c r="M222" s="2"/>
    </row>
    <row r="223" spans="1:13" s="4" customFormat="1" ht="12">
      <c r="A223" s="2"/>
      <c r="B223" s="2"/>
      <c r="C223" s="2"/>
      <c r="D223" s="2"/>
      <c r="E223" s="2"/>
      <c r="F223" s="30"/>
      <c r="G223" s="2"/>
      <c r="H223" s="2"/>
      <c r="I223" s="2"/>
      <c r="J223" s="2"/>
      <c r="K223" s="2"/>
      <c r="L223" s="2"/>
      <c r="M223" s="2"/>
    </row>
    <row r="224" spans="1:13" s="4" customFormat="1" ht="12">
      <c r="A224" s="2"/>
      <c r="B224" s="2"/>
      <c r="C224" s="2"/>
      <c r="D224" s="2"/>
      <c r="E224" s="2"/>
      <c r="F224" s="30"/>
      <c r="G224" s="2"/>
      <c r="H224" s="2"/>
      <c r="I224" s="2"/>
      <c r="J224" s="2"/>
      <c r="K224" s="2"/>
      <c r="L224" s="2"/>
      <c r="M224" s="2"/>
    </row>
    <row r="225" spans="1:13" s="4" customFormat="1" ht="12">
      <c r="A225" s="2"/>
      <c r="B225" s="2"/>
      <c r="C225" s="2"/>
      <c r="D225" s="2"/>
      <c r="E225" s="2"/>
      <c r="F225" s="30"/>
      <c r="G225" s="2"/>
      <c r="H225" s="2"/>
      <c r="I225" s="2"/>
      <c r="J225" s="2"/>
      <c r="K225" s="2"/>
      <c r="L225" s="2"/>
      <c r="M225" s="2"/>
    </row>
    <row r="226" spans="1:13" s="4" customFormat="1" ht="12">
      <c r="A226" s="2"/>
      <c r="B226" s="2"/>
      <c r="C226" s="2"/>
      <c r="D226" s="2"/>
      <c r="E226" s="2"/>
      <c r="F226" s="30"/>
      <c r="G226" s="2"/>
      <c r="H226" s="2"/>
      <c r="I226" s="2"/>
      <c r="J226" s="2"/>
      <c r="K226" s="2"/>
      <c r="L226" s="2"/>
      <c r="M226" s="2"/>
    </row>
    <row r="227" spans="1:13" s="4" customFormat="1" ht="12">
      <c r="A227" s="2"/>
      <c r="B227" s="2"/>
      <c r="C227" s="2"/>
      <c r="D227" s="2"/>
      <c r="E227" s="2"/>
      <c r="F227" s="30"/>
      <c r="G227" s="2"/>
      <c r="H227" s="2"/>
      <c r="I227" s="2"/>
      <c r="J227" s="2"/>
      <c r="K227" s="2"/>
      <c r="L227" s="2"/>
      <c r="M227" s="2"/>
    </row>
    <row r="228" spans="1:13" s="4" customFormat="1" ht="12">
      <c r="A228" s="2"/>
      <c r="B228" s="2"/>
      <c r="C228" s="2"/>
      <c r="D228" s="2"/>
      <c r="E228" s="2"/>
      <c r="F228" s="30"/>
      <c r="G228" s="2"/>
      <c r="H228" s="2"/>
      <c r="I228" s="2"/>
      <c r="J228" s="2"/>
      <c r="K228" s="2"/>
      <c r="L228" s="2"/>
      <c r="M228" s="2"/>
    </row>
    <row r="229" spans="1:13" s="4" customFormat="1" ht="12">
      <c r="A229" s="2"/>
      <c r="B229" s="2"/>
      <c r="C229" s="2"/>
      <c r="D229" s="2"/>
      <c r="E229" s="2"/>
      <c r="F229" s="30"/>
      <c r="G229" s="2"/>
      <c r="H229" s="2"/>
      <c r="I229" s="2"/>
      <c r="J229" s="2"/>
      <c r="K229" s="2"/>
      <c r="L229" s="2"/>
      <c r="M229" s="2"/>
    </row>
    <row r="230" spans="1:13" s="4" customFormat="1" ht="12">
      <c r="A230" s="2"/>
      <c r="B230" s="2"/>
      <c r="C230" s="2"/>
      <c r="D230" s="2"/>
      <c r="E230" s="2"/>
      <c r="F230" s="30"/>
      <c r="G230" s="2"/>
      <c r="H230" s="2"/>
      <c r="I230" s="2"/>
      <c r="J230" s="2"/>
      <c r="K230" s="2"/>
      <c r="L230" s="2"/>
      <c r="M230" s="2"/>
    </row>
    <row r="231" spans="1:13" s="4" customFormat="1" ht="12">
      <c r="A231" s="2"/>
      <c r="B231" s="2"/>
      <c r="C231" s="2"/>
      <c r="D231" s="2"/>
      <c r="E231" s="2"/>
      <c r="F231" s="30"/>
      <c r="G231" s="2"/>
      <c r="H231" s="2"/>
      <c r="I231" s="2"/>
      <c r="J231" s="2"/>
      <c r="K231" s="2"/>
      <c r="L231" s="2"/>
      <c r="M231" s="2"/>
    </row>
    <row r="232" spans="1:13" s="4" customFormat="1" ht="12">
      <c r="A232" s="2"/>
      <c r="B232" s="2"/>
      <c r="C232" s="2"/>
      <c r="D232" s="2"/>
      <c r="E232" s="2"/>
      <c r="F232" s="30"/>
      <c r="G232" s="2"/>
      <c r="H232" s="2"/>
      <c r="I232" s="2"/>
      <c r="J232" s="2"/>
      <c r="K232" s="2"/>
      <c r="L232" s="2"/>
      <c r="M232" s="2"/>
    </row>
    <row r="233" spans="1:13" s="4" customFormat="1" ht="12">
      <c r="A233" s="2"/>
      <c r="B233" s="2"/>
      <c r="C233" s="2"/>
      <c r="D233" s="2"/>
      <c r="E233" s="2"/>
      <c r="F233" s="30"/>
      <c r="G233" s="2"/>
      <c r="H233" s="2"/>
      <c r="I233" s="2"/>
      <c r="J233" s="2"/>
      <c r="K233" s="2"/>
      <c r="L233" s="2"/>
      <c r="M233" s="2"/>
    </row>
    <row r="234" spans="1:13" s="4" customFormat="1" ht="12">
      <c r="A234" s="2"/>
      <c r="B234" s="2"/>
      <c r="C234" s="2"/>
      <c r="D234" s="2"/>
      <c r="E234" s="2"/>
      <c r="F234" s="30"/>
      <c r="G234" s="2"/>
      <c r="H234" s="2"/>
      <c r="I234" s="2"/>
      <c r="J234" s="2"/>
      <c r="K234" s="2"/>
      <c r="L234" s="2"/>
      <c r="M234" s="2"/>
    </row>
    <row r="235" spans="1:13" s="4" customFormat="1" ht="12">
      <c r="A235" s="2"/>
      <c r="B235" s="2"/>
      <c r="C235" s="2"/>
      <c r="D235" s="2"/>
      <c r="E235" s="2"/>
      <c r="F235" s="30"/>
      <c r="G235" s="2"/>
      <c r="H235" s="2"/>
      <c r="I235" s="2"/>
      <c r="J235" s="2"/>
      <c r="K235" s="2"/>
      <c r="L235" s="2"/>
      <c r="M235" s="2"/>
    </row>
    <row r="236" spans="1:13" s="4" customFormat="1" ht="12">
      <c r="A236" s="2"/>
      <c r="B236" s="2"/>
      <c r="C236" s="2"/>
      <c r="D236" s="2"/>
      <c r="E236" s="2"/>
      <c r="F236" s="30"/>
      <c r="G236" s="2"/>
      <c r="H236" s="2"/>
      <c r="I236" s="2"/>
      <c r="J236" s="2"/>
      <c r="K236" s="2"/>
      <c r="L236" s="2"/>
      <c r="M236" s="2"/>
    </row>
    <row r="237" spans="1:13" s="4" customFormat="1" ht="12">
      <c r="A237" s="53"/>
      <c r="B237" s="2"/>
      <c r="C237" s="2"/>
      <c r="D237" s="2"/>
      <c r="E237" s="2"/>
      <c r="F237" s="30"/>
      <c r="G237" s="2"/>
      <c r="H237" s="2"/>
      <c r="I237" s="2"/>
      <c r="J237" s="2"/>
      <c r="K237" s="2"/>
      <c r="L237" s="2"/>
      <c r="M237" s="2"/>
    </row>
    <row r="238" spans="1:13" s="4" customFormat="1" ht="12">
      <c r="A238" s="53"/>
      <c r="B238" s="2"/>
      <c r="C238" s="2"/>
      <c r="D238" s="2"/>
      <c r="E238" s="2"/>
      <c r="F238" s="30"/>
      <c r="G238" s="2"/>
      <c r="H238" s="2"/>
      <c r="I238" s="2"/>
      <c r="J238" s="2"/>
      <c r="K238" s="2"/>
      <c r="L238" s="2"/>
      <c r="M238" s="2"/>
    </row>
    <row r="239" spans="1:13" s="4" customFormat="1" ht="12">
      <c r="A239" s="53"/>
      <c r="B239" s="2"/>
      <c r="C239" s="2"/>
      <c r="D239" s="2"/>
      <c r="E239" s="2"/>
      <c r="F239" s="30"/>
      <c r="G239" s="2"/>
      <c r="H239" s="2"/>
      <c r="I239" s="2"/>
      <c r="J239" s="2"/>
      <c r="K239" s="2"/>
      <c r="L239" s="2"/>
      <c r="M239" s="2"/>
    </row>
    <row r="240" spans="1:13" s="4" customFormat="1" ht="12">
      <c r="A240" s="53"/>
      <c r="B240" s="2"/>
      <c r="C240" s="2"/>
      <c r="D240" s="2"/>
      <c r="E240" s="2"/>
      <c r="F240" s="30"/>
      <c r="G240" s="2"/>
      <c r="H240" s="2"/>
      <c r="I240" s="2"/>
      <c r="J240" s="2"/>
      <c r="K240" s="2"/>
      <c r="L240" s="2"/>
      <c r="M240" s="2"/>
    </row>
    <row r="241" spans="1:13" s="4" customFormat="1" ht="12">
      <c r="A241" s="53"/>
      <c r="B241" s="2"/>
      <c r="C241" s="2"/>
      <c r="D241" s="2"/>
      <c r="E241" s="2"/>
      <c r="F241" s="30"/>
      <c r="G241" s="2"/>
      <c r="H241" s="2"/>
      <c r="I241" s="2"/>
      <c r="J241" s="2"/>
      <c r="K241" s="2"/>
      <c r="L241" s="2"/>
      <c r="M241" s="2"/>
    </row>
    <row r="242" spans="1:13" s="4" customFormat="1" ht="12">
      <c r="A242" s="53"/>
      <c r="B242" s="2"/>
      <c r="C242" s="2"/>
      <c r="D242" s="2"/>
      <c r="E242" s="2"/>
      <c r="F242" s="30"/>
      <c r="G242" s="2"/>
      <c r="H242" s="2"/>
      <c r="I242" s="2"/>
      <c r="J242" s="2"/>
      <c r="K242" s="2"/>
      <c r="L242" s="2"/>
      <c r="M242" s="2"/>
    </row>
    <row r="243" spans="1:13" s="4" customFormat="1" ht="12">
      <c r="A243" s="53"/>
      <c r="B243" s="2"/>
      <c r="C243" s="2"/>
      <c r="D243" s="2"/>
      <c r="E243" s="2"/>
      <c r="F243" s="30"/>
      <c r="G243" s="2"/>
      <c r="H243" s="2"/>
      <c r="I243" s="2"/>
      <c r="J243" s="2"/>
      <c r="K243" s="2"/>
      <c r="L243" s="2"/>
      <c r="M243" s="2"/>
    </row>
    <row r="244" spans="1:13" s="4" customFormat="1" ht="12">
      <c r="A244" s="53"/>
      <c r="B244" s="2"/>
      <c r="C244" s="2"/>
      <c r="D244" s="2"/>
      <c r="E244" s="2"/>
      <c r="F244" s="30"/>
      <c r="G244" s="2"/>
      <c r="H244" s="2"/>
      <c r="I244" s="2"/>
      <c r="J244" s="2"/>
      <c r="K244" s="2"/>
      <c r="L244" s="2"/>
      <c r="M244" s="2"/>
    </row>
    <row r="245" spans="1:13" s="4" customFormat="1" ht="12">
      <c r="A245" s="53"/>
      <c r="B245" s="2"/>
      <c r="C245" s="2"/>
      <c r="D245" s="2"/>
      <c r="E245" s="2"/>
      <c r="F245" s="30"/>
      <c r="G245" s="2"/>
      <c r="H245" s="2"/>
      <c r="I245" s="2"/>
      <c r="J245" s="2"/>
      <c r="K245" s="2"/>
      <c r="L245" s="2"/>
      <c r="M245" s="2"/>
    </row>
    <row r="246" spans="1:13" s="4" customFormat="1" ht="12">
      <c r="A246" s="53"/>
      <c r="B246" s="2"/>
      <c r="C246" s="2"/>
      <c r="D246" s="2"/>
      <c r="E246" s="2"/>
      <c r="F246" s="30"/>
      <c r="G246" s="2"/>
      <c r="H246" s="2"/>
      <c r="I246" s="2"/>
      <c r="J246" s="2"/>
      <c r="K246" s="2"/>
      <c r="L246" s="2"/>
      <c r="M246" s="2"/>
    </row>
    <row r="247" spans="1:13" s="4" customFormat="1" ht="12">
      <c r="A247" s="53"/>
      <c r="B247" s="2"/>
      <c r="C247" s="2"/>
      <c r="D247" s="2"/>
      <c r="E247" s="2"/>
      <c r="F247" s="30"/>
      <c r="G247" s="2"/>
      <c r="H247" s="2"/>
      <c r="I247" s="2"/>
      <c r="J247" s="2"/>
      <c r="K247" s="2"/>
      <c r="L247" s="2"/>
      <c r="M247" s="2"/>
    </row>
    <row r="248" spans="1:13" s="4" customFormat="1" ht="12">
      <c r="A248" s="53"/>
      <c r="B248" s="2"/>
      <c r="C248" s="2"/>
      <c r="D248" s="2"/>
      <c r="E248" s="2"/>
      <c r="F248" s="30"/>
      <c r="G248" s="2"/>
      <c r="H248" s="2"/>
      <c r="I248" s="2"/>
      <c r="J248" s="2"/>
      <c r="K248" s="2"/>
      <c r="L248" s="2"/>
      <c r="M248" s="2"/>
    </row>
    <row r="249" spans="1:13" s="4" customFormat="1" ht="12">
      <c r="A249" s="53"/>
      <c r="B249" s="2"/>
      <c r="C249" s="2"/>
      <c r="D249" s="2"/>
      <c r="E249" s="2"/>
      <c r="F249" s="30"/>
      <c r="G249" s="2"/>
      <c r="H249" s="2"/>
      <c r="I249" s="2"/>
      <c r="J249" s="2"/>
      <c r="K249" s="2"/>
      <c r="L249" s="2"/>
      <c r="M249" s="2"/>
    </row>
    <row r="250" spans="1:13" s="4" customFormat="1" ht="12">
      <c r="A250" s="53"/>
      <c r="B250" s="2"/>
      <c r="C250" s="2"/>
      <c r="D250" s="2"/>
      <c r="E250" s="2"/>
      <c r="F250" s="30"/>
      <c r="G250" s="2"/>
      <c r="H250" s="2"/>
      <c r="I250" s="2"/>
      <c r="J250" s="2"/>
      <c r="K250" s="2"/>
      <c r="L250" s="2"/>
      <c r="M250" s="2"/>
    </row>
    <row r="251" spans="1:13" s="4" customFormat="1" ht="12">
      <c r="A251" s="53"/>
      <c r="B251" s="2"/>
      <c r="C251" s="2"/>
      <c r="D251" s="2"/>
      <c r="E251" s="2"/>
      <c r="F251" s="30"/>
      <c r="G251" s="2"/>
      <c r="H251" s="2"/>
      <c r="I251" s="2"/>
      <c r="J251" s="2"/>
      <c r="K251" s="2"/>
      <c r="L251" s="2"/>
      <c r="M251" s="2"/>
    </row>
    <row r="252" spans="1:13" s="4" customFormat="1" ht="12">
      <c r="A252" s="53"/>
      <c r="B252" s="2"/>
      <c r="C252" s="2"/>
      <c r="D252" s="2"/>
      <c r="E252" s="2"/>
      <c r="F252" s="30"/>
      <c r="G252" s="2"/>
      <c r="H252" s="2"/>
      <c r="I252" s="2"/>
      <c r="J252" s="2"/>
      <c r="K252" s="2"/>
      <c r="L252" s="2"/>
      <c r="M252" s="2"/>
    </row>
    <row r="253" spans="1:13" s="4" customFormat="1" ht="12">
      <c r="A253" s="53"/>
      <c r="B253" s="2"/>
      <c r="C253" s="2"/>
      <c r="D253" s="2"/>
      <c r="E253" s="2"/>
      <c r="F253" s="30"/>
      <c r="G253" s="2"/>
      <c r="H253" s="2"/>
      <c r="I253" s="2"/>
      <c r="J253" s="2"/>
      <c r="K253" s="2"/>
      <c r="L253" s="2"/>
      <c r="M253" s="2"/>
    </row>
    <row r="254" spans="1:13" s="4" customFormat="1" ht="12">
      <c r="A254" s="53"/>
      <c r="B254" s="2"/>
      <c r="C254" s="2"/>
      <c r="D254" s="2"/>
      <c r="E254" s="2"/>
      <c r="F254" s="30"/>
      <c r="G254" s="2"/>
      <c r="H254" s="2"/>
      <c r="I254" s="2"/>
      <c r="J254" s="2"/>
      <c r="K254" s="2"/>
      <c r="L254" s="2"/>
      <c r="M254" s="2"/>
    </row>
    <row r="255" spans="1:13" s="4" customFormat="1" ht="12">
      <c r="A255" s="53"/>
      <c r="B255" s="2"/>
      <c r="C255" s="2"/>
      <c r="D255" s="2"/>
      <c r="E255" s="2"/>
      <c r="F255" s="30"/>
      <c r="G255" s="2"/>
      <c r="H255" s="2"/>
      <c r="I255" s="2"/>
      <c r="J255" s="2"/>
      <c r="K255" s="2"/>
      <c r="L255" s="2"/>
      <c r="M255" s="2"/>
    </row>
    <row r="256" spans="1:13" s="4" customFormat="1" ht="12">
      <c r="A256" s="53"/>
      <c r="B256" s="2"/>
      <c r="C256" s="2"/>
      <c r="D256" s="2"/>
      <c r="E256" s="2"/>
      <c r="F256" s="30"/>
      <c r="G256" s="2"/>
      <c r="H256" s="2"/>
      <c r="I256" s="2"/>
      <c r="J256" s="2"/>
      <c r="K256" s="2"/>
      <c r="L256" s="2"/>
      <c r="M256" s="2"/>
    </row>
    <row r="257" spans="1:13" s="4" customFormat="1" ht="12">
      <c r="A257" s="53"/>
      <c r="B257" s="2"/>
      <c r="C257" s="2"/>
      <c r="D257" s="2"/>
      <c r="E257" s="2"/>
      <c r="F257" s="30"/>
      <c r="G257" s="2"/>
      <c r="H257" s="2"/>
      <c r="I257" s="2"/>
      <c r="J257" s="2"/>
      <c r="K257" s="2"/>
      <c r="L257" s="2"/>
      <c r="M257" s="2"/>
    </row>
    <row r="258" spans="1:13" s="4" customFormat="1" ht="12">
      <c r="A258" s="53"/>
      <c r="B258" s="2"/>
      <c r="C258" s="2"/>
      <c r="D258" s="2"/>
      <c r="E258" s="2"/>
      <c r="F258" s="30"/>
      <c r="G258" s="2"/>
      <c r="H258" s="2"/>
      <c r="I258" s="2"/>
      <c r="J258" s="2"/>
      <c r="K258" s="2"/>
      <c r="L258" s="2"/>
      <c r="M258" s="2"/>
    </row>
    <row r="259" spans="1:13" s="4" customFormat="1" ht="12">
      <c r="A259" s="53"/>
      <c r="B259" s="2"/>
      <c r="C259" s="2"/>
      <c r="D259" s="2"/>
      <c r="E259" s="2"/>
      <c r="F259" s="30"/>
      <c r="G259" s="2"/>
      <c r="H259" s="2"/>
      <c r="I259" s="2"/>
      <c r="J259" s="2"/>
      <c r="K259" s="2"/>
      <c r="L259" s="2"/>
      <c r="M259" s="2"/>
    </row>
    <row r="260" spans="1:13" s="4" customFormat="1" ht="12">
      <c r="A260" s="53"/>
      <c r="B260" s="2"/>
      <c r="C260" s="2"/>
      <c r="D260" s="2"/>
      <c r="E260" s="2"/>
      <c r="F260" s="30"/>
      <c r="G260" s="2"/>
      <c r="H260" s="2"/>
      <c r="I260" s="2"/>
      <c r="J260" s="2"/>
      <c r="K260" s="2"/>
      <c r="L260" s="2"/>
      <c r="M260" s="2"/>
    </row>
    <row r="261" spans="1:13" s="4" customFormat="1" ht="12">
      <c r="A261" s="53"/>
      <c r="B261" s="2"/>
      <c r="C261" s="2"/>
      <c r="D261" s="2"/>
      <c r="E261" s="2"/>
      <c r="F261" s="30"/>
      <c r="G261" s="2"/>
      <c r="H261" s="2"/>
      <c r="I261" s="2"/>
      <c r="J261" s="2"/>
      <c r="K261" s="2"/>
      <c r="L261" s="2"/>
      <c r="M261" s="2"/>
    </row>
    <row r="262" spans="1:13" s="4" customFormat="1" ht="12">
      <c r="A262" s="53"/>
      <c r="B262" s="2"/>
      <c r="C262" s="2"/>
      <c r="D262" s="2"/>
      <c r="E262" s="2"/>
      <c r="F262" s="30"/>
      <c r="G262" s="2"/>
      <c r="H262" s="2"/>
      <c r="I262" s="2"/>
      <c r="J262" s="2"/>
      <c r="K262" s="2"/>
      <c r="L262" s="2"/>
      <c r="M262" s="2"/>
    </row>
    <row r="263" spans="1:13" s="4" customFormat="1" ht="12">
      <c r="A263" s="53"/>
      <c r="B263" s="2"/>
      <c r="C263" s="2"/>
      <c r="D263" s="2"/>
      <c r="E263" s="2"/>
      <c r="F263" s="30"/>
      <c r="G263" s="2"/>
      <c r="H263" s="2"/>
      <c r="I263" s="2"/>
      <c r="J263" s="2"/>
      <c r="K263" s="2"/>
      <c r="L263" s="2"/>
      <c r="M263" s="2"/>
    </row>
    <row r="264" spans="1:13" s="4" customFormat="1" ht="12">
      <c r="A264" s="53"/>
      <c r="B264" s="2"/>
      <c r="C264" s="2"/>
      <c r="D264" s="2"/>
      <c r="E264" s="2"/>
      <c r="F264" s="30"/>
      <c r="G264" s="2"/>
      <c r="H264" s="2"/>
      <c r="I264" s="2"/>
      <c r="J264" s="2"/>
      <c r="K264" s="2"/>
      <c r="L264" s="2"/>
      <c r="M264" s="2"/>
    </row>
    <row r="265" spans="1:13" s="4" customFormat="1" ht="12">
      <c r="A265" s="53"/>
      <c r="B265" s="2"/>
      <c r="C265" s="2"/>
      <c r="D265" s="2"/>
      <c r="E265" s="2"/>
      <c r="F265" s="30"/>
      <c r="G265" s="2"/>
      <c r="H265" s="2"/>
      <c r="I265" s="2"/>
      <c r="J265" s="2"/>
      <c r="K265" s="2"/>
      <c r="L265" s="2"/>
      <c r="M265" s="2"/>
    </row>
    <row r="266" spans="1:13" s="4" customFormat="1" ht="12">
      <c r="A266" s="53"/>
      <c r="B266" s="2"/>
      <c r="C266" s="2"/>
      <c r="D266" s="2"/>
      <c r="E266" s="2"/>
      <c r="F266" s="30"/>
      <c r="G266" s="2"/>
      <c r="H266" s="2"/>
      <c r="I266" s="2"/>
      <c r="J266" s="2"/>
      <c r="K266" s="2"/>
      <c r="L266" s="2"/>
      <c r="M266" s="2"/>
    </row>
    <row r="267" spans="1:13" s="4" customFormat="1" ht="12">
      <c r="A267" s="53"/>
      <c r="B267" s="2"/>
      <c r="C267" s="2"/>
      <c r="D267" s="2"/>
      <c r="E267" s="2"/>
      <c r="F267" s="30"/>
      <c r="G267" s="2"/>
      <c r="H267" s="2"/>
      <c r="I267" s="2"/>
      <c r="J267" s="2"/>
      <c r="K267" s="2"/>
      <c r="L267" s="2"/>
      <c r="M267" s="2"/>
    </row>
    <row r="268" spans="1:13" s="4" customFormat="1" ht="12">
      <c r="A268" s="53"/>
      <c r="B268" s="2"/>
      <c r="C268" s="2"/>
      <c r="D268" s="2"/>
      <c r="E268" s="2"/>
      <c r="F268" s="30"/>
      <c r="G268" s="2"/>
      <c r="H268" s="2"/>
      <c r="I268" s="2"/>
      <c r="J268" s="2"/>
      <c r="K268" s="2"/>
      <c r="L268" s="2"/>
      <c r="M268" s="2"/>
    </row>
    <row r="269" spans="1:13" s="4" customFormat="1" ht="12">
      <c r="A269" s="53"/>
      <c r="B269" s="2"/>
      <c r="C269" s="2"/>
      <c r="D269" s="2"/>
      <c r="E269" s="2"/>
      <c r="F269" s="30"/>
      <c r="G269" s="2"/>
      <c r="H269" s="2"/>
      <c r="I269" s="2"/>
      <c r="J269" s="2"/>
      <c r="K269" s="2"/>
      <c r="L269" s="2"/>
      <c r="M269" s="2"/>
    </row>
    <row r="270" spans="1:13" s="4" customFormat="1" ht="12">
      <c r="A270" s="53"/>
      <c r="B270" s="2"/>
      <c r="C270" s="2"/>
      <c r="D270" s="2"/>
      <c r="E270" s="2"/>
      <c r="F270" s="30"/>
      <c r="G270" s="2"/>
      <c r="H270" s="2"/>
      <c r="I270" s="2"/>
      <c r="J270" s="2"/>
      <c r="K270" s="2"/>
      <c r="L270" s="2"/>
      <c r="M270" s="2"/>
    </row>
    <row r="271" spans="1:13" s="4" customFormat="1" ht="12">
      <c r="A271" s="53"/>
      <c r="B271" s="2"/>
      <c r="C271" s="2"/>
      <c r="D271" s="2"/>
      <c r="E271" s="2"/>
      <c r="F271" s="30"/>
      <c r="G271" s="2"/>
      <c r="H271" s="2"/>
      <c r="I271" s="2"/>
      <c r="J271" s="2"/>
      <c r="K271" s="2"/>
      <c r="L271" s="2"/>
      <c r="M271" s="2"/>
    </row>
    <row r="272" spans="1:13" s="4" customFormat="1" ht="12">
      <c r="A272" s="53"/>
      <c r="B272" s="2"/>
      <c r="C272" s="2"/>
      <c r="D272" s="2"/>
      <c r="E272" s="2"/>
      <c r="F272" s="30"/>
      <c r="G272" s="2"/>
      <c r="H272" s="2"/>
      <c r="I272" s="2"/>
      <c r="J272" s="2"/>
      <c r="K272" s="2"/>
      <c r="L272" s="2"/>
      <c r="M272" s="2"/>
    </row>
    <row r="273" spans="1:13" s="4" customFormat="1" ht="12">
      <c r="A273" s="53"/>
      <c r="B273" s="2"/>
      <c r="C273" s="2"/>
      <c r="D273" s="2"/>
      <c r="E273" s="2"/>
      <c r="F273" s="30"/>
      <c r="G273" s="2"/>
      <c r="H273" s="2"/>
      <c r="I273" s="2"/>
      <c r="J273" s="2"/>
      <c r="K273" s="2"/>
      <c r="L273" s="2"/>
      <c r="M273" s="2"/>
    </row>
    <row r="274" spans="1:13" s="4" customFormat="1" ht="12">
      <c r="A274" s="53"/>
      <c r="B274" s="2"/>
      <c r="C274" s="2"/>
      <c r="D274" s="2"/>
      <c r="E274" s="2"/>
      <c r="F274" s="30"/>
      <c r="G274" s="2"/>
      <c r="H274" s="2"/>
      <c r="I274" s="2"/>
      <c r="J274" s="2"/>
      <c r="K274" s="2"/>
      <c r="L274" s="2"/>
      <c r="M274" s="2"/>
    </row>
    <row r="275" spans="1:13" s="4" customFormat="1" ht="12">
      <c r="A275" s="53"/>
      <c r="B275" s="2"/>
      <c r="C275" s="2"/>
      <c r="D275" s="2"/>
      <c r="E275" s="2"/>
      <c r="F275" s="30"/>
      <c r="G275" s="2"/>
      <c r="H275" s="2"/>
      <c r="I275" s="2"/>
      <c r="J275" s="2"/>
      <c r="K275" s="2"/>
      <c r="L275" s="2"/>
      <c r="M275" s="2"/>
    </row>
    <row r="276" spans="1:13" s="4" customFormat="1" ht="12">
      <c r="A276" s="53"/>
      <c r="B276" s="2"/>
      <c r="C276" s="2"/>
      <c r="D276" s="2"/>
      <c r="E276" s="2"/>
      <c r="F276" s="30"/>
      <c r="G276" s="2"/>
      <c r="H276" s="2"/>
      <c r="I276" s="2"/>
      <c r="J276" s="2"/>
      <c r="K276" s="2"/>
      <c r="L276" s="2"/>
      <c r="M276" s="2"/>
    </row>
    <row r="277" spans="1:13" s="4" customFormat="1" ht="12">
      <c r="A277" s="53"/>
      <c r="B277" s="2"/>
      <c r="C277" s="2"/>
      <c r="D277" s="2"/>
      <c r="E277" s="2"/>
      <c r="F277" s="30"/>
      <c r="G277" s="2"/>
      <c r="H277" s="2"/>
      <c r="I277" s="2"/>
      <c r="J277" s="2"/>
      <c r="K277" s="2"/>
      <c r="L277" s="2"/>
      <c r="M277" s="2"/>
    </row>
    <row r="278" spans="1:13" s="4" customFormat="1" ht="12">
      <c r="A278" s="53"/>
      <c r="B278" s="2"/>
      <c r="C278" s="2"/>
      <c r="D278" s="2"/>
      <c r="E278" s="2"/>
      <c r="F278" s="30"/>
      <c r="G278" s="2"/>
      <c r="H278" s="2"/>
      <c r="I278" s="2"/>
      <c r="J278" s="2"/>
      <c r="K278" s="2"/>
      <c r="L278" s="2"/>
      <c r="M278" s="2"/>
    </row>
    <row r="279" spans="1:13" s="4" customFormat="1" ht="12">
      <c r="A279" s="53"/>
      <c r="B279" s="2"/>
      <c r="C279" s="2"/>
      <c r="D279" s="2"/>
      <c r="E279" s="2"/>
      <c r="F279" s="30"/>
      <c r="G279" s="2"/>
      <c r="H279" s="2"/>
      <c r="I279" s="2"/>
      <c r="J279" s="2"/>
      <c r="K279" s="2"/>
      <c r="L279" s="2"/>
      <c r="M279" s="2"/>
    </row>
    <row r="280" spans="1:13" s="4" customFormat="1" ht="12">
      <c r="A280" s="53"/>
      <c r="B280" s="2"/>
      <c r="C280" s="2"/>
      <c r="D280" s="2"/>
      <c r="E280" s="2"/>
      <c r="F280" s="30"/>
      <c r="G280" s="2"/>
      <c r="H280" s="2"/>
      <c r="I280" s="2"/>
      <c r="J280" s="2"/>
      <c r="K280" s="2"/>
      <c r="L280" s="2"/>
      <c r="M280" s="2"/>
    </row>
    <row r="281" spans="1:13" s="4" customFormat="1" ht="12">
      <c r="A281" s="53"/>
      <c r="B281" s="2"/>
      <c r="C281" s="2"/>
      <c r="D281" s="2"/>
      <c r="E281" s="2"/>
      <c r="F281" s="30"/>
      <c r="G281" s="2"/>
      <c r="H281" s="2"/>
      <c r="I281" s="2"/>
      <c r="J281" s="2"/>
      <c r="K281" s="2"/>
      <c r="L281" s="2"/>
      <c r="M281" s="2"/>
    </row>
    <row r="282" spans="1:13" s="4" customFormat="1" ht="12">
      <c r="A282" s="53"/>
      <c r="B282" s="2"/>
      <c r="C282" s="2"/>
      <c r="D282" s="2"/>
      <c r="E282" s="2"/>
      <c r="F282" s="30"/>
      <c r="G282" s="2"/>
      <c r="H282" s="2"/>
      <c r="I282" s="2"/>
      <c r="J282" s="2"/>
      <c r="K282" s="2"/>
      <c r="L282" s="2"/>
      <c r="M282" s="2"/>
    </row>
    <row r="283" spans="1:13" s="4" customFormat="1" ht="12">
      <c r="A283" s="53"/>
      <c r="B283" s="2"/>
      <c r="C283" s="2"/>
      <c r="D283" s="2"/>
      <c r="E283" s="2"/>
      <c r="F283" s="30"/>
      <c r="G283" s="2"/>
      <c r="H283" s="2"/>
      <c r="I283" s="2"/>
      <c r="J283" s="2"/>
      <c r="K283" s="2"/>
      <c r="L283" s="2"/>
      <c r="M283" s="2"/>
    </row>
    <row r="284" spans="1:13" s="4" customFormat="1" ht="12">
      <c r="A284" s="53"/>
      <c r="B284" s="2"/>
      <c r="C284" s="2"/>
      <c r="D284" s="2"/>
      <c r="E284" s="2"/>
      <c r="F284" s="30"/>
      <c r="G284" s="2"/>
      <c r="H284" s="2"/>
      <c r="I284" s="2"/>
      <c r="J284" s="2"/>
      <c r="K284" s="2"/>
      <c r="L284" s="2"/>
      <c r="M284" s="2"/>
    </row>
    <row r="285" spans="1:13" s="4" customFormat="1" ht="12">
      <c r="A285" s="53"/>
      <c r="B285" s="2"/>
      <c r="C285" s="2"/>
      <c r="D285" s="2"/>
      <c r="E285" s="2"/>
      <c r="F285" s="30"/>
      <c r="G285" s="2"/>
      <c r="H285" s="2"/>
      <c r="I285" s="2"/>
      <c r="J285" s="2"/>
      <c r="K285" s="2"/>
      <c r="L285" s="2"/>
      <c r="M285" s="2"/>
    </row>
    <row r="286" spans="1:13" s="4" customFormat="1" ht="12">
      <c r="A286" s="53"/>
      <c r="B286" s="2"/>
      <c r="C286" s="2"/>
      <c r="D286" s="2"/>
      <c r="E286" s="2"/>
      <c r="F286" s="30"/>
      <c r="G286" s="2"/>
      <c r="H286" s="2"/>
      <c r="I286" s="2"/>
      <c r="J286" s="2"/>
      <c r="K286" s="2"/>
      <c r="L286" s="2"/>
      <c r="M286" s="2"/>
    </row>
    <row r="287" spans="1:13" s="4" customFormat="1" ht="12">
      <c r="A287" s="53"/>
      <c r="B287" s="2"/>
      <c r="C287" s="2"/>
      <c r="D287" s="2"/>
      <c r="E287" s="2"/>
      <c r="F287" s="30"/>
      <c r="G287" s="2"/>
      <c r="H287" s="2"/>
      <c r="I287" s="2"/>
      <c r="J287" s="2"/>
      <c r="K287" s="2"/>
      <c r="L287" s="2"/>
      <c r="M287" s="2"/>
    </row>
    <row r="288" spans="1:13" s="4" customFormat="1" ht="12">
      <c r="A288" s="53"/>
      <c r="B288" s="2"/>
      <c r="C288" s="2"/>
      <c r="D288" s="2"/>
      <c r="E288" s="2"/>
      <c r="F288" s="30"/>
      <c r="G288" s="2"/>
      <c r="H288" s="2"/>
      <c r="I288" s="2"/>
      <c r="J288" s="2"/>
      <c r="K288" s="2"/>
      <c r="L288" s="2"/>
      <c r="M288" s="2"/>
    </row>
    <row r="289" spans="1:13" s="4" customFormat="1" ht="12">
      <c r="A289" s="53"/>
      <c r="B289" s="2"/>
      <c r="C289" s="2"/>
      <c r="D289" s="2"/>
      <c r="E289" s="2"/>
      <c r="F289" s="30"/>
      <c r="G289" s="2"/>
      <c r="H289" s="2"/>
      <c r="I289" s="2"/>
      <c r="J289" s="2"/>
      <c r="K289" s="2"/>
      <c r="L289" s="2"/>
      <c r="M289" s="2"/>
    </row>
    <row r="290" spans="1:13" s="4" customFormat="1" ht="12">
      <c r="A290" s="53"/>
      <c r="B290" s="2"/>
      <c r="C290" s="2"/>
      <c r="D290" s="2"/>
      <c r="E290" s="2"/>
      <c r="F290" s="30"/>
      <c r="G290" s="2"/>
      <c r="H290" s="2"/>
      <c r="I290" s="2"/>
      <c r="J290" s="2"/>
      <c r="K290" s="2"/>
      <c r="L290" s="2"/>
      <c r="M290" s="2"/>
    </row>
    <row r="291" spans="1:13" s="4" customFormat="1" ht="12">
      <c r="A291" s="53"/>
      <c r="B291" s="2"/>
      <c r="C291" s="2"/>
      <c r="D291" s="2"/>
      <c r="E291" s="2"/>
      <c r="F291" s="30"/>
      <c r="G291" s="2"/>
      <c r="H291" s="2"/>
      <c r="I291" s="2"/>
      <c r="J291" s="2"/>
      <c r="K291" s="2"/>
      <c r="L291" s="2"/>
      <c r="M291" s="2"/>
    </row>
    <row r="292" spans="1:13" s="4" customFormat="1" ht="12">
      <c r="A292" s="2"/>
      <c r="B292" s="2"/>
      <c r="C292" s="2"/>
      <c r="D292" s="2"/>
      <c r="E292" s="2"/>
      <c r="F292" s="30"/>
      <c r="G292" s="2"/>
      <c r="H292" s="2"/>
      <c r="I292" s="2"/>
      <c r="J292" s="2"/>
      <c r="K292" s="2"/>
      <c r="L292" s="2"/>
      <c r="M292" s="2"/>
    </row>
    <row r="293" spans="1:13" s="4" customFormat="1" ht="12">
      <c r="A293" s="2"/>
      <c r="B293" s="2"/>
      <c r="C293" s="2"/>
      <c r="D293" s="2"/>
      <c r="E293" s="2"/>
      <c r="F293" s="30"/>
      <c r="G293" s="2"/>
      <c r="H293" s="2"/>
      <c r="I293" s="2"/>
      <c r="J293" s="2"/>
      <c r="K293" s="2"/>
      <c r="L293" s="2"/>
      <c r="M293" s="2"/>
    </row>
    <row r="294" spans="1:13" s="4" customFormat="1" ht="12">
      <c r="A294" s="2"/>
      <c r="B294" s="2"/>
      <c r="C294" s="2"/>
      <c r="D294" s="2"/>
      <c r="E294" s="2"/>
      <c r="F294" s="30"/>
      <c r="G294" s="2"/>
      <c r="H294" s="2"/>
      <c r="I294" s="2"/>
      <c r="J294" s="2"/>
      <c r="K294" s="2"/>
      <c r="L294" s="2"/>
      <c r="M294" s="2"/>
    </row>
    <row r="295" spans="1:13" s="4" customFormat="1" ht="12">
      <c r="A295" s="2"/>
      <c r="B295" s="2"/>
      <c r="C295" s="2"/>
      <c r="D295" s="2"/>
      <c r="E295" s="2"/>
      <c r="F295" s="30"/>
      <c r="G295" s="2"/>
      <c r="H295" s="2"/>
      <c r="I295" s="2"/>
      <c r="J295" s="2"/>
      <c r="K295" s="2"/>
      <c r="L295" s="2"/>
      <c r="M295" s="2"/>
    </row>
    <row r="296" spans="1:13" s="4" customFormat="1" ht="12">
      <c r="A296" s="2"/>
      <c r="B296" s="2"/>
      <c r="C296" s="2"/>
      <c r="D296" s="2"/>
      <c r="E296" s="2"/>
      <c r="F296" s="30"/>
      <c r="G296" s="2"/>
      <c r="H296" s="2"/>
      <c r="I296" s="2"/>
      <c r="J296" s="2"/>
      <c r="K296" s="2"/>
      <c r="L296" s="2"/>
      <c r="M296" s="2"/>
    </row>
    <row r="297" spans="1:13" s="4" customFormat="1" ht="12">
      <c r="A297" s="2"/>
      <c r="B297" s="2"/>
      <c r="C297" s="2"/>
      <c r="D297" s="2"/>
      <c r="E297" s="2"/>
      <c r="F297" s="30"/>
      <c r="G297" s="2"/>
      <c r="H297" s="2"/>
      <c r="I297" s="2"/>
      <c r="J297" s="2"/>
      <c r="K297" s="2"/>
      <c r="L297" s="2"/>
      <c r="M297" s="2"/>
    </row>
    <row r="298" spans="1:13" s="4" customFormat="1" ht="12">
      <c r="A298" s="2"/>
      <c r="B298" s="2"/>
      <c r="C298" s="2"/>
      <c r="D298" s="2"/>
      <c r="E298" s="2"/>
      <c r="F298" s="30"/>
      <c r="G298" s="2"/>
      <c r="H298" s="2"/>
      <c r="I298" s="2"/>
      <c r="J298" s="2"/>
      <c r="K298" s="2"/>
      <c r="L298" s="2"/>
      <c r="M298" s="2"/>
    </row>
    <row r="299" spans="1:13" s="4" customFormat="1" ht="12">
      <c r="A299" s="2"/>
      <c r="B299" s="2"/>
      <c r="C299" s="2"/>
      <c r="D299" s="2"/>
      <c r="E299" s="2"/>
      <c r="F299" s="30"/>
      <c r="G299" s="2"/>
      <c r="H299" s="2"/>
      <c r="I299" s="2"/>
      <c r="J299" s="2"/>
      <c r="K299" s="2"/>
      <c r="L299" s="2"/>
      <c r="M299" s="2"/>
    </row>
    <row r="300" spans="1:13" s="4" customFormat="1" ht="12">
      <c r="A300" s="2"/>
      <c r="B300" s="2"/>
      <c r="C300" s="2"/>
      <c r="D300" s="2"/>
      <c r="E300" s="2"/>
      <c r="F300" s="30"/>
      <c r="G300" s="2"/>
      <c r="H300" s="2"/>
      <c r="I300" s="2"/>
      <c r="J300" s="2"/>
      <c r="K300" s="2"/>
      <c r="L300" s="2"/>
      <c r="M300" s="2"/>
    </row>
    <row r="301" spans="1:13" s="4" customFormat="1" ht="12">
      <c r="A301" s="2"/>
      <c r="B301" s="2"/>
      <c r="C301" s="2"/>
      <c r="D301" s="2"/>
      <c r="E301" s="2"/>
      <c r="F301" s="30"/>
      <c r="G301" s="2"/>
      <c r="H301" s="2"/>
      <c r="I301" s="2"/>
      <c r="J301" s="2"/>
      <c r="K301" s="2"/>
      <c r="L301" s="2"/>
      <c r="M301" s="2"/>
    </row>
    <row r="302" spans="1:13" s="4" customFormat="1" ht="12">
      <c r="A302" s="2"/>
      <c r="B302" s="2"/>
      <c r="C302" s="2"/>
      <c r="D302" s="2"/>
      <c r="E302" s="2"/>
      <c r="F302" s="30"/>
      <c r="G302" s="2"/>
      <c r="H302" s="2"/>
      <c r="I302" s="2"/>
      <c r="J302" s="2"/>
      <c r="K302" s="2"/>
      <c r="L302" s="2"/>
      <c r="M302" s="2"/>
    </row>
    <row r="303" spans="1:13" s="4" customFormat="1" ht="12">
      <c r="A303" s="2"/>
      <c r="B303" s="2"/>
      <c r="C303" s="2"/>
      <c r="D303" s="2"/>
      <c r="E303" s="2"/>
      <c r="F303" s="30"/>
      <c r="G303" s="2"/>
      <c r="H303" s="2"/>
      <c r="I303" s="2"/>
      <c r="J303" s="2"/>
      <c r="K303" s="2"/>
      <c r="L303" s="2"/>
      <c r="M303" s="2"/>
    </row>
    <row r="304" spans="1:13" s="4" customFormat="1" ht="12">
      <c r="A304" s="2"/>
      <c r="B304" s="2"/>
      <c r="C304" s="2"/>
      <c r="D304" s="2"/>
      <c r="E304" s="2"/>
      <c r="F304" s="30"/>
      <c r="G304" s="2"/>
      <c r="H304" s="2"/>
      <c r="I304" s="2"/>
      <c r="J304" s="2"/>
      <c r="K304" s="2"/>
      <c r="L304" s="2"/>
      <c r="M304" s="2"/>
    </row>
    <row r="305" spans="1:13" s="4" customFormat="1" ht="12">
      <c r="A305" s="2"/>
      <c r="B305" s="2"/>
      <c r="C305" s="2"/>
      <c r="D305" s="2"/>
      <c r="E305" s="2"/>
      <c r="F305" s="30"/>
      <c r="G305" s="2"/>
      <c r="H305" s="2"/>
      <c r="I305" s="2"/>
      <c r="J305" s="2"/>
      <c r="K305" s="2"/>
      <c r="L305" s="2"/>
      <c r="M305" s="2"/>
    </row>
    <row r="306" spans="1:13" s="4" customFormat="1" ht="12">
      <c r="A306" s="2"/>
      <c r="B306" s="2"/>
      <c r="C306" s="2"/>
      <c r="D306" s="2"/>
      <c r="E306" s="2"/>
      <c r="F306" s="30"/>
      <c r="G306" s="2"/>
      <c r="H306" s="2"/>
      <c r="I306" s="2"/>
      <c r="J306" s="2"/>
      <c r="K306" s="2"/>
      <c r="L306" s="2"/>
      <c r="M306" s="2"/>
    </row>
    <row r="307" spans="1:13" s="4" customFormat="1" ht="12">
      <c r="A307" s="2"/>
      <c r="B307" s="2"/>
      <c r="C307" s="2"/>
      <c r="D307" s="2"/>
      <c r="E307" s="2"/>
      <c r="F307" s="30"/>
      <c r="G307" s="2"/>
      <c r="H307" s="2"/>
      <c r="I307" s="2"/>
      <c r="J307" s="2"/>
      <c r="K307" s="2"/>
      <c r="L307" s="2"/>
      <c r="M307" s="2"/>
    </row>
    <row r="308" spans="1:13" s="4" customFormat="1" ht="12">
      <c r="A308" s="2"/>
      <c r="B308" s="2"/>
      <c r="C308" s="2"/>
      <c r="D308" s="2"/>
      <c r="E308" s="2"/>
      <c r="F308" s="30"/>
      <c r="G308" s="2"/>
      <c r="H308" s="2"/>
      <c r="I308" s="2"/>
      <c r="J308" s="2"/>
      <c r="K308" s="2"/>
      <c r="L308" s="2"/>
      <c r="M308" s="2"/>
    </row>
    <row r="309" spans="1:13" s="4" customFormat="1" ht="12">
      <c r="A309" s="2"/>
      <c r="B309" s="2"/>
      <c r="C309" s="2"/>
      <c r="D309" s="2"/>
      <c r="E309" s="2"/>
      <c r="F309" s="30"/>
      <c r="G309" s="2"/>
      <c r="H309" s="2"/>
      <c r="I309" s="2"/>
      <c r="J309" s="2"/>
      <c r="K309" s="2"/>
      <c r="L309" s="2"/>
      <c r="M309" s="2"/>
    </row>
    <row r="310" spans="1:13" s="4" customFormat="1" ht="12">
      <c r="A310" s="2"/>
      <c r="B310" s="2"/>
      <c r="C310" s="2"/>
      <c r="D310" s="2"/>
      <c r="E310" s="2"/>
      <c r="F310" s="30"/>
      <c r="G310" s="2"/>
      <c r="H310" s="2"/>
      <c r="I310" s="2"/>
      <c r="J310" s="2"/>
      <c r="K310" s="2"/>
      <c r="L310" s="2"/>
      <c r="M310" s="2"/>
    </row>
    <row r="311" spans="1:13" s="4" customFormat="1" ht="12">
      <c r="A311" s="2"/>
      <c r="B311" s="2"/>
      <c r="C311" s="2"/>
      <c r="D311" s="2"/>
      <c r="E311" s="2"/>
      <c r="F311" s="30"/>
      <c r="G311" s="2"/>
      <c r="H311" s="2"/>
      <c r="I311" s="2"/>
      <c r="J311" s="2"/>
      <c r="K311" s="2"/>
      <c r="L311" s="2"/>
      <c r="M311" s="2"/>
    </row>
    <row r="312" spans="1:13" s="4" customFormat="1" ht="12">
      <c r="A312" s="2"/>
      <c r="B312" s="2"/>
      <c r="C312" s="2"/>
      <c r="D312" s="2"/>
      <c r="E312" s="2"/>
      <c r="F312" s="30"/>
      <c r="G312" s="2"/>
      <c r="H312" s="2"/>
      <c r="I312" s="2"/>
      <c r="J312" s="2"/>
      <c r="K312" s="2"/>
      <c r="L312" s="2"/>
      <c r="M312" s="2"/>
    </row>
    <row r="313" spans="1:13" s="4" customFormat="1" ht="12">
      <c r="A313" s="2"/>
      <c r="B313" s="2"/>
      <c r="C313" s="2"/>
      <c r="D313" s="2"/>
      <c r="E313" s="2"/>
      <c r="F313" s="30"/>
      <c r="G313" s="2"/>
      <c r="H313" s="2"/>
      <c r="I313" s="2"/>
      <c r="J313" s="2"/>
      <c r="K313" s="2"/>
      <c r="L313" s="2"/>
      <c r="M313" s="2"/>
    </row>
    <row r="314" spans="1:13" s="4" customFormat="1" ht="12">
      <c r="A314" s="2"/>
      <c r="B314" s="2"/>
      <c r="C314" s="2"/>
      <c r="D314" s="2"/>
      <c r="E314" s="2"/>
      <c r="F314" s="30"/>
      <c r="G314" s="2"/>
      <c r="H314" s="2"/>
      <c r="I314" s="2"/>
      <c r="J314" s="2"/>
      <c r="K314" s="2"/>
      <c r="L314" s="2"/>
      <c r="M314" s="2"/>
    </row>
    <row r="315" spans="1:13" s="4" customFormat="1" ht="12">
      <c r="A315" s="2"/>
      <c r="B315" s="2"/>
      <c r="C315" s="2"/>
      <c r="D315" s="2"/>
      <c r="E315" s="2"/>
      <c r="F315" s="30"/>
      <c r="G315" s="2"/>
      <c r="H315" s="2"/>
      <c r="I315" s="2"/>
      <c r="J315" s="2"/>
      <c r="K315" s="2"/>
      <c r="L315" s="2"/>
      <c r="M315" s="2"/>
    </row>
    <row r="316" spans="1:13" s="4" customFormat="1" ht="12">
      <c r="A316" s="2"/>
      <c r="B316" s="2"/>
      <c r="C316" s="2"/>
      <c r="D316" s="2"/>
      <c r="E316" s="2"/>
      <c r="F316" s="30"/>
      <c r="G316" s="2"/>
      <c r="H316" s="2"/>
      <c r="I316" s="2"/>
      <c r="J316" s="2"/>
      <c r="K316" s="2"/>
      <c r="L316" s="2"/>
      <c r="M316" s="2"/>
    </row>
    <row r="317" spans="1:13" s="4" customFormat="1" ht="12">
      <c r="A317" s="2"/>
      <c r="B317" s="2"/>
      <c r="C317" s="2"/>
      <c r="D317" s="2"/>
      <c r="E317" s="2"/>
      <c r="F317" s="30"/>
      <c r="G317" s="2"/>
      <c r="H317" s="2"/>
      <c r="I317" s="2"/>
      <c r="J317" s="2"/>
      <c r="K317" s="2"/>
      <c r="L317" s="2"/>
      <c r="M317" s="2"/>
    </row>
    <row r="318" spans="1:13" s="4" customFormat="1" ht="12">
      <c r="A318" s="2"/>
      <c r="B318" s="2"/>
      <c r="C318" s="2"/>
      <c r="D318" s="2"/>
      <c r="E318" s="2"/>
      <c r="F318" s="30"/>
      <c r="G318" s="2"/>
      <c r="H318" s="2"/>
      <c r="I318" s="2"/>
      <c r="J318" s="2"/>
      <c r="K318" s="2"/>
      <c r="L318" s="2"/>
      <c r="M318" s="2"/>
    </row>
    <row r="319" spans="1:13" s="4" customFormat="1" ht="12">
      <c r="A319" s="2"/>
      <c r="B319" s="2"/>
      <c r="C319" s="2"/>
      <c r="D319" s="2"/>
      <c r="E319" s="2"/>
      <c r="F319" s="30"/>
      <c r="G319" s="2"/>
      <c r="H319" s="2"/>
      <c r="I319" s="2"/>
      <c r="J319" s="2"/>
      <c r="K319" s="2"/>
      <c r="L319" s="2"/>
      <c r="M319" s="2"/>
    </row>
    <row r="320" spans="1:13" s="4" customFormat="1" ht="12">
      <c r="A320" s="2"/>
      <c r="B320" s="2"/>
      <c r="C320" s="2"/>
      <c r="D320" s="2"/>
      <c r="E320" s="2"/>
      <c r="F320" s="30"/>
      <c r="G320" s="2"/>
      <c r="H320" s="2"/>
      <c r="I320" s="2"/>
      <c r="J320" s="2"/>
      <c r="K320" s="2"/>
      <c r="L320" s="2"/>
      <c r="M320" s="2"/>
    </row>
    <row r="321" spans="1:13" s="4" customFormat="1" ht="12">
      <c r="A321" s="2"/>
      <c r="B321" s="2"/>
      <c r="C321" s="2"/>
      <c r="D321" s="2"/>
      <c r="E321" s="2"/>
      <c r="F321" s="30"/>
      <c r="G321" s="2"/>
      <c r="H321" s="2"/>
      <c r="I321" s="2"/>
      <c r="J321" s="2"/>
      <c r="K321" s="2"/>
      <c r="L321" s="2"/>
      <c r="M321" s="2"/>
    </row>
    <row r="322" spans="1:13" s="4" customFormat="1" ht="12">
      <c r="A322" s="2"/>
      <c r="B322" s="2"/>
      <c r="C322" s="2"/>
      <c r="D322" s="2"/>
      <c r="E322" s="2"/>
      <c r="F322" s="30"/>
      <c r="G322" s="2"/>
      <c r="H322" s="2"/>
      <c r="I322" s="2"/>
      <c r="J322" s="2"/>
      <c r="K322" s="2"/>
      <c r="L322" s="2"/>
      <c r="M322" s="2"/>
    </row>
    <row r="323" spans="1:13" s="4" customFormat="1" ht="12">
      <c r="A323" s="2"/>
      <c r="B323" s="2"/>
      <c r="C323" s="2"/>
      <c r="D323" s="2"/>
      <c r="E323" s="2"/>
      <c r="F323" s="30"/>
      <c r="G323" s="2"/>
      <c r="H323" s="2"/>
      <c r="I323" s="2"/>
      <c r="J323" s="2"/>
      <c r="K323" s="2"/>
      <c r="L323" s="2"/>
      <c r="M323" s="2"/>
    </row>
    <row r="324" spans="1:13" s="4" customFormat="1" ht="12">
      <c r="A324" s="2"/>
      <c r="B324" s="2"/>
      <c r="C324" s="2"/>
      <c r="D324" s="2"/>
      <c r="E324" s="2"/>
      <c r="F324" s="30"/>
      <c r="G324" s="2"/>
      <c r="H324" s="2"/>
      <c r="I324" s="2"/>
      <c r="J324" s="2"/>
      <c r="K324" s="2"/>
      <c r="L324" s="2"/>
      <c r="M324" s="2"/>
    </row>
    <row r="325" spans="1:13" s="4" customFormat="1" ht="12">
      <c r="A325" s="2"/>
      <c r="B325" s="2"/>
      <c r="C325" s="2"/>
      <c r="D325" s="2"/>
      <c r="E325" s="2"/>
      <c r="F325" s="30"/>
      <c r="G325" s="2"/>
      <c r="H325" s="2"/>
      <c r="I325" s="2"/>
      <c r="J325" s="2"/>
      <c r="K325" s="2"/>
      <c r="L325" s="2"/>
      <c r="M325" s="2"/>
    </row>
    <row r="326" spans="1:13" s="4" customFormat="1" ht="12">
      <c r="A326" s="2"/>
      <c r="B326" s="2"/>
      <c r="C326" s="2"/>
      <c r="D326" s="2"/>
      <c r="E326" s="2"/>
      <c r="F326" s="30"/>
      <c r="G326" s="2"/>
      <c r="H326" s="2"/>
      <c r="I326" s="2"/>
      <c r="J326" s="2"/>
      <c r="K326" s="2"/>
      <c r="L326" s="2"/>
      <c r="M326" s="2"/>
    </row>
    <row r="327" spans="1:13" s="4" customFormat="1" ht="12">
      <c r="A327" s="2"/>
      <c r="B327" s="2"/>
      <c r="C327" s="2"/>
      <c r="D327" s="2"/>
      <c r="E327" s="2"/>
      <c r="F327" s="30"/>
      <c r="G327" s="2"/>
      <c r="H327" s="2"/>
      <c r="I327" s="2"/>
      <c r="J327" s="2"/>
      <c r="K327" s="2"/>
      <c r="L327" s="2"/>
      <c r="M327" s="2"/>
    </row>
    <row r="328" spans="1:13" s="4" customFormat="1" ht="12">
      <c r="A328" s="2"/>
      <c r="B328" s="2"/>
      <c r="C328" s="2"/>
      <c r="D328" s="2"/>
      <c r="E328" s="2"/>
      <c r="F328" s="30"/>
      <c r="G328" s="2"/>
      <c r="H328" s="2"/>
      <c r="I328" s="2"/>
      <c r="J328" s="2"/>
      <c r="K328" s="2"/>
      <c r="L328" s="2"/>
      <c r="M328" s="2"/>
    </row>
    <row r="329" spans="1:13" s="4" customFormat="1" ht="12">
      <c r="A329" s="2"/>
      <c r="B329" s="2"/>
      <c r="C329" s="2"/>
      <c r="D329" s="2"/>
      <c r="E329" s="2"/>
      <c r="F329" s="30"/>
      <c r="G329" s="2"/>
      <c r="H329" s="2"/>
      <c r="I329" s="2"/>
      <c r="J329" s="2"/>
      <c r="K329" s="2"/>
      <c r="L329" s="2"/>
      <c r="M329" s="2"/>
    </row>
    <row r="330" spans="1:13" s="4" customFormat="1" ht="12">
      <c r="A330" s="2"/>
      <c r="B330" s="2"/>
      <c r="C330" s="2"/>
      <c r="D330" s="2"/>
      <c r="E330" s="2"/>
      <c r="F330" s="30"/>
      <c r="G330" s="2"/>
      <c r="H330" s="2"/>
      <c r="I330" s="2"/>
      <c r="J330" s="2"/>
      <c r="K330" s="2"/>
      <c r="L330" s="2"/>
      <c r="M330" s="2"/>
    </row>
    <row r="331" spans="1:13" s="4" customFormat="1" ht="12">
      <c r="A331" s="2"/>
      <c r="B331" s="2"/>
      <c r="C331" s="2"/>
      <c r="D331" s="2"/>
      <c r="E331" s="2"/>
      <c r="F331" s="30"/>
      <c r="G331" s="2"/>
      <c r="H331" s="2"/>
      <c r="I331" s="2"/>
      <c r="J331" s="2"/>
      <c r="K331" s="2"/>
      <c r="L331" s="2"/>
      <c r="M331" s="2"/>
    </row>
    <row r="332" spans="1:13" s="4" customFormat="1" ht="12">
      <c r="A332" s="2"/>
      <c r="B332" s="2"/>
      <c r="C332" s="2"/>
      <c r="D332" s="2"/>
      <c r="E332" s="2"/>
      <c r="F332" s="30"/>
      <c r="G332" s="2"/>
      <c r="H332" s="2"/>
      <c r="I332" s="2"/>
      <c r="J332" s="2"/>
      <c r="K332" s="2"/>
      <c r="L332" s="2"/>
      <c r="M332" s="2"/>
    </row>
  </sheetData>
  <pageMargins left="0.7" right="0.7" top="0.75" bottom="0.75" header="0.3" footer="0.3"/>
  <pageSetup horizontalDpi="300" verticalDpi="300" orientation="portrait" r:id="rId1"/>
  <headerFooter>
    <oddFooter>&amp;L&amp;"Times New Roman,Regular"&amp;9O3129680.v1</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L264"/>
  <sheetViews>
    <sheetView workbookViewId="0" topLeftCell="A1"/>
  </sheetViews>
  <sheetFormatPr defaultColWidth="10.85546875" defaultRowHeight="12"/>
  <cols>
    <col min="1" max="1" width="5" style="2" customWidth="1"/>
    <col min="2" max="2" width="28.8571428571429" style="2" customWidth="1"/>
    <col min="3" max="5" width="11.7142857142857" style="2" customWidth="1"/>
    <col min="6" max="6" width="10.4285714285714" style="2" customWidth="1"/>
    <col min="7" max="7" width="13" style="2" customWidth="1"/>
    <col min="8" max="8" width="10.8571428571429" style="54"/>
    <col min="9" max="9" width="10.8571428571429" style="2"/>
    <col min="10" max="16384" width="10.8571428571429" style="54"/>
  </cols>
  <sheetData>
    <row r="1" spans="1:7" ht="12">
      <c r="A1" s="1" t="s">
        <v>88</v>
      </c>
      <c r="B1" s="1"/>
      <c r="D1" s="3"/>
      <c r="G1" s="490" t="s">
        <v>1</v>
      </c>
    </row>
    <row r="2" spans="1:7" ht="12">
      <c r="A2" s="1" t="s">
        <v>114</v>
      </c>
      <c r="B2" s="1"/>
      <c r="C2" s="3"/>
      <c r="D2" s="3"/>
      <c r="G2" s="487" t="s">
        <v>89</v>
      </c>
    </row>
    <row r="3" spans="1:7" ht="12" customHeight="1">
      <c r="A3" s="1" t="s">
        <v>111</v>
      </c>
      <c r="B3" s="9"/>
      <c r="C3" s="733"/>
      <c r="D3" s="733"/>
      <c r="G3" s="490" t="s">
        <v>4</v>
      </c>
    </row>
    <row r="4" spans="1:7" ht="12" customHeight="1">
      <c r="A4" s="386" t="s">
        <v>586</v>
      </c>
      <c r="B4" s="9"/>
      <c r="C4" s="733"/>
      <c r="D4" s="733"/>
      <c r="G4" s="490" t="s">
        <v>112</v>
      </c>
    </row>
    <row r="5" spans="1:7" ht="12" customHeight="1">
      <c r="A5" s="1" t="s">
        <v>113</v>
      </c>
      <c r="B5" s="1"/>
      <c r="C5" s="75"/>
      <c r="D5" s="75"/>
      <c r="G5" s="490"/>
    </row>
    <row r="6" spans="1:9" ht="12" customHeight="1" thickBot="1">
      <c r="A6" s="8" t="s">
        <v>5</v>
      </c>
      <c r="B6" s="9"/>
      <c r="C6" s="83"/>
      <c r="D6" s="83"/>
      <c r="G6" s="490" t="s">
        <v>90</v>
      </c>
      <c r="I6" s="10"/>
    </row>
    <row r="7" spans="1:9" s="59" customFormat="1" ht="12">
      <c r="A7" s="56"/>
      <c r="B7" s="57" t="s">
        <v>7</v>
      </c>
      <c r="C7" s="58">
        <f>+B7-1</f>
        <v>-2</v>
      </c>
      <c r="D7" s="58">
        <f t="shared" si="0" ref="D7:G7">C7-1</f>
        <v>-3</v>
      </c>
      <c r="E7" s="58">
        <f t="shared" si="0"/>
        <v>-4</v>
      </c>
      <c r="F7" s="58">
        <f t="shared" si="0"/>
        <v>-5</v>
      </c>
      <c r="G7" s="58">
        <f t="shared" si="0"/>
        <v>-6</v>
      </c>
      <c r="I7" s="16"/>
    </row>
    <row r="8" spans="1:9" ht="12">
      <c r="A8" s="19" t="s">
        <v>91</v>
      </c>
      <c r="B8" s="60" t="s">
        <v>92</v>
      </c>
      <c r="C8" s="20" t="s">
        <v>93</v>
      </c>
      <c r="D8" s="488" t="s">
        <v>105</v>
      </c>
      <c r="E8" s="21" t="s">
        <v>10</v>
      </c>
      <c r="F8" s="19" t="s">
        <v>11</v>
      </c>
      <c r="G8" s="21" t="s">
        <v>11</v>
      </c>
      <c r="I8" s="21" t="s">
        <v>116</v>
      </c>
    </row>
    <row r="9" spans="1:9" ht="12">
      <c r="A9" s="24" t="s">
        <v>94</v>
      </c>
      <c r="B9" s="24" t="s">
        <v>12</v>
      </c>
      <c r="C9" s="25" t="s">
        <v>95</v>
      </c>
      <c r="D9" s="25" t="s">
        <v>8</v>
      </c>
      <c r="E9" s="26" t="s">
        <v>14</v>
      </c>
      <c r="F9" s="24" t="s">
        <v>15</v>
      </c>
      <c r="G9" s="25" t="s">
        <v>16</v>
      </c>
      <c r="I9" s="25" t="s">
        <v>117</v>
      </c>
    </row>
    <row r="10" spans="1:7" ht="12">
      <c r="A10" s="28">
        <v>1</v>
      </c>
      <c r="B10" s="1" t="s">
        <v>17</v>
      </c>
      <c r="C10" s="61"/>
      <c r="D10" s="29"/>
      <c r="E10" s="29"/>
      <c r="F10" s="62"/>
      <c r="G10" s="29"/>
    </row>
    <row r="11" spans="1:7" ht="12">
      <c r="A11" s="28">
        <f>A10+1</f>
        <v>2</v>
      </c>
      <c r="B11" s="2" t="s">
        <v>18</v>
      </c>
      <c r="C11" s="63"/>
      <c r="D11" s="63"/>
      <c r="E11" s="63"/>
      <c r="F11" s="71" t="str">
        <f>IF('SAND A 6'!F13=0,"",'SAND A 6'!F13)</f>
        <v/>
      </c>
      <c r="G11" s="29">
        <f>IF(F11="",0,ROUND(E11*F11,0))</f>
        <v>0</v>
      </c>
    </row>
    <row r="12" spans="1:7" ht="12">
      <c r="A12" s="28">
        <f t="shared" si="1" ref="A12:A60">A11+1</f>
        <v>3</v>
      </c>
      <c r="B12" s="2" t="s">
        <v>19</v>
      </c>
      <c r="C12" s="65"/>
      <c r="D12" s="29"/>
      <c r="E12" s="29"/>
      <c r="F12" s="71" t="str">
        <f>IF('SAND A 6'!F14=0,"",'SAND A 6'!F14)</f>
        <v/>
      </c>
      <c r="G12" s="29">
        <f>IF(F12="",0,ROUND(E12*F12,0))</f>
        <v>0</v>
      </c>
    </row>
    <row r="13" spans="1:11" ht="12">
      <c r="A13" s="28">
        <f t="shared" si="1"/>
        <v>4</v>
      </c>
      <c r="B13" s="2" t="s">
        <v>20</v>
      </c>
      <c r="C13" s="65">
        <f>-'SAND TB'!P63</f>
        <v>1435336.2500000002</v>
      </c>
      <c r="D13" s="697">
        <v>-709847</v>
      </c>
      <c r="E13" s="39">
        <f>C13+D13</f>
        <v>725489.25000000023</v>
      </c>
      <c r="F13" s="30">
        <f>1-51.62%</f>
        <v>0.48380000000000001</v>
      </c>
      <c r="G13" s="39">
        <f>IF(F13="",0,ROUND(E13*F13,0))</f>
        <v>350992</v>
      </c>
      <c r="I13" s="639" t="s">
        <v>573</v>
      </c>
      <c r="J13" s="650"/>
      <c r="K13" s="650"/>
    </row>
    <row r="14" spans="1:7" ht="12">
      <c r="A14" s="28">
        <f t="shared" si="1"/>
        <v>5</v>
      </c>
      <c r="B14" s="1" t="s">
        <v>21</v>
      </c>
      <c r="C14" s="65"/>
      <c r="D14" s="29"/>
      <c r="E14" s="29"/>
      <c r="F14" s="71"/>
      <c r="G14" s="29"/>
    </row>
    <row r="15" spans="1:7" ht="12">
      <c r="A15" s="28">
        <f t="shared" si="1"/>
        <v>6</v>
      </c>
      <c r="B15" s="2" t="s">
        <v>22</v>
      </c>
      <c r="C15" s="65"/>
      <c r="D15" s="29"/>
      <c r="E15" s="29"/>
      <c r="F15" s="71"/>
      <c r="G15" s="29"/>
    </row>
    <row r="16" spans="1:7" ht="12">
      <c r="A16" s="28">
        <f t="shared" si="1"/>
        <v>7</v>
      </c>
      <c r="B16" s="2" t="s">
        <v>23</v>
      </c>
      <c r="C16" s="65"/>
      <c r="D16" s="29"/>
      <c r="E16" s="29"/>
      <c r="F16" s="71"/>
      <c r="G16" s="29"/>
    </row>
    <row r="17" spans="1:7" ht="12">
      <c r="A17" s="28">
        <f t="shared" si="1"/>
        <v>8</v>
      </c>
      <c r="B17" s="36" t="s">
        <v>24</v>
      </c>
      <c r="C17" s="65"/>
      <c r="D17" s="29"/>
      <c r="E17" s="29"/>
      <c r="F17" s="71"/>
      <c r="G17" s="29"/>
    </row>
    <row r="18" spans="1:7" ht="12">
      <c r="A18" s="28">
        <f t="shared" si="1"/>
        <v>9</v>
      </c>
      <c r="B18" s="2" t="s">
        <v>25</v>
      </c>
      <c r="C18" s="65"/>
      <c r="D18" s="29"/>
      <c r="E18" s="29"/>
      <c r="F18" s="71"/>
      <c r="G18" s="29"/>
    </row>
    <row r="19" spans="1:7" ht="12">
      <c r="A19" s="28">
        <f t="shared" si="1"/>
        <v>10</v>
      </c>
      <c r="B19" s="2" t="s">
        <v>26</v>
      </c>
      <c r="C19" s="65"/>
      <c r="D19" s="29"/>
      <c r="E19" s="29"/>
      <c r="F19" s="71"/>
      <c r="G19" s="29"/>
    </row>
    <row r="20" spans="1:7" ht="12">
      <c r="A20" s="28">
        <f t="shared" si="1"/>
        <v>11</v>
      </c>
      <c r="B20" s="2" t="s">
        <v>27</v>
      </c>
      <c r="C20" s="65"/>
      <c r="D20" s="29"/>
      <c r="E20" s="29"/>
      <c r="F20" s="71"/>
      <c r="G20" s="29"/>
    </row>
    <row r="21" spans="1:7" ht="12">
      <c r="A21" s="28">
        <f t="shared" si="1"/>
        <v>12</v>
      </c>
      <c r="B21" s="2" t="s">
        <v>28</v>
      </c>
      <c r="C21" s="65"/>
      <c r="D21" s="29"/>
      <c r="E21" s="29"/>
      <c r="F21" s="71"/>
      <c r="G21" s="29"/>
    </row>
    <row r="22" spans="1:7" ht="12">
      <c r="A22" s="28">
        <f t="shared" si="1"/>
        <v>13</v>
      </c>
      <c r="B22" s="2" t="s">
        <v>29</v>
      </c>
      <c r="C22" s="65"/>
      <c r="D22" s="29"/>
      <c r="E22" s="29"/>
      <c r="F22" s="71"/>
      <c r="G22" s="29"/>
    </row>
    <row r="23" spans="1:7" ht="12">
      <c r="A23" s="28">
        <f t="shared" si="1"/>
        <v>14</v>
      </c>
      <c r="B23" s="2" t="s">
        <v>30</v>
      </c>
      <c r="C23" s="65"/>
      <c r="D23" s="29"/>
      <c r="E23" s="29"/>
      <c r="F23" s="71"/>
      <c r="G23" s="29"/>
    </row>
    <row r="24" spans="1:7" ht="12">
      <c r="A24" s="28">
        <f t="shared" si="1"/>
        <v>15</v>
      </c>
      <c r="B24" s="2" t="s">
        <v>31</v>
      </c>
      <c r="C24" s="65"/>
      <c r="D24" s="29"/>
      <c r="E24" s="29"/>
      <c r="F24" s="71"/>
      <c r="G24" s="29"/>
    </row>
    <row r="25" spans="1:7" ht="12">
      <c r="A25" s="28">
        <f t="shared" si="1"/>
        <v>16</v>
      </c>
      <c r="B25" s="1" t="s">
        <v>32</v>
      </c>
      <c r="C25" s="65"/>
      <c r="D25" s="29"/>
      <c r="E25" s="29"/>
      <c r="F25" s="71"/>
      <c r="G25" s="29"/>
    </row>
    <row r="26" spans="1:7" ht="12">
      <c r="A26" s="28">
        <f t="shared" si="1"/>
        <v>17</v>
      </c>
      <c r="B26" s="2" t="s">
        <v>33</v>
      </c>
      <c r="C26" s="65"/>
      <c r="D26" s="29"/>
      <c r="E26" s="29"/>
      <c r="F26" s="71"/>
      <c r="G26" s="29"/>
    </row>
    <row r="27" spans="1:7" ht="12">
      <c r="A27" s="28">
        <f t="shared" si="1"/>
        <v>18</v>
      </c>
      <c r="B27" s="2" t="s">
        <v>34</v>
      </c>
      <c r="C27" s="65"/>
      <c r="D27" s="29"/>
      <c r="E27" s="29"/>
      <c r="F27" s="71"/>
      <c r="G27" s="29"/>
    </row>
    <row r="28" spans="1:7" ht="12">
      <c r="A28" s="28">
        <f t="shared" si="1"/>
        <v>19</v>
      </c>
      <c r="B28" s="2" t="s">
        <v>35</v>
      </c>
      <c r="C28" s="65"/>
      <c r="D28" s="29"/>
      <c r="E28" s="29"/>
      <c r="F28" s="71"/>
      <c r="G28" s="29"/>
    </row>
    <row r="29" spans="1:12" ht="12">
      <c r="A29" s="28">
        <f t="shared" si="1"/>
        <v>20</v>
      </c>
      <c r="B29" s="2" t="s">
        <v>36</v>
      </c>
      <c r="C29" s="65"/>
      <c r="D29" s="29"/>
      <c r="E29" s="29"/>
      <c r="F29" s="71"/>
      <c r="G29" s="29"/>
      <c r="J29" s="66" t="e">
        <f>C29-#REF!</f>
        <v>#REF!</v>
      </c>
      <c r="K29" s="54">
        <f>726*12/2</f>
        <v>4356</v>
      </c>
      <c r="L29" s="66" t="e">
        <f>J29-K29</f>
        <v>#REF!</v>
      </c>
    </row>
    <row r="30" spans="1:7" ht="12">
      <c r="A30" s="28">
        <f t="shared" si="1"/>
        <v>21</v>
      </c>
      <c r="B30" s="2" t="s">
        <v>37</v>
      </c>
      <c r="C30" s="65"/>
      <c r="D30" s="29"/>
      <c r="E30" s="29"/>
      <c r="F30" s="71"/>
      <c r="G30" s="29"/>
    </row>
    <row r="31" spans="1:7" ht="12">
      <c r="A31" s="28">
        <f t="shared" si="1"/>
        <v>22</v>
      </c>
      <c r="B31" s="1" t="s">
        <v>38</v>
      </c>
      <c r="C31" s="65"/>
      <c r="D31" s="29"/>
      <c r="E31" s="29"/>
      <c r="F31" s="71"/>
      <c r="G31" s="29"/>
    </row>
    <row r="32" spans="1:7" ht="12">
      <c r="A32" s="28">
        <f t="shared" si="1"/>
        <v>23</v>
      </c>
      <c r="B32" s="2" t="s">
        <v>39</v>
      </c>
      <c r="C32" s="65"/>
      <c r="D32" s="29"/>
      <c r="E32" s="29"/>
      <c r="F32" s="71"/>
      <c r="G32" s="29"/>
    </row>
    <row r="33" spans="1:9" ht="12">
      <c r="A33" s="28">
        <f t="shared" si="1"/>
        <v>24</v>
      </c>
      <c r="B33" s="2" t="s">
        <v>40</v>
      </c>
      <c r="C33" s="65"/>
      <c r="D33" s="29"/>
      <c r="E33" s="29"/>
      <c r="F33" s="71"/>
      <c r="G33" s="29"/>
      <c r="I33" s="84"/>
    </row>
    <row r="34" spans="1:9" ht="12">
      <c r="A34" s="28">
        <f t="shared" si="1"/>
        <v>25</v>
      </c>
      <c r="B34" s="36" t="s">
        <v>118</v>
      </c>
      <c r="C34" s="65"/>
      <c r="D34" s="29"/>
      <c r="E34" s="29"/>
      <c r="F34" s="71"/>
      <c r="G34" s="29"/>
      <c r="I34" s="84"/>
    </row>
    <row r="35" spans="1:9" ht="12">
      <c r="A35" s="28">
        <f t="shared" si="1"/>
        <v>26</v>
      </c>
      <c r="B35" s="2" t="s">
        <v>42</v>
      </c>
      <c r="C35" s="65"/>
      <c r="D35" s="29"/>
      <c r="E35" s="29"/>
      <c r="F35" s="71"/>
      <c r="G35" s="29"/>
      <c r="I35" s="84"/>
    </row>
    <row r="36" spans="1:9" ht="12">
      <c r="A36" s="28">
        <f t="shared" si="1"/>
        <v>27</v>
      </c>
      <c r="B36" s="2" t="s">
        <v>43</v>
      </c>
      <c r="C36" s="65"/>
      <c r="D36" s="29"/>
      <c r="E36" s="29"/>
      <c r="F36" s="71"/>
      <c r="G36" s="29"/>
      <c r="I36" s="84"/>
    </row>
    <row r="37" spans="1:9" ht="12">
      <c r="A37" s="28">
        <f t="shared" si="1"/>
        <v>28</v>
      </c>
      <c r="B37" s="2" t="s">
        <v>44</v>
      </c>
      <c r="C37" s="65"/>
      <c r="D37" s="29"/>
      <c r="E37" s="29"/>
      <c r="F37" s="71"/>
      <c r="G37" s="29"/>
      <c r="I37" s="84"/>
    </row>
    <row r="38" spans="1:9" ht="12">
      <c r="A38" s="28">
        <f t="shared" si="1"/>
        <v>29</v>
      </c>
      <c r="B38" s="2" t="s">
        <v>45</v>
      </c>
      <c r="C38" s="65"/>
      <c r="D38" s="29"/>
      <c r="E38" s="29"/>
      <c r="F38" s="71"/>
      <c r="G38" s="29"/>
      <c r="I38" s="84"/>
    </row>
    <row r="39" spans="1:7" ht="12">
      <c r="A39" s="28">
        <f t="shared" si="1"/>
        <v>30</v>
      </c>
      <c r="B39" s="1" t="s">
        <v>46</v>
      </c>
      <c r="C39" s="65"/>
      <c r="D39" s="29"/>
      <c r="E39" s="29"/>
      <c r="F39" s="71"/>
      <c r="G39" s="29"/>
    </row>
    <row r="40" spans="1:9" ht="12">
      <c r="A40" s="28">
        <f t="shared" si="1"/>
        <v>31</v>
      </c>
      <c r="B40" s="37" t="s">
        <v>119</v>
      </c>
      <c r="C40" s="65"/>
      <c r="D40" s="29"/>
      <c r="E40" s="29"/>
      <c r="F40" s="71"/>
      <c r="G40" s="29"/>
      <c r="I40" s="84"/>
    </row>
    <row r="41" spans="1:7" ht="12">
      <c r="A41" s="28">
        <f t="shared" si="1"/>
        <v>32</v>
      </c>
      <c r="B41" s="36" t="s">
        <v>49</v>
      </c>
      <c r="C41" s="65"/>
      <c r="D41" s="29"/>
      <c r="E41" s="29"/>
      <c r="F41" s="71"/>
      <c r="G41" s="29"/>
    </row>
    <row r="42" spans="1:7" ht="12">
      <c r="A42" s="28">
        <f t="shared" si="1"/>
        <v>33</v>
      </c>
      <c r="B42" s="36" t="s">
        <v>50</v>
      </c>
      <c r="C42" s="65"/>
      <c r="D42" s="29"/>
      <c r="E42" s="29"/>
      <c r="F42" s="71"/>
      <c r="G42" s="29"/>
    </row>
    <row r="43" spans="1:9" ht="12">
      <c r="A43" s="28">
        <f t="shared" si="1"/>
        <v>34</v>
      </c>
      <c r="B43" s="37" t="s">
        <v>51</v>
      </c>
      <c r="C43" s="65"/>
      <c r="D43" s="29"/>
      <c r="E43" s="29"/>
      <c r="F43" s="71"/>
      <c r="G43" s="29"/>
      <c r="I43" s="84"/>
    </row>
    <row r="44" spans="1:9" ht="12">
      <c r="A44" s="28">
        <f t="shared" si="1"/>
        <v>35</v>
      </c>
      <c r="B44" s="37" t="s">
        <v>98</v>
      </c>
      <c r="C44" s="65"/>
      <c r="D44" s="29"/>
      <c r="E44" s="29"/>
      <c r="F44" s="71"/>
      <c r="G44" s="29"/>
      <c r="I44" s="84"/>
    </row>
    <row r="45" spans="1:9" ht="12">
      <c r="A45" s="28">
        <f t="shared" si="1"/>
        <v>36</v>
      </c>
      <c r="B45" s="81" t="s">
        <v>110</v>
      </c>
      <c r="C45" s="65"/>
      <c r="D45" s="29"/>
      <c r="E45" s="29"/>
      <c r="F45" s="71"/>
      <c r="G45" s="29"/>
      <c r="I45" s="84"/>
    </row>
    <row r="46" spans="1:7" ht="12">
      <c r="A46" s="28">
        <f t="shared" si="1"/>
        <v>37</v>
      </c>
      <c r="B46" s="37" t="s">
        <v>55</v>
      </c>
      <c r="C46" s="65"/>
      <c r="D46" s="29"/>
      <c r="E46" s="29"/>
      <c r="F46" s="71"/>
      <c r="G46" s="29"/>
    </row>
    <row r="47" spans="1:7" ht="12">
      <c r="A47" s="28">
        <f t="shared" si="1"/>
        <v>38</v>
      </c>
      <c r="B47" s="37" t="s">
        <v>56</v>
      </c>
      <c r="C47" s="65"/>
      <c r="D47" s="29"/>
      <c r="E47" s="29"/>
      <c r="F47" s="71"/>
      <c r="G47" s="29"/>
    </row>
    <row r="48" spans="1:7" ht="12">
      <c r="A48" s="28">
        <f t="shared" si="1"/>
        <v>39</v>
      </c>
      <c r="B48" s="37" t="s">
        <v>57</v>
      </c>
      <c r="C48" s="65"/>
      <c r="D48" s="29"/>
      <c r="E48" s="29"/>
      <c r="F48" s="71"/>
      <c r="G48" s="29"/>
    </row>
    <row r="49" spans="1:7" ht="12">
      <c r="A49" s="28">
        <f t="shared" si="1"/>
        <v>40</v>
      </c>
      <c r="B49" s="1" t="s">
        <v>58</v>
      </c>
      <c r="C49" s="65"/>
      <c r="D49" s="29"/>
      <c r="E49" s="29"/>
      <c r="F49" s="71"/>
      <c r="G49" s="29"/>
    </row>
    <row r="50" spans="1:7" ht="12">
      <c r="A50" s="28">
        <f t="shared" si="1"/>
        <v>41</v>
      </c>
      <c r="B50" s="37" t="s">
        <v>59</v>
      </c>
      <c r="C50" s="65"/>
      <c r="D50" s="29"/>
      <c r="E50" s="29"/>
      <c r="F50" s="71"/>
      <c r="G50" s="29"/>
    </row>
    <row r="51" spans="1:7" ht="12">
      <c r="A51" s="28">
        <f t="shared" si="1"/>
        <v>42</v>
      </c>
      <c r="B51" s="37" t="s">
        <v>60</v>
      </c>
      <c r="C51" s="65"/>
      <c r="D51" s="34"/>
      <c r="E51" s="29"/>
      <c r="F51" s="71"/>
      <c r="G51" s="29"/>
    </row>
    <row r="52" spans="1:7" ht="12">
      <c r="A52" s="28">
        <f t="shared" si="1"/>
        <v>43</v>
      </c>
      <c r="B52" s="37" t="s">
        <v>62</v>
      </c>
      <c r="C52" s="65"/>
      <c r="D52" s="34"/>
      <c r="E52" s="29"/>
      <c r="F52" s="71"/>
      <c r="G52" s="29"/>
    </row>
    <row r="53" spans="1:7" ht="12">
      <c r="A53" s="28">
        <f t="shared" si="1"/>
        <v>44</v>
      </c>
      <c r="B53" s="37" t="s">
        <v>63</v>
      </c>
      <c r="C53" s="65"/>
      <c r="D53" s="34"/>
      <c r="E53" s="29"/>
      <c r="F53" s="71"/>
      <c r="G53" s="29"/>
    </row>
    <row r="54" spans="1:7" ht="12">
      <c r="A54" s="28">
        <f t="shared" si="1"/>
        <v>45</v>
      </c>
      <c r="B54" s="37" t="s">
        <v>65</v>
      </c>
      <c r="C54" s="65"/>
      <c r="D54" s="29"/>
      <c r="E54" s="29"/>
      <c r="F54" s="71"/>
      <c r="G54" s="29"/>
    </row>
    <row r="55" spans="1:7" ht="12">
      <c r="A55" s="28">
        <f t="shared" si="1"/>
        <v>46</v>
      </c>
      <c r="B55" s="67" t="s">
        <v>66</v>
      </c>
      <c r="C55" s="65"/>
      <c r="D55" s="29"/>
      <c r="E55" s="29"/>
      <c r="F55" s="71"/>
      <c r="G55" s="29"/>
    </row>
    <row r="56" spans="1:9" ht="12">
      <c r="A56" s="28">
        <f t="shared" si="1"/>
        <v>47</v>
      </c>
      <c r="B56" s="37" t="s">
        <v>100</v>
      </c>
      <c r="C56" s="65"/>
      <c r="D56" s="29"/>
      <c r="E56" s="29"/>
      <c r="F56" s="71"/>
      <c r="G56" s="29"/>
      <c r="I56" s="8"/>
    </row>
    <row r="57" spans="1:9" ht="12">
      <c r="A57" s="28">
        <f t="shared" si="1"/>
        <v>48</v>
      </c>
      <c r="B57" s="37" t="s">
        <v>68</v>
      </c>
      <c r="C57" s="65"/>
      <c r="D57" s="29"/>
      <c r="E57" s="29"/>
      <c r="F57" s="71"/>
      <c r="G57" s="29"/>
      <c r="I57" s="8"/>
    </row>
    <row r="58" spans="1:9" ht="12">
      <c r="A58" s="28">
        <f t="shared" si="1"/>
        <v>49</v>
      </c>
      <c r="B58" s="37" t="s">
        <v>69</v>
      </c>
      <c r="C58" s="65"/>
      <c r="D58" s="29"/>
      <c r="E58" s="29"/>
      <c r="F58" s="71"/>
      <c r="G58" s="29"/>
      <c r="I58" s="8"/>
    </row>
    <row r="59" spans="1:9" ht="12">
      <c r="A59" s="28">
        <f t="shared" si="1"/>
        <v>50</v>
      </c>
      <c r="B59" s="36" t="s">
        <v>107</v>
      </c>
      <c r="C59" s="65"/>
      <c r="D59" s="29"/>
      <c r="E59" s="29"/>
      <c r="F59" s="71"/>
      <c r="G59" s="29"/>
      <c r="I59" s="8"/>
    </row>
    <row r="60" spans="1:9" ht="12">
      <c r="A60" s="28">
        <f t="shared" si="1"/>
        <v>51</v>
      </c>
      <c r="B60" s="35" t="s">
        <v>71</v>
      </c>
      <c r="C60" s="85">
        <f>SUM(C11:C59)</f>
        <v>1435336.2500000002</v>
      </c>
      <c r="D60" s="85">
        <f>SUM(D11:D59)</f>
        <v>-709847</v>
      </c>
      <c r="E60" s="85">
        <f>SUM(E11:E59)</f>
        <v>725489.25000000023</v>
      </c>
      <c r="F60" s="645"/>
      <c r="G60" s="85">
        <f>SUM(G11:G59)</f>
        <v>350992</v>
      </c>
      <c r="I60" s="82"/>
    </row>
    <row r="63" ht="12">
      <c r="B63" s="1" t="s">
        <v>120</v>
      </c>
    </row>
    <row r="65" ht="12">
      <c r="B65" s="222" t="s">
        <v>189</v>
      </c>
    </row>
    <row r="90" spans="1:2" ht="12">
      <c r="A90" s="53"/>
      <c r="B90" s="53"/>
    </row>
    <row r="91" spans="1:2" ht="12">
      <c r="A91" s="53"/>
      <c r="B91" s="53"/>
    </row>
    <row r="92" spans="1:2" ht="12">
      <c r="A92" s="53"/>
      <c r="B92" s="53"/>
    </row>
    <row r="93" spans="1:2" ht="12">
      <c r="A93" s="53"/>
      <c r="B93" s="53"/>
    </row>
    <row r="94" spans="1:2" ht="12">
      <c r="A94" s="53"/>
      <c r="B94" s="53"/>
    </row>
    <row r="124" spans="1:2" ht="12">
      <c r="A124" s="53"/>
      <c r="B124" s="53"/>
    </row>
    <row r="193" ht="12">
      <c r="A193" s="1"/>
    </row>
    <row r="210" ht="12">
      <c r="A210" s="53"/>
    </row>
    <row r="211" ht="12">
      <c r="A211" s="53"/>
    </row>
    <row r="212" ht="12">
      <c r="A212" s="53"/>
    </row>
    <row r="213" ht="12">
      <c r="A213" s="53"/>
    </row>
    <row r="214" ht="12">
      <c r="A214" s="53"/>
    </row>
    <row r="215" ht="12">
      <c r="A215" s="53"/>
    </row>
    <row r="216" ht="12">
      <c r="A216" s="53"/>
    </row>
    <row r="217" ht="12">
      <c r="A217" s="53"/>
    </row>
    <row r="218" ht="12">
      <c r="A218" s="53"/>
    </row>
    <row r="219" ht="12">
      <c r="A219" s="53"/>
    </row>
    <row r="220" ht="12">
      <c r="A220" s="53"/>
    </row>
    <row r="221" ht="12">
      <c r="A221" s="53"/>
    </row>
    <row r="222" ht="12">
      <c r="A222" s="53"/>
    </row>
    <row r="223" ht="12">
      <c r="A223" s="53"/>
    </row>
    <row r="224" ht="12">
      <c r="A224" s="53"/>
    </row>
    <row r="225" ht="12">
      <c r="A225" s="53"/>
    </row>
    <row r="226" ht="12">
      <c r="A226" s="53"/>
    </row>
    <row r="227" ht="12">
      <c r="A227" s="53"/>
    </row>
    <row r="228" ht="12">
      <c r="A228" s="53"/>
    </row>
    <row r="229" ht="12">
      <c r="A229" s="53"/>
    </row>
    <row r="230" ht="12">
      <c r="A230" s="53"/>
    </row>
    <row r="231" ht="12">
      <c r="A231" s="53"/>
    </row>
    <row r="232" ht="12">
      <c r="A232" s="53"/>
    </row>
    <row r="233" ht="12">
      <c r="A233" s="53"/>
    </row>
    <row r="234" ht="12">
      <c r="A234" s="53"/>
    </row>
    <row r="235" ht="12">
      <c r="A235" s="53"/>
    </row>
    <row r="236" ht="12">
      <c r="A236" s="53"/>
    </row>
    <row r="237" ht="12">
      <c r="A237" s="53"/>
    </row>
    <row r="238" ht="12">
      <c r="A238" s="53"/>
    </row>
    <row r="239" ht="12">
      <c r="A239" s="53"/>
    </row>
    <row r="240" ht="12">
      <c r="A240" s="53"/>
    </row>
    <row r="241" ht="12">
      <c r="A241" s="53"/>
    </row>
    <row r="242" ht="12">
      <c r="A242" s="53"/>
    </row>
    <row r="243" ht="12">
      <c r="A243" s="53"/>
    </row>
    <row r="244" ht="12">
      <c r="A244" s="53"/>
    </row>
    <row r="245" ht="12">
      <c r="A245" s="53"/>
    </row>
    <row r="246" ht="12">
      <c r="A246" s="53"/>
    </row>
    <row r="247" ht="12">
      <c r="A247" s="53"/>
    </row>
    <row r="248" ht="12">
      <c r="A248" s="53"/>
    </row>
    <row r="249" ht="12">
      <c r="A249" s="53"/>
    </row>
    <row r="250" ht="12">
      <c r="A250" s="53"/>
    </row>
    <row r="251" ht="12">
      <c r="A251" s="53"/>
    </row>
    <row r="252" ht="12">
      <c r="A252" s="53"/>
    </row>
    <row r="253" ht="12">
      <c r="A253" s="53"/>
    </row>
    <row r="254" ht="12">
      <c r="A254" s="53"/>
    </row>
    <row r="255" ht="12">
      <c r="A255" s="53"/>
    </row>
    <row r="256" ht="12">
      <c r="A256" s="53"/>
    </row>
    <row r="257" ht="12">
      <c r="A257" s="53"/>
    </row>
    <row r="258" ht="12">
      <c r="A258" s="53"/>
    </row>
    <row r="259" ht="12">
      <c r="A259" s="53"/>
    </row>
    <row r="260" ht="12">
      <c r="A260" s="53"/>
    </row>
    <row r="261" ht="12">
      <c r="A261" s="53"/>
    </row>
    <row r="262" ht="12">
      <c r="A262" s="53"/>
    </row>
    <row r="263" ht="12">
      <c r="A263" s="53"/>
    </row>
    <row r="264" ht="12">
      <c r="A264" s="53"/>
    </row>
  </sheetData>
  <mergeCells count="1">
    <mergeCell ref="C3:D4"/>
  </mergeCells>
  <pageMargins left="0.7" right="0.7" top="0.75" bottom="0.75" header="0.3" footer="0.3"/>
  <pageSetup horizontalDpi="300" verticalDpi="300" orientation="portrait" r:id="rId1"/>
  <headerFooter>
    <oddFooter>&amp;L&amp;"Times New Roman,Regular"&amp;9O3129680.v1</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J96"/>
  <sheetViews>
    <sheetView workbookViewId="0" topLeftCell="A1"/>
  </sheetViews>
  <sheetFormatPr defaultColWidth="10.85546875" defaultRowHeight="12"/>
  <cols>
    <col min="1" max="1" width="6.85714285714286" style="2" customWidth="1"/>
    <col min="2" max="2" width="33" style="2" customWidth="1"/>
    <col min="3" max="3" width="12.4285714285714" style="2" customWidth="1"/>
    <col min="4" max="4" width="11" style="2" customWidth="1"/>
    <col min="5" max="5" width="13" style="2" customWidth="1"/>
    <col min="6" max="7" width="11" style="2" customWidth="1"/>
    <col min="8" max="8" width="10.8571428571429" style="2"/>
    <col min="9" max="9" width="11.2857142857143" style="2" bestFit="1" customWidth="1"/>
    <col min="10" max="16384" width="10.8571428571429" style="2"/>
  </cols>
  <sheetData>
    <row r="1" spans="1:7" ht="12">
      <c r="A1" s="1" t="s">
        <v>288</v>
      </c>
      <c r="B1" s="1"/>
      <c r="C1" s="1"/>
      <c r="G1" s="649" t="s">
        <v>1</v>
      </c>
    </row>
    <row r="2" spans="1:7" ht="12">
      <c r="A2" s="1" t="s">
        <v>2</v>
      </c>
      <c r="B2" s="1"/>
      <c r="C2" s="1"/>
      <c r="G2" s="649"/>
    </row>
    <row r="3" spans="1:7" ht="12">
      <c r="A3" s="1"/>
      <c r="B3" s="1"/>
      <c r="C3" s="1"/>
      <c r="G3" s="646" t="s">
        <v>289</v>
      </c>
    </row>
    <row r="4" spans="1:7" ht="12">
      <c r="A4" s="1" t="s">
        <v>111</v>
      </c>
      <c r="B4" s="1"/>
      <c r="C4" s="1"/>
      <c r="G4" s="487" t="s">
        <v>4</v>
      </c>
    </row>
    <row r="5" spans="1:7" ht="12">
      <c r="A5" s="386" t="s">
        <v>586</v>
      </c>
      <c r="B5" s="1"/>
      <c r="C5" s="1"/>
      <c r="G5" s="490" t="s">
        <v>112</v>
      </c>
    </row>
    <row r="6" spans="1:7" ht="12">
      <c r="A6" s="1" t="s">
        <v>113</v>
      </c>
      <c r="B6" s="1"/>
      <c r="C6" s="1"/>
      <c r="D6" s="1"/>
      <c r="E6" s="1"/>
      <c r="G6" s="1"/>
    </row>
    <row r="7" spans="1:7" ht="12">
      <c r="A7" s="8" t="s">
        <v>5</v>
      </c>
      <c r="B7" s="1"/>
      <c r="C7" s="1"/>
      <c r="D7" s="1"/>
      <c r="E7" s="1"/>
      <c r="F7" s="1"/>
      <c r="G7" s="1"/>
    </row>
    <row r="8" spans="1:7" ht="12">
      <c r="A8" s="1"/>
      <c r="B8" s="1"/>
      <c r="C8" s="1"/>
      <c r="D8" s="1"/>
      <c r="E8" s="1"/>
      <c r="F8" s="1"/>
      <c r="G8" s="1"/>
    </row>
    <row r="9" spans="1:7" ht="12">
      <c r="A9" s="1"/>
      <c r="B9" s="1"/>
      <c r="C9" s="1"/>
      <c r="D9" s="1"/>
      <c r="E9" s="1"/>
      <c r="F9" s="1"/>
      <c r="G9" s="1"/>
    </row>
    <row r="10" spans="1:7" ht="12">
      <c r="A10" s="726" t="s">
        <v>292</v>
      </c>
      <c r="B10" s="727"/>
      <c r="C10" s="727"/>
      <c r="D10" s="727"/>
      <c r="E10" s="727"/>
      <c r="F10" s="727"/>
      <c r="G10" s="727"/>
    </row>
    <row r="11" spans="1:7" ht="12">
      <c r="A11" s="727"/>
      <c r="B11" s="727"/>
      <c r="C11" s="727"/>
      <c r="D11" s="727"/>
      <c r="E11" s="727"/>
      <c r="F11" s="727"/>
      <c r="G11" s="727"/>
    </row>
    <row r="12" spans="1:7" ht="12.75" thickBot="1">
      <c r="A12" s="10"/>
      <c r="B12" s="10"/>
      <c r="C12" s="417"/>
      <c r="D12" s="417"/>
      <c r="E12" s="417"/>
      <c r="F12" s="417"/>
      <c r="G12" s="417"/>
    </row>
    <row r="13" spans="1:7" s="17" customFormat="1" ht="12">
      <c r="A13" s="13"/>
      <c r="B13" s="58">
        <v>-1</v>
      </c>
      <c r="C13" s="58">
        <f>+B13-1</f>
        <v>-2</v>
      </c>
      <c r="D13" s="58">
        <f t="shared" si="0" ref="D13:G13">C13-1</f>
        <v>-3</v>
      </c>
      <c r="E13" s="58">
        <f t="shared" si="0"/>
        <v>-4</v>
      </c>
      <c r="F13" s="58">
        <f t="shared" si="0"/>
        <v>-5</v>
      </c>
      <c r="G13" s="58">
        <f t="shared" si="0"/>
        <v>-6</v>
      </c>
    </row>
    <row r="14" spans="1:7" ht="12">
      <c r="A14" s="19" t="s">
        <v>91</v>
      </c>
      <c r="B14" s="1"/>
      <c r="C14" s="416" t="s">
        <v>9</v>
      </c>
      <c r="D14" s="418" t="s">
        <v>105</v>
      </c>
      <c r="E14" s="418" t="s">
        <v>10</v>
      </c>
      <c r="F14" s="418" t="s">
        <v>459</v>
      </c>
      <c r="G14" s="527" t="s">
        <v>459</v>
      </c>
    </row>
    <row r="15" spans="1:7" ht="12">
      <c r="A15" s="24" t="s">
        <v>94</v>
      </c>
      <c r="B15" s="24" t="s">
        <v>219</v>
      </c>
      <c r="C15" s="423" t="s">
        <v>13</v>
      </c>
      <c r="D15" s="423" t="s">
        <v>477</v>
      </c>
      <c r="E15" s="423" t="s">
        <v>8</v>
      </c>
      <c r="F15" s="423" t="s">
        <v>15</v>
      </c>
      <c r="G15" s="25" t="s">
        <v>16</v>
      </c>
    </row>
    <row r="16" spans="1:7" ht="12">
      <c r="A16" s="28"/>
      <c r="C16" s="35"/>
      <c r="D16" s="35"/>
      <c r="E16" s="35"/>
      <c r="F16" s="35"/>
      <c r="G16" s="35"/>
    </row>
    <row r="17" spans="1:7" ht="12">
      <c r="A17" s="28">
        <v>1</v>
      </c>
      <c r="B17" s="1" t="s">
        <v>296</v>
      </c>
      <c r="C17" s="28"/>
      <c r="D17" s="28"/>
      <c r="E17" s="28"/>
      <c r="F17" s="28"/>
      <c r="G17" s="28"/>
    </row>
    <row r="18" ht="12">
      <c r="A18" s="28">
        <f t="shared" si="1" ref="A18:A46">A17+1</f>
        <v>2</v>
      </c>
    </row>
    <row r="19" spans="1:7" ht="12">
      <c r="A19" s="28">
        <f t="shared" si="1"/>
        <v>3</v>
      </c>
      <c r="B19" s="2" t="s">
        <v>184</v>
      </c>
      <c r="C19" s="34"/>
      <c r="D19" s="34"/>
      <c r="E19" s="34"/>
      <c r="F19" s="34"/>
      <c r="G19" s="34"/>
    </row>
    <row r="20" spans="1:7" ht="12">
      <c r="A20" s="28">
        <f t="shared" si="1"/>
        <v>4</v>
      </c>
      <c r="B20" s="2" t="s">
        <v>297</v>
      </c>
      <c r="C20" s="34"/>
      <c r="D20" s="34"/>
      <c r="E20" s="34"/>
      <c r="F20" s="34"/>
      <c r="G20" s="34"/>
    </row>
    <row r="21" spans="1:7" ht="12">
      <c r="A21" s="28">
        <f t="shared" si="1"/>
        <v>5</v>
      </c>
      <c r="B21" s="2" t="s">
        <v>460</v>
      </c>
      <c r="C21" s="34"/>
      <c r="D21" s="34"/>
      <c r="E21" s="34"/>
      <c r="F21" s="34"/>
      <c r="G21" s="34"/>
    </row>
    <row r="22" spans="1:7" ht="12">
      <c r="A22" s="28">
        <f t="shared" si="1"/>
        <v>6</v>
      </c>
      <c r="B22" s="2" t="s">
        <v>207</v>
      </c>
      <c r="C22" s="34"/>
      <c r="D22" s="34"/>
      <c r="E22" s="34"/>
      <c r="F22" s="34"/>
      <c r="G22" s="34"/>
    </row>
    <row r="23" spans="1:7" ht="12">
      <c r="A23" s="28">
        <f t="shared" si="1"/>
        <v>7</v>
      </c>
      <c r="B23" s="2" t="s">
        <v>187</v>
      </c>
      <c r="C23" s="34"/>
      <c r="D23" s="34"/>
      <c r="E23" s="34"/>
      <c r="F23" s="34"/>
      <c r="G23" s="34"/>
    </row>
    <row r="24" spans="1:7" ht="12">
      <c r="A24" s="28">
        <f t="shared" si="1"/>
        <v>8</v>
      </c>
      <c r="C24" s="422"/>
      <c r="D24" s="422"/>
      <c r="E24" s="422"/>
      <c r="F24" s="422"/>
      <c r="G24" s="422"/>
    </row>
    <row r="25" spans="1:7" ht="12.75" thickBot="1">
      <c r="A25" s="28">
        <f t="shared" si="1"/>
        <v>9</v>
      </c>
      <c r="B25" s="2" t="s">
        <v>300</v>
      </c>
      <c r="C25" s="641"/>
      <c r="D25" s="641"/>
      <c r="E25" s="641"/>
      <c r="F25" s="641"/>
      <c r="G25" s="641"/>
    </row>
    <row r="26" spans="1:7" ht="12.75" thickTop="1">
      <c r="A26" s="28">
        <f t="shared" si="1"/>
        <v>10</v>
      </c>
      <c r="C26" s="1"/>
      <c r="D26" s="1"/>
      <c r="E26" s="1"/>
      <c r="F26" s="1"/>
      <c r="G26" s="1"/>
    </row>
    <row r="27" spans="1:7" ht="12">
      <c r="A27" s="28">
        <f t="shared" si="1"/>
        <v>11</v>
      </c>
      <c r="C27" s="1"/>
      <c r="D27" s="1"/>
      <c r="E27" s="1"/>
      <c r="F27" s="1"/>
      <c r="G27" s="1"/>
    </row>
    <row r="28" spans="1:7" ht="12">
      <c r="A28" s="28">
        <f t="shared" si="1"/>
        <v>12</v>
      </c>
      <c r="B28" s="1" t="s">
        <v>164</v>
      </c>
      <c r="C28" s="1"/>
      <c r="D28" s="1"/>
      <c r="E28" s="1"/>
      <c r="F28" s="1"/>
      <c r="G28" s="1"/>
    </row>
    <row r="29" spans="1:10" ht="12">
      <c r="A29" s="28">
        <f t="shared" si="1"/>
        <v>13</v>
      </c>
      <c r="B29" s="642"/>
      <c r="C29" s="34"/>
      <c r="D29" s="34"/>
      <c r="E29" s="34"/>
      <c r="F29" s="34"/>
      <c r="G29" s="34"/>
      <c r="I29" s="34"/>
      <c r="J29" s="643"/>
    </row>
    <row r="30" spans="1:7" ht="12">
      <c r="A30" s="28">
        <f t="shared" si="1"/>
        <v>14</v>
      </c>
      <c r="B30" s="115" t="s">
        <v>299</v>
      </c>
      <c r="C30" s="34"/>
      <c r="D30" s="34"/>
      <c r="E30" s="34"/>
      <c r="F30" s="34"/>
      <c r="G30" s="34"/>
    </row>
    <row r="31" spans="1:9" ht="12">
      <c r="A31" s="28">
        <f t="shared" si="1"/>
        <v>15</v>
      </c>
      <c r="B31" s="642" t="s">
        <v>522</v>
      </c>
      <c r="C31" s="34">
        <f>-'SAND TB'!P39</f>
        <v>76269.75</v>
      </c>
      <c r="D31" s="34"/>
      <c r="E31" s="34">
        <f>C31+D31</f>
        <v>76269.75</v>
      </c>
      <c r="F31" s="34"/>
      <c r="G31" s="34">
        <f>ROUND(+C31*F31,0)</f>
        <v>0</v>
      </c>
      <c r="I31" s="34">
        <v>76270</v>
      </c>
    </row>
    <row r="32" spans="1:9" ht="12">
      <c r="A32" s="28">
        <f t="shared" si="1"/>
        <v>16</v>
      </c>
      <c r="B32" s="642" t="s">
        <v>523</v>
      </c>
      <c r="C32" s="34">
        <f>-'SAND TB'!P40</f>
        <v>336393.54</v>
      </c>
      <c r="D32" s="34"/>
      <c r="E32" s="34">
        <f>C32+D32</f>
        <v>336393.54</v>
      </c>
      <c r="F32" s="34"/>
      <c r="G32" s="34">
        <f>ROUND(+C32*F32,0)</f>
        <v>0</v>
      </c>
      <c r="I32" s="34">
        <v>336394</v>
      </c>
    </row>
    <row r="33" spans="1:9" ht="12">
      <c r="A33" s="28">
        <f t="shared" si="1"/>
        <v>17</v>
      </c>
      <c r="B33" s="642" t="s">
        <v>524</v>
      </c>
      <c r="C33" s="34">
        <f>-'SAND TB'!P42</f>
        <v>62033.44999999999</v>
      </c>
      <c r="D33" s="34"/>
      <c r="E33" s="34">
        <f>C33+D33</f>
        <v>62033.44999999999</v>
      </c>
      <c r="F33" s="34"/>
      <c r="G33" s="34">
        <f>ROUND(+C33*F33,0)</f>
        <v>0</v>
      </c>
      <c r="I33" s="34">
        <v>62033</v>
      </c>
    </row>
    <row r="34" spans="1:9" ht="12">
      <c r="A34" s="28">
        <f t="shared" si="1"/>
        <v>18</v>
      </c>
      <c r="B34" s="642"/>
      <c r="C34" s="34"/>
      <c r="D34" s="34"/>
      <c r="E34" s="34"/>
      <c r="F34" s="34"/>
      <c r="G34" s="34"/>
      <c r="I34" s="34"/>
    </row>
    <row r="35" spans="1:9" ht="12">
      <c r="A35" s="28">
        <f t="shared" si="1"/>
        <v>19</v>
      </c>
      <c r="B35" s="115" t="s">
        <v>525</v>
      </c>
      <c r="C35" s="34"/>
      <c r="D35" s="34"/>
      <c r="E35" s="34"/>
      <c r="F35" s="34"/>
      <c r="G35" s="34"/>
      <c r="I35" s="34"/>
    </row>
    <row r="36" spans="1:9" ht="12">
      <c r="A36" s="28">
        <f t="shared" si="1"/>
        <v>20</v>
      </c>
      <c r="B36" s="642" t="s">
        <v>526</v>
      </c>
      <c r="C36" s="34">
        <f>-'SAND TB'!P38</f>
        <v>340845.71</v>
      </c>
      <c r="D36" s="34"/>
      <c r="E36" s="34">
        <f t="shared" si="2" ref="E36:E40">C36+D36</f>
        <v>340845.71</v>
      </c>
      <c r="F36" s="34"/>
      <c r="G36" s="34">
        <f t="shared" si="3" ref="G36:G40">ROUND(+C36*F36,0)</f>
        <v>0</v>
      </c>
      <c r="I36" s="34">
        <v>340846</v>
      </c>
    </row>
    <row r="37" spans="1:9" ht="12">
      <c r="A37" s="28">
        <f t="shared" si="1"/>
        <v>21</v>
      </c>
      <c r="B37" s="642" t="s">
        <v>527</v>
      </c>
      <c r="C37" s="34"/>
      <c r="D37" s="34"/>
      <c r="E37" s="34">
        <f t="shared" si="2"/>
        <v>0</v>
      </c>
      <c r="F37" s="34"/>
      <c r="G37" s="34">
        <f t="shared" si="3"/>
        <v>0</v>
      </c>
      <c r="I37" s="34">
        <v>0</v>
      </c>
    </row>
    <row r="38" spans="1:9" ht="12">
      <c r="A38" s="28">
        <f t="shared" si="1"/>
        <v>22</v>
      </c>
      <c r="B38" s="642" t="s">
        <v>663</v>
      </c>
      <c r="C38" s="34">
        <f>-'SAND TB'!P41</f>
        <v>97788.24</v>
      </c>
      <c r="D38" s="34"/>
      <c r="E38" s="34">
        <f t="shared" si="2"/>
        <v>97788.24</v>
      </c>
      <c r="F38" s="34"/>
      <c r="G38" s="34">
        <f t="shared" si="3"/>
        <v>0</v>
      </c>
      <c r="I38" s="34">
        <v>97788</v>
      </c>
    </row>
    <row r="39" spans="1:9" ht="12">
      <c r="A39" s="28">
        <f t="shared" si="1"/>
        <v>23</v>
      </c>
      <c r="B39" s="642" t="s">
        <v>528</v>
      </c>
      <c r="C39" s="34"/>
      <c r="D39" s="34"/>
      <c r="E39" s="34">
        <f t="shared" si="2"/>
        <v>0</v>
      </c>
      <c r="F39" s="34"/>
      <c r="G39" s="34">
        <f t="shared" si="3"/>
        <v>0</v>
      </c>
      <c r="I39" s="34">
        <v>0</v>
      </c>
    </row>
    <row r="40" spans="1:9" ht="12">
      <c r="A40" s="28">
        <f t="shared" si="1"/>
        <v>24</v>
      </c>
      <c r="B40" s="642" t="s">
        <v>529</v>
      </c>
      <c r="C40" s="34"/>
      <c r="D40" s="34"/>
      <c r="E40" s="34">
        <f t="shared" si="2"/>
        <v>0</v>
      </c>
      <c r="F40" s="34"/>
      <c r="G40" s="34">
        <f t="shared" si="3"/>
        <v>0</v>
      </c>
      <c r="I40" s="34">
        <v>0</v>
      </c>
    </row>
    <row r="41" spans="1:9" ht="12">
      <c r="A41" s="28">
        <f t="shared" si="1"/>
        <v>25</v>
      </c>
      <c r="B41" s="642"/>
      <c r="C41" s="1"/>
      <c r="D41" s="1"/>
      <c r="E41" s="1"/>
      <c r="F41" s="1"/>
      <c r="G41" s="1"/>
      <c r="I41" s="1"/>
    </row>
    <row r="42" spans="1:9" ht="12">
      <c r="A42" s="28">
        <f t="shared" si="1"/>
        <v>26</v>
      </c>
      <c r="B42" s="115" t="s">
        <v>199</v>
      </c>
      <c r="C42" s="1"/>
      <c r="D42" s="1"/>
      <c r="E42" s="1"/>
      <c r="F42" s="1"/>
      <c r="G42" s="1"/>
      <c r="I42" s="1"/>
    </row>
    <row r="43" spans="1:9" ht="12">
      <c r="A43" s="28">
        <f t="shared" si="1"/>
        <v>27</v>
      </c>
      <c r="B43" s="642" t="s">
        <v>530</v>
      </c>
      <c r="C43" s="34">
        <f>-'SAND TB'!P43</f>
        <v>10750.80</v>
      </c>
      <c r="D43" s="34"/>
      <c r="E43" s="34">
        <f>C43+D43</f>
        <v>10750.80</v>
      </c>
      <c r="F43" s="586">
        <f t="shared" si="4" ref="F43:F44">1-51.62%</f>
        <v>0.48380000000000001</v>
      </c>
      <c r="G43" s="34">
        <f>ROUND(+C43*F43,0)</f>
        <v>5201</v>
      </c>
      <c r="I43" s="34">
        <v>0</v>
      </c>
    </row>
    <row r="44" spans="1:9" ht="12">
      <c r="A44" s="28">
        <f t="shared" si="1"/>
        <v>28</v>
      </c>
      <c r="B44" s="642" t="s">
        <v>531</v>
      </c>
      <c r="C44" s="34">
        <f>-'SAND TB'!P44</f>
        <v>1334614.1184615383</v>
      </c>
      <c r="D44" s="34"/>
      <c r="E44" s="34">
        <f>C44+D44</f>
        <v>1334614.1184615383</v>
      </c>
      <c r="F44" s="586">
        <f t="shared" si="4"/>
        <v>0.48380000000000001</v>
      </c>
      <c r="G44" s="34">
        <f>ROUND(+C44*F44,0)</f>
        <v>645686</v>
      </c>
      <c r="I44" s="34">
        <v>1317293</v>
      </c>
    </row>
    <row r="45" spans="1:7" ht="12">
      <c r="A45" s="28">
        <f t="shared" si="1"/>
        <v>29</v>
      </c>
      <c r="B45" s="644"/>
      <c r="C45" s="34"/>
      <c r="D45" s="34"/>
      <c r="E45" s="34"/>
      <c r="F45" s="34"/>
      <c r="G45" s="34"/>
    </row>
    <row r="46" spans="1:7" ht="12.75" thickBot="1">
      <c r="A46" s="28">
        <f t="shared" si="1"/>
        <v>30</v>
      </c>
      <c r="B46" s="137" t="s">
        <v>300</v>
      </c>
      <c r="C46" s="651">
        <f t="shared" si="5" ref="C46:G46">SUM(C26:C45)</f>
        <v>2258695.6084615383</v>
      </c>
      <c r="D46" s="651">
        <f t="shared" si="5"/>
        <v>0</v>
      </c>
      <c r="E46" s="651">
        <f t="shared" si="5"/>
        <v>2258695.6084615383</v>
      </c>
      <c r="F46" s="651"/>
      <c r="G46" s="651">
        <f t="shared" si="5"/>
        <v>650887</v>
      </c>
    </row>
    <row r="47" ht="12.75" thickTop="1">
      <c r="A47" s="28"/>
    </row>
    <row r="48" ht="12">
      <c r="A48" s="28"/>
    </row>
    <row r="49" spans="1:7" ht="12">
      <c r="A49" s="1" t="s">
        <v>301</v>
      </c>
      <c r="B49" s="1"/>
      <c r="C49" s="1"/>
      <c r="G49" s="649" t="s">
        <v>1</v>
      </c>
    </row>
    <row r="50" spans="1:7" ht="12">
      <c r="A50" s="1" t="s">
        <v>302</v>
      </c>
      <c r="B50" s="1"/>
      <c r="C50" s="1"/>
      <c r="G50" s="649"/>
    </row>
    <row r="51" spans="1:7" ht="12">
      <c r="A51" s="1"/>
      <c r="B51" s="1"/>
      <c r="C51" s="1"/>
      <c r="G51" s="646" t="s">
        <v>303</v>
      </c>
    </row>
    <row r="52" spans="1:7" ht="12">
      <c r="A52" s="1" t="s">
        <v>111</v>
      </c>
      <c r="B52" s="1"/>
      <c r="C52" s="1"/>
      <c r="G52" s="487" t="s">
        <v>4</v>
      </c>
    </row>
    <row r="53" spans="1:7" ht="12">
      <c r="A53" s="1" t="s">
        <v>85</v>
      </c>
      <c r="B53" s="1"/>
      <c r="C53" s="1"/>
      <c r="G53" s="490" t="s">
        <v>112</v>
      </c>
    </row>
    <row r="54" spans="1:7" ht="12">
      <c r="A54" s="1" t="s">
        <v>113</v>
      </c>
      <c r="B54" s="1"/>
      <c r="C54" s="1"/>
      <c r="D54" s="1"/>
      <c r="E54" s="1"/>
      <c r="F54" s="1"/>
      <c r="G54" s="1"/>
    </row>
    <row r="55" spans="1:7" ht="12">
      <c r="A55" s="8" t="s">
        <v>5</v>
      </c>
      <c r="B55" s="1"/>
      <c r="C55" s="1"/>
      <c r="D55" s="1"/>
      <c r="E55" s="1"/>
      <c r="F55" s="1"/>
      <c r="G55" s="1"/>
    </row>
    <row r="56" spans="1:7" ht="12">
      <c r="A56" s="1"/>
      <c r="B56" s="1"/>
      <c r="C56" s="1"/>
      <c r="D56" s="1"/>
      <c r="E56" s="1"/>
      <c r="F56" s="1"/>
      <c r="G56" s="1"/>
    </row>
    <row r="57" spans="1:7" ht="12">
      <c r="A57" s="735" t="s">
        <v>461</v>
      </c>
      <c r="B57" s="736"/>
      <c r="C57" s="736"/>
      <c r="D57" s="736"/>
      <c r="E57" s="736"/>
      <c r="F57" s="736"/>
      <c r="G57" s="736"/>
    </row>
    <row r="58" spans="1:7" ht="12">
      <c r="A58" s="736"/>
      <c r="B58" s="736"/>
      <c r="C58" s="736"/>
      <c r="D58" s="736"/>
      <c r="E58" s="736"/>
      <c r="F58" s="736"/>
      <c r="G58" s="736"/>
    </row>
    <row r="59" spans="1:7" ht="12.75" thickBot="1">
      <c r="A59" s="10"/>
      <c r="B59" s="10"/>
      <c r="C59" s="10"/>
      <c r="D59" s="10"/>
      <c r="E59" s="10"/>
      <c r="F59" s="417"/>
      <c r="G59" s="417"/>
    </row>
    <row r="60" spans="1:7" ht="12">
      <c r="A60" s="13"/>
      <c r="B60" s="14">
        <v>-1</v>
      </c>
      <c r="C60" s="15">
        <f>+B60-1</f>
        <v>-2</v>
      </c>
      <c r="D60" s="15">
        <f>C60-1</f>
        <v>-3</v>
      </c>
      <c r="E60" s="15">
        <f>D60-1</f>
        <v>-4</v>
      </c>
      <c r="F60" s="15">
        <f>E60-1</f>
        <v>-5</v>
      </c>
      <c r="G60" s="15">
        <f>F60-1</f>
        <v>-6</v>
      </c>
    </row>
    <row r="61" spans="1:7" ht="12">
      <c r="A61" s="19" t="s">
        <v>91</v>
      </c>
      <c r="B61" s="1"/>
      <c r="C61" s="416" t="s">
        <v>93</v>
      </c>
      <c r="D61" s="418" t="s">
        <v>105</v>
      </c>
      <c r="E61" s="418" t="s">
        <v>462</v>
      </c>
      <c r="F61" s="30">
        <f>+F13</f>
        <v>-5</v>
      </c>
      <c r="G61" s="527" t="s">
        <v>459</v>
      </c>
    </row>
    <row r="62" spans="1:7" ht="12">
      <c r="A62" s="24" t="s">
        <v>94</v>
      </c>
      <c r="B62" s="24" t="s">
        <v>219</v>
      </c>
      <c r="C62" s="423" t="s">
        <v>13</v>
      </c>
      <c r="D62" s="423" t="s">
        <v>477</v>
      </c>
      <c r="E62" s="423" t="s">
        <v>8</v>
      </c>
      <c r="F62" s="423" t="s">
        <v>15</v>
      </c>
      <c r="G62" s="25" t="s">
        <v>16</v>
      </c>
    </row>
    <row r="63" spans="1:7" ht="12">
      <c r="A63" s="28"/>
      <c r="F63" s="35"/>
      <c r="G63" s="35"/>
    </row>
    <row r="64" spans="1:7" ht="12">
      <c r="A64" s="28">
        <v>1</v>
      </c>
      <c r="B64" s="1" t="s">
        <v>296</v>
      </c>
      <c r="C64" s="28"/>
      <c r="D64" s="28"/>
      <c r="E64" s="28"/>
      <c r="F64" s="28"/>
      <c r="G64" s="28"/>
    </row>
    <row r="65" ht="12">
      <c r="A65" s="28">
        <f t="shared" si="6" ref="A65:A94">A64+1</f>
        <v>2</v>
      </c>
    </row>
    <row r="66" spans="1:7" ht="12">
      <c r="A66" s="28">
        <f t="shared" si="6"/>
        <v>3</v>
      </c>
      <c r="B66" s="2" t="s">
        <v>184</v>
      </c>
      <c r="C66" s="34"/>
      <c r="D66" s="34"/>
      <c r="E66" s="34"/>
      <c r="F66" s="34"/>
      <c r="G66" s="34"/>
    </row>
    <row r="67" spans="1:7" ht="12">
      <c r="A67" s="28">
        <f t="shared" si="6"/>
        <v>4</v>
      </c>
      <c r="B67" s="2" t="s">
        <v>297</v>
      </c>
      <c r="C67" s="34"/>
      <c r="D67" s="34"/>
      <c r="E67" s="34"/>
      <c r="F67" s="34"/>
      <c r="G67" s="34"/>
    </row>
    <row r="68" spans="1:7" ht="12">
      <c r="A68" s="28">
        <f t="shared" si="6"/>
        <v>5</v>
      </c>
      <c r="B68" s="2" t="s">
        <v>460</v>
      </c>
      <c r="C68" s="34"/>
      <c r="D68" s="34"/>
      <c r="E68" s="34"/>
      <c r="F68" s="34"/>
      <c r="G68" s="34"/>
    </row>
    <row r="69" spans="1:7" ht="12">
      <c r="A69" s="28">
        <f t="shared" si="6"/>
        <v>6</v>
      </c>
      <c r="B69" s="2" t="s">
        <v>207</v>
      </c>
      <c r="C69" s="34"/>
      <c r="D69" s="34"/>
      <c r="E69" s="34"/>
      <c r="F69" s="34"/>
      <c r="G69" s="34"/>
    </row>
    <row r="70" spans="1:7" ht="12">
      <c r="A70" s="28">
        <f t="shared" si="6"/>
        <v>7</v>
      </c>
      <c r="B70" s="2" t="s">
        <v>187</v>
      </c>
      <c r="C70" s="34"/>
      <c r="D70" s="34"/>
      <c r="E70" s="34"/>
      <c r="F70" s="34"/>
      <c r="G70" s="34"/>
    </row>
    <row r="71" spans="1:7" ht="12">
      <c r="A71" s="28">
        <f t="shared" si="6"/>
        <v>8</v>
      </c>
      <c r="C71" s="422"/>
      <c r="D71" s="422"/>
      <c r="E71" s="422"/>
      <c r="F71" s="422"/>
      <c r="G71" s="422"/>
    </row>
    <row r="72" spans="1:7" ht="12.75" thickBot="1">
      <c r="A72" s="28">
        <f t="shared" si="6"/>
        <v>9</v>
      </c>
      <c r="B72" s="2" t="s">
        <v>300</v>
      </c>
      <c r="C72" s="641"/>
      <c r="D72" s="641"/>
      <c r="E72" s="641"/>
      <c r="F72" s="641"/>
      <c r="G72" s="641"/>
    </row>
    <row r="73" spans="1:7" ht="12.75" thickTop="1">
      <c r="A73" s="28">
        <f t="shared" si="6"/>
        <v>10</v>
      </c>
      <c r="C73" s="1"/>
      <c r="D73" s="1"/>
      <c r="E73" s="1"/>
      <c r="F73" s="1"/>
      <c r="G73" s="1"/>
    </row>
    <row r="74" spans="1:7" ht="12">
      <c r="A74" s="28">
        <f t="shared" si="6"/>
        <v>11</v>
      </c>
      <c r="C74" s="1"/>
      <c r="D74" s="1"/>
      <c r="E74" s="1"/>
      <c r="F74" s="1"/>
      <c r="G74" s="1"/>
    </row>
    <row r="75" spans="1:7" ht="12">
      <c r="A75" s="28">
        <f t="shared" si="6"/>
        <v>12</v>
      </c>
      <c r="B75" s="1" t="s">
        <v>164</v>
      </c>
      <c r="C75" s="1"/>
      <c r="D75" s="1"/>
      <c r="E75" s="1"/>
      <c r="F75" s="1"/>
      <c r="G75" s="1"/>
    </row>
    <row r="76" spans="1:7" ht="12">
      <c r="A76" s="28">
        <f t="shared" si="6"/>
        <v>13</v>
      </c>
      <c r="C76" s="34"/>
      <c r="D76" s="34"/>
      <c r="E76" s="34"/>
      <c r="F76" s="34"/>
      <c r="G76" s="34"/>
    </row>
    <row r="77" spans="1:7" ht="12">
      <c r="A77" s="28">
        <f t="shared" si="6"/>
        <v>14</v>
      </c>
      <c r="B77" s="115" t="s">
        <v>299</v>
      </c>
      <c r="C77" s="34"/>
      <c r="D77" s="34"/>
      <c r="E77" s="34"/>
      <c r="F77" s="34"/>
      <c r="G77" s="34"/>
    </row>
    <row r="78" spans="1:9" ht="12">
      <c r="A78" s="28">
        <f t="shared" si="6"/>
        <v>15</v>
      </c>
      <c r="B78" s="642" t="s">
        <v>532</v>
      </c>
      <c r="C78" s="34">
        <f>+'SAND TB'!P85</f>
        <v>41943</v>
      </c>
      <c r="D78" s="34"/>
      <c r="E78" s="34">
        <f>C78+D78</f>
        <v>41943</v>
      </c>
      <c r="F78" s="34"/>
      <c r="G78" s="34">
        <f>ROUND(+C78*F78,0)</f>
        <v>0</v>
      </c>
      <c r="I78" s="252">
        <v>31774</v>
      </c>
    </row>
    <row r="79" spans="1:9" ht="12">
      <c r="A79" s="28">
        <f t="shared" si="6"/>
        <v>16</v>
      </c>
      <c r="B79" s="642" t="s">
        <v>533</v>
      </c>
      <c r="C79" s="34">
        <f>+'SAND TB'!P86</f>
        <v>123149.29000000001</v>
      </c>
      <c r="D79" s="34"/>
      <c r="E79" s="34">
        <f>C79+D79</f>
        <v>123149.29000000001</v>
      </c>
      <c r="F79" s="34"/>
      <c r="G79" s="34">
        <f>ROUND(+C79*F79,0)</f>
        <v>0</v>
      </c>
      <c r="I79" s="252">
        <v>93303</v>
      </c>
    </row>
    <row r="80" spans="1:9" ht="12">
      <c r="A80" s="28">
        <f t="shared" si="6"/>
        <v>17</v>
      </c>
      <c r="B80" s="642" t="s">
        <v>534</v>
      </c>
      <c r="C80" s="34">
        <f>+'SAND TB'!P88</f>
        <v>30849.579999999998</v>
      </c>
      <c r="D80" s="34"/>
      <c r="E80" s="34">
        <f>C80+D80</f>
        <v>30849.579999999998</v>
      </c>
      <c r="F80" s="34"/>
      <c r="G80" s="34">
        <f>ROUND(+C80*F80,0)</f>
        <v>0</v>
      </c>
      <c r="I80" s="252">
        <v>22578</v>
      </c>
    </row>
    <row r="81" spans="1:9" ht="12">
      <c r="A81" s="28">
        <f t="shared" si="6"/>
        <v>18</v>
      </c>
      <c r="B81" s="642"/>
      <c r="C81" s="34"/>
      <c r="D81" s="34"/>
      <c r="E81" s="34"/>
      <c r="F81" s="34"/>
      <c r="G81" s="34"/>
      <c r="I81" s="252"/>
    </row>
    <row r="82" spans="1:9" ht="12">
      <c r="A82" s="28">
        <f t="shared" si="6"/>
        <v>19</v>
      </c>
      <c r="B82" s="115" t="s">
        <v>525</v>
      </c>
      <c r="C82" s="34"/>
      <c r="D82" s="34"/>
      <c r="E82" s="34"/>
      <c r="F82" s="34"/>
      <c r="G82" s="34"/>
      <c r="I82" s="252"/>
    </row>
    <row r="83" spans="1:9" ht="12">
      <c r="A83" s="28">
        <f t="shared" si="6"/>
        <v>20</v>
      </c>
      <c r="B83" s="642" t="s">
        <v>535</v>
      </c>
      <c r="C83" s="34">
        <f>+'SAND TB'!P82</f>
        <v>-5996.300000000002</v>
      </c>
      <c r="D83" s="34"/>
      <c r="E83" s="34">
        <f t="shared" si="7" ref="E83:E88">C83+D83</f>
        <v>-5996.300000000002</v>
      </c>
      <c r="F83" s="34"/>
      <c r="G83" s="34">
        <f t="shared" si="8" ref="G83:G88">ROUND(+C83*F83,0)</f>
        <v>0</v>
      </c>
      <c r="I83" s="252">
        <v>-5996</v>
      </c>
    </row>
    <row r="84" spans="1:9" ht="12">
      <c r="A84" s="28">
        <f t="shared" si="6"/>
        <v>21</v>
      </c>
      <c r="B84" s="642" t="s">
        <v>536</v>
      </c>
      <c r="C84" s="34">
        <f>+'SAND TB'!P83</f>
        <v>219678.30</v>
      </c>
      <c r="D84" s="34"/>
      <c r="E84" s="34">
        <f t="shared" si="7"/>
        <v>219678.30</v>
      </c>
      <c r="F84" s="34"/>
      <c r="G84" s="34">
        <f t="shared" si="8"/>
        <v>0</v>
      </c>
      <c r="I84" s="252">
        <v>165143</v>
      </c>
    </row>
    <row r="85" spans="1:9" ht="12">
      <c r="A85" s="28">
        <f t="shared" si="6"/>
        <v>22</v>
      </c>
      <c r="B85" s="642" t="s">
        <v>537</v>
      </c>
      <c r="C85" s="34">
        <f>+'SAND TB'!P84</f>
        <v>281650.81999999995</v>
      </c>
      <c r="D85" s="34"/>
      <c r="E85" s="34">
        <f t="shared" si="7"/>
        <v>281650.81999999995</v>
      </c>
      <c r="F85" s="34"/>
      <c r="G85" s="34">
        <f t="shared" si="8"/>
        <v>0</v>
      </c>
      <c r="I85" s="252">
        <v>260310</v>
      </c>
    </row>
    <row r="86" spans="1:9" ht="12">
      <c r="A86" s="28">
        <f t="shared" si="6"/>
        <v>23</v>
      </c>
      <c r="B86" s="642" t="s">
        <v>538</v>
      </c>
      <c r="C86" s="34">
        <f>+'SAND TB'!P87</f>
        <v>45601.479999999989</v>
      </c>
      <c r="D86" s="34"/>
      <c r="E86" s="34">
        <f t="shared" si="7"/>
        <v>45601.479999999989</v>
      </c>
      <c r="F86" s="34"/>
      <c r="G86" s="34">
        <f t="shared" si="8"/>
        <v>0</v>
      </c>
      <c r="I86" s="252">
        <v>36925</v>
      </c>
    </row>
    <row r="87" spans="1:9" ht="12">
      <c r="A87" s="28">
        <f t="shared" si="6"/>
        <v>24</v>
      </c>
      <c r="B87" s="642" t="s">
        <v>539</v>
      </c>
      <c r="C87" s="34">
        <f>+'SAND TB'!P89</f>
        <v>-60.480000000000011</v>
      </c>
      <c r="D87" s="34"/>
      <c r="E87" s="34">
        <f t="shared" si="7"/>
        <v>-60.480000000000011</v>
      </c>
      <c r="F87" s="34"/>
      <c r="G87" s="34">
        <f t="shared" si="8"/>
        <v>0</v>
      </c>
      <c r="I87" s="252">
        <v>-72</v>
      </c>
    </row>
    <row r="88" spans="1:9" ht="12">
      <c r="A88" s="28">
        <f t="shared" si="6"/>
        <v>25</v>
      </c>
      <c r="B88" s="642" t="s">
        <v>574</v>
      </c>
      <c r="C88" s="34">
        <f>+'SAND TB'!P90</f>
        <v>-15413.320000000005</v>
      </c>
      <c r="D88" s="34"/>
      <c r="E88" s="34">
        <f t="shared" si="7"/>
        <v>-15413.320000000005</v>
      </c>
      <c r="F88" s="34"/>
      <c r="G88" s="34">
        <f t="shared" si="8"/>
        <v>0</v>
      </c>
      <c r="I88" s="252">
        <v>-19201</v>
      </c>
    </row>
    <row r="89" spans="1:9" ht="12">
      <c r="A89" s="28">
        <f t="shared" si="6"/>
        <v>26</v>
      </c>
      <c r="B89" s="642"/>
      <c r="C89" s="1"/>
      <c r="D89" s="1"/>
      <c r="E89" s="1"/>
      <c r="F89" s="1"/>
      <c r="G89" s="1"/>
      <c r="I89" s="252"/>
    </row>
    <row r="90" spans="1:9" ht="12">
      <c r="A90" s="28">
        <f t="shared" si="6"/>
        <v>27</v>
      </c>
      <c r="B90" s="115" t="s">
        <v>199</v>
      </c>
      <c r="C90" s="1"/>
      <c r="D90" s="1"/>
      <c r="E90" s="1"/>
      <c r="F90" s="1"/>
      <c r="G90" s="1"/>
      <c r="I90" s="252"/>
    </row>
    <row r="91" spans="1:9" ht="12">
      <c r="A91" s="28">
        <f t="shared" si="6"/>
        <v>28</v>
      </c>
      <c r="B91" s="642" t="s">
        <v>540</v>
      </c>
      <c r="C91" s="34">
        <f>+'SAND TB'!P91</f>
        <v>379.28</v>
      </c>
      <c r="D91" s="34"/>
      <c r="E91" s="34">
        <f>C91+D91</f>
        <v>379.28</v>
      </c>
      <c r="F91" s="30">
        <f>1-51.62%</f>
        <v>0.48380000000000001</v>
      </c>
      <c r="G91" s="34">
        <f>ROUND(+C91*F91,0)</f>
        <v>183</v>
      </c>
      <c r="I91" s="252">
        <v>0</v>
      </c>
    </row>
    <row r="92" spans="1:9" ht="12">
      <c r="A92" s="28">
        <f t="shared" si="6"/>
        <v>29</v>
      </c>
      <c r="B92" s="642" t="s">
        <v>541</v>
      </c>
      <c r="C92" s="34">
        <f>+'SAND TB'!P92</f>
        <v>193953.80846153849</v>
      </c>
      <c r="D92" s="34"/>
      <c r="E92" s="34">
        <f>C92+D92</f>
        <v>193953.80846153849</v>
      </c>
      <c r="F92" s="30">
        <f>1-51.62%</f>
        <v>0.48380000000000001</v>
      </c>
      <c r="G92" s="34">
        <f>ROUND(+C92*F92,0)</f>
        <v>93835</v>
      </c>
      <c r="I92" s="252">
        <v>51338</v>
      </c>
    </row>
    <row r="93" spans="1:7" ht="12">
      <c r="A93" s="28">
        <f t="shared" si="6"/>
        <v>30</v>
      </c>
      <c r="B93" s="644"/>
      <c r="C93" s="34"/>
      <c r="D93" s="34"/>
      <c r="E93" s="34"/>
      <c r="F93" s="34"/>
      <c r="G93" s="34"/>
    </row>
    <row r="94" spans="1:7" ht="12.75" thickBot="1">
      <c r="A94" s="28">
        <f t="shared" si="6"/>
        <v>31</v>
      </c>
      <c r="B94" s="137" t="s">
        <v>300</v>
      </c>
      <c r="C94" s="651">
        <f t="shared" si="9" ref="C94:G94">SUM(C73:C93)</f>
        <v>915735.45846153854</v>
      </c>
      <c r="D94" s="651">
        <f t="shared" si="9"/>
        <v>0</v>
      </c>
      <c r="E94" s="651">
        <f t="shared" si="9"/>
        <v>915735.45846153854</v>
      </c>
      <c r="F94" s="651"/>
      <c r="G94" s="651">
        <f t="shared" si="9"/>
        <v>94018</v>
      </c>
    </row>
    <row r="95" ht="12.75" thickTop="1">
      <c r="A95" s="53"/>
    </row>
    <row r="96" ht="12">
      <c r="A96" s="53"/>
    </row>
  </sheetData>
  <mergeCells count="2">
    <mergeCell ref="A10:G11"/>
    <mergeCell ref="A57:G58"/>
  </mergeCells>
  <pageMargins left="0.7" right="0.7" top="0.75" bottom="0.75" header="0.3" footer="0.3"/>
  <pageSetup horizontalDpi="300" verticalDpi="300" orientation="portrait" r:id="rId1"/>
  <headerFooter>
    <oddFooter>&amp;L&amp;"Times New Roman,Regular"&amp;9O3129680.v1</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H109"/>
  <sheetViews>
    <sheetView workbookViewId="0" topLeftCell="WVD81">
      <selection pane="topLeft" activeCell="WVP109" sqref="WVP109"/>
    </sheetView>
  </sheetViews>
  <sheetFormatPr defaultColWidth="12.42578125" defaultRowHeight="12.75"/>
  <cols>
    <col min="1" max="1" width="12.4285714285714" style="357"/>
    <col min="2" max="2" width="36.8571428571429" style="357" customWidth="1"/>
    <col min="3" max="3" width="20.1428571428571" style="357" customWidth="1"/>
    <col min="4" max="6" width="15" style="357" customWidth="1"/>
    <col min="7" max="7" width="13.7142857142857" style="357" customWidth="1"/>
    <col min="8" max="8" width="15" style="357" customWidth="1"/>
    <col min="9" max="256" width="12.4285714285714" style="357"/>
    <col min="257" max="257" width="36.8571428571429" style="357" customWidth="1"/>
    <col min="258" max="258" width="20.1428571428571" style="357" customWidth="1"/>
    <col min="259" max="261" width="15" style="357" customWidth="1"/>
    <col min="262" max="263" width="13.7142857142857" style="357" customWidth="1"/>
    <col min="264" max="264" width="15" style="357" customWidth="1"/>
    <col min="265" max="512" width="12.4285714285714" style="357"/>
    <col min="513" max="513" width="36.8571428571429" style="357" customWidth="1"/>
    <col min="514" max="514" width="20.1428571428571" style="357" customWidth="1"/>
    <col min="515" max="517" width="15" style="357" customWidth="1"/>
    <col min="518" max="519" width="13.7142857142857" style="357" customWidth="1"/>
    <col min="520" max="520" width="15" style="357" customWidth="1"/>
    <col min="521" max="768" width="12.4285714285714" style="357"/>
    <col min="769" max="769" width="36.8571428571429" style="357" customWidth="1"/>
    <col min="770" max="770" width="20.1428571428571" style="357" customWidth="1"/>
    <col min="771" max="773" width="15" style="357" customWidth="1"/>
    <col min="774" max="775" width="13.7142857142857" style="357" customWidth="1"/>
    <col min="776" max="776" width="15" style="357" customWidth="1"/>
    <col min="777" max="1024" width="12.4285714285714" style="357"/>
    <col min="1025" max="1025" width="36.8571428571429" style="357" customWidth="1"/>
    <col min="1026" max="1026" width="20.1428571428571" style="357" customWidth="1"/>
    <col min="1027" max="1029" width="15" style="357" customWidth="1"/>
    <col min="1030" max="1031" width="13.7142857142857" style="357" customWidth="1"/>
    <col min="1032" max="1032" width="15" style="357" customWidth="1"/>
    <col min="1033" max="1280" width="12.4285714285714" style="357"/>
    <col min="1281" max="1281" width="36.8571428571429" style="357" customWidth="1"/>
    <col min="1282" max="1282" width="20.1428571428571" style="357" customWidth="1"/>
    <col min="1283" max="1285" width="15" style="357" customWidth="1"/>
    <col min="1286" max="1287" width="13.7142857142857" style="357" customWidth="1"/>
    <col min="1288" max="1288" width="15" style="357" customWidth="1"/>
    <col min="1289" max="1536" width="12.4285714285714" style="357"/>
    <col min="1537" max="1537" width="36.8571428571429" style="357" customWidth="1"/>
    <col min="1538" max="1538" width="20.1428571428571" style="357" customWidth="1"/>
    <col min="1539" max="1541" width="15" style="357" customWidth="1"/>
    <col min="1542" max="1543" width="13.7142857142857" style="357" customWidth="1"/>
    <col min="1544" max="1544" width="15" style="357" customWidth="1"/>
    <col min="1545" max="1792" width="12.4285714285714" style="357"/>
    <col min="1793" max="1793" width="36.8571428571429" style="357" customWidth="1"/>
    <col min="1794" max="1794" width="20.1428571428571" style="357" customWidth="1"/>
    <col min="1795" max="1797" width="15" style="357" customWidth="1"/>
    <col min="1798" max="1799" width="13.7142857142857" style="357" customWidth="1"/>
    <col min="1800" max="1800" width="15" style="357" customWidth="1"/>
    <col min="1801" max="2048" width="12.4285714285714" style="357"/>
    <col min="2049" max="2049" width="36.8571428571429" style="357" customWidth="1"/>
    <col min="2050" max="2050" width="20.1428571428571" style="357" customWidth="1"/>
    <col min="2051" max="2053" width="15" style="357" customWidth="1"/>
    <col min="2054" max="2055" width="13.7142857142857" style="357" customWidth="1"/>
    <col min="2056" max="2056" width="15" style="357" customWidth="1"/>
    <col min="2057" max="2304" width="12.4285714285714" style="357"/>
    <col min="2305" max="2305" width="36.8571428571429" style="357" customWidth="1"/>
    <col min="2306" max="2306" width="20.1428571428571" style="357" customWidth="1"/>
    <col min="2307" max="2309" width="15" style="357" customWidth="1"/>
    <col min="2310" max="2311" width="13.7142857142857" style="357" customWidth="1"/>
    <col min="2312" max="2312" width="15" style="357" customWidth="1"/>
    <col min="2313" max="2560" width="12.4285714285714" style="357"/>
    <col min="2561" max="2561" width="36.8571428571429" style="357" customWidth="1"/>
    <col min="2562" max="2562" width="20.1428571428571" style="357" customWidth="1"/>
    <col min="2563" max="2565" width="15" style="357" customWidth="1"/>
    <col min="2566" max="2567" width="13.7142857142857" style="357" customWidth="1"/>
    <col min="2568" max="2568" width="15" style="357" customWidth="1"/>
    <col min="2569" max="2816" width="12.4285714285714" style="357"/>
    <col min="2817" max="2817" width="36.8571428571429" style="357" customWidth="1"/>
    <col min="2818" max="2818" width="20.1428571428571" style="357" customWidth="1"/>
    <col min="2819" max="2821" width="15" style="357" customWidth="1"/>
    <col min="2822" max="2823" width="13.7142857142857" style="357" customWidth="1"/>
    <col min="2824" max="2824" width="15" style="357" customWidth="1"/>
    <col min="2825" max="3072" width="12.4285714285714" style="357"/>
    <col min="3073" max="3073" width="36.8571428571429" style="357" customWidth="1"/>
    <col min="3074" max="3074" width="20.1428571428571" style="357" customWidth="1"/>
    <col min="3075" max="3077" width="15" style="357" customWidth="1"/>
    <col min="3078" max="3079" width="13.7142857142857" style="357" customWidth="1"/>
    <col min="3080" max="3080" width="15" style="357" customWidth="1"/>
    <col min="3081" max="3328" width="12.4285714285714" style="357"/>
    <col min="3329" max="3329" width="36.8571428571429" style="357" customWidth="1"/>
    <col min="3330" max="3330" width="20.1428571428571" style="357" customWidth="1"/>
    <col min="3331" max="3333" width="15" style="357" customWidth="1"/>
    <col min="3334" max="3335" width="13.7142857142857" style="357" customWidth="1"/>
    <col min="3336" max="3336" width="15" style="357" customWidth="1"/>
    <col min="3337" max="3584" width="12.4285714285714" style="357"/>
    <col min="3585" max="3585" width="36.8571428571429" style="357" customWidth="1"/>
    <col min="3586" max="3586" width="20.1428571428571" style="357" customWidth="1"/>
    <col min="3587" max="3589" width="15" style="357" customWidth="1"/>
    <col min="3590" max="3591" width="13.7142857142857" style="357" customWidth="1"/>
    <col min="3592" max="3592" width="15" style="357" customWidth="1"/>
    <col min="3593" max="3840" width="12.4285714285714" style="357"/>
    <col min="3841" max="3841" width="36.8571428571429" style="357" customWidth="1"/>
    <col min="3842" max="3842" width="20.1428571428571" style="357" customWidth="1"/>
    <col min="3843" max="3845" width="15" style="357" customWidth="1"/>
    <col min="3846" max="3847" width="13.7142857142857" style="357" customWidth="1"/>
    <col min="3848" max="3848" width="15" style="357" customWidth="1"/>
    <col min="3849" max="4096" width="12.4285714285714" style="357"/>
    <col min="4097" max="4097" width="36.8571428571429" style="357" customWidth="1"/>
    <col min="4098" max="4098" width="20.1428571428571" style="357" customWidth="1"/>
    <col min="4099" max="4101" width="15" style="357" customWidth="1"/>
    <col min="4102" max="4103" width="13.7142857142857" style="357" customWidth="1"/>
    <col min="4104" max="4104" width="15" style="357" customWidth="1"/>
    <col min="4105" max="4352" width="12.4285714285714" style="357"/>
    <col min="4353" max="4353" width="36.8571428571429" style="357" customWidth="1"/>
    <col min="4354" max="4354" width="20.1428571428571" style="357" customWidth="1"/>
    <col min="4355" max="4357" width="15" style="357" customWidth="1"/>
    <col min="4358" max="4359" width="13.7142857142857" style="357" customWidth="1"/>
    <col min="4360" max="4360" width="15" style="357" customWidth="1"/>
    <col min="4361" max="4608" width="12.4285714285714" style="357"/>
    <col min="4609" max="4609" width="36.8571428571429" style="357" customWidth="1"/>
    <col min="4610" max="4610" width="20.1428571428571" style="357" customWidth="1"/>
    <col min="4611" max="4613" width="15" style="357" customWidth="1"/>
    <col min="4614" max="4615" width="13.7142857142857" style="357" customWidth="1"/>
    <col min="4616" max="4616" width="15" style="357" customWidth="1"/>
    <col min="4617" max="4864" width="12.4285714285714" style="357"/>
    <col min="4865" max="4865" width="36.8571428571429" style="357" customWidth="1"/>
    <col min="4866" max="4866" width="20.1428571428571" style="357" customWidth="1"/>
    <col min="4867" max="4869" width="15" style="357" customWidth="1"/>
    <col min="4870" max="4871" width="13.7142857142857" style="357" customWidth="1"/>
    <col min="4872" max="4872" width="15" style="357" customWidth="1"/>
    <col min="4873" max="5120" width="12.4285714285714" style="357"/>
    <col min="5121" max="5121" width="36.8571428571429" style="357" customWidth="1"/>
    <col min="5122" max="5122" width="20.1428571428571" style="357" customWidth="1"/>
    <col min="5123" max="5125" width="15" style="357" customWidth="1"/>
    <col min="5126" max="5127" width="13.7142857142857" style="357" customWidth="1"/>
    <col min="5128" max="5128" width="15" style="357" customWidth="1"/>
    <col min="5129" max="5376" width="12.4285714285714" style="357"/>
    <col min="5377" max="5377" width="36.8571428571429" style="357" customWidth="1"/>
    <col min="5378" max="5378" width="20.1428571428571" style="357" customWidth="1"/>
    <col min="5379" max="5381" width="15" style="357" customWidth="1"/>
    <col min="5382" max="5383" width="13.7142857142857" style="357" customWidth="1"/>
    <col min="5384" max="5384" width="15" style="357" customWidth="1"/>
    <col min="5385" max="5632" width="12.4285714285714" style="357"/>
    <col min="5633" max="5633" width="36.8571428571429" style="357" customWidth="1"/>
    <col min="5634" max="5634" width="20.1428571428571" style="357" customWidth="1"/>
    <col min="5635" max="5637" width="15" style="357" customWidth="1"/>
    <col min="5638" max="5639" width="13.7142857142857" style="357" customWidth="1"/>
    <col min="5640" max="5640" width="15" style="357" customWidth="1"/>
    <col min="5641" max="5888" width="12.4285714285714" style="357"/>
    <col min="5889" max="5889" width="36.8571428571429" style="357" customWidth="1"/>
    <col min="5890" max="5890" width="20.1428571428571" style="357" customWidth="1"/>
    <col min="5891" max="5893" width="15" style="357" customWidth="1"/>
    <col min="5894" max="5895" width="13.7142857142857" style="357" customWidth="1"/>
    <col min="5896" max="5896" width="15" style="357" customWidth="1"/>
    <col min="5897" max="6144" width="12.4285714285714" style="357"/>
    <col min="6145" max="6145" width="36.8571428571429" style="357" customWidth="1"/>
    <col min="6146" max="6146" width="20.1428571428571" style="357" customWidth="1"/>
    <col min="6147" max="6149" width="15" style="357" customWidth="1"/>
    <col min="6150" max="6151" width="13.7142857142857" style="357" customWidth="1"/>
    <col min="6152" max="6152" width="15" style="357" customWidth="1"/>
    <col min="6153" max="6400" width="12.4285714285714" style="357"/>
    <col min="6401" max="6401" width="36.8571428571429" style="357" customWidth="1"/>
    <col min="6402" max="6402" width="20.1428571428571" style="357" customWidth="1"/>
    <col min="6403" max="6405" width="15" style="357" customWidth="1"/>
    <col min="6406" max="6407" width="13.7142857142857" style="357" customWidth="1"/>
    <col min="6408" max="6408" width="15" style="357" customWidth="1"/>
    <col min="6409" max="6656" width="12.4285714285714" style="357"/>
    <col min="6657" max="6657" width="36.8571428571429" style="357" customWidth="1"/>
    <col min="6658" max="6658" width="20.1428571428571" style="357" customWidth="1"/>
    <col min="6659" max="6661" width="15" style="357" customWidth="1"/>
    <col min="6662" max="6663" width="13.7142857142857" style="357" customWidth="1"/>
    <col min="6664" max="6664" width="15" style="357" customWidth="1"/>
    <col min="6665" max="6912" width="12.4285714285714" style="357"/>
    <col min="6913" max="6913" width="36.8571428571429" style="357" customWidth="1"/>
    <col min="6914" max="6914" width="20.1428571428571" style="357" customWidth="1"/>
    <col min="6915" max="6917" width="15" style="357" customWidth="1"/>
    <col min="6918" max="6919" width="13.7142857142857" style="357" customWidth="1"/>
    <col min="6920" max="6920" width="15" style="357" customWidth="1"/>
    <col min="6921" max="7168" width="12.4285714285714" style="357"/>
    <col min="7169" max="7169" width="36.8571428571429" style="357" customWidth="1"/>
    <col min="7170" max="7170" width="20.1428571428571" style="357" customWidth="1"/>
    <col min="7171" max="7173" width="15" style="357" customWidth="1"/>
    <col min="7174" max="7175" width="13.7142857142857" style="357" customWidth="1"/>
    <col min="7176" max="7176" width="15" style="357" customWidth="1"/>
    <col min="7177" max="7424" width="12.4285714285714" style="357"/>
    <col min="7425" max="7425" width="36.8571428571429" style="357" customWidth="1"/>
    <col min="7426" max="7426" width="20.1428571428571" style="357" customWidth="1"/>
    <col min="7427" max="7429" width="15" style="357" customWidth="1"/>
    <col min="7430" max="7431" width="13.7142857142857" style="357" customWidth="1"/>
    <col min="7432" max="7432" width="15" style="357" customWidth="1"/>
    <col min="7433" max="7680" width="12.4285714285714" style="357"/>
    <col min="7681" max="7681" width="36.8571428571429" style="357" customWidth="1"/>
    <col min="7682" max="7682" width="20.1428571428571" style="357" customWidth="1"/>
    <col min="7683" max="7685" width="15" style="357" customWidth="1"/>
    <col min="7686" max="7687" width="13.7142857142857" style="357" customWidth="1"/>
    <col min="7688" max="7688" width="15" style="357" customWidth="1"/>
    <col min="7689" max="7936" width="12.4285714285714" style="357"/>
    <col min="7937" max="7937" width="36.8571428571429" style="357" customWidth="1"/>
    <col min="7938" max="7938" width="20.1428571428571" style="357" customWidth="1"/>
    <col min="7939" max="7941" width="15" style="357" customWidth="1"/>
    <col min="7942" max="7943" width="13.7142857142857" style="357" customWidth="1"/>
    <col min="7944" max="7944" width="15" style="357" customWidth="1"/>
    <col min="7945" max="8192" width="12.4285714285714" style="357"/>
    <col min="8193" max="8193" width="36.8571428571429" style="357" customWidth="1"/>
    <col min="8194" max="8194" width="20.1428571428571" style="357" customWidth="1"/>
    <col min="8195" max="8197" width="15" style="357" customWidth="1"/>
    <col min="8198" max="8199" width="13.7142857142857" style="357" customWidth="1"/>
    <col min="8200" max="8200" width="15" style="357" customWidth="1"/>
    <col min="8201" max="8448" width="12.4285714285714" style="357"/>
    <col min="8449" max="8449" width="36.8571428571429" style="357" customWidth="1"/>
    <col min="8450" max="8450" width="20.1428571428571" style="357" customWidth="1"/>
    <col min="8451" max="8453" width="15" style="357" customWidth="1"/>
    <col min="8454" max="8455" width="13.7142857142857" style="357" customWidth="1"/>
    <col min="8456" max="8456" width="15" style="357" customWidth="1"/>
    <col min="8457" max="8704" width="12.4285714285714" style="357"/>
    <col min="8705" max="8705" width="36.8571428571429" style="357" customWidth="1"/>
    <col min="8706" max="8706" width="20.1428571428571" style="357" customWidth="1"/>
    <col min="8707" max="8709" width="15" style="357" customWidth="1"/>
    <col min="8710" max="8711" width="13.7142857142857" style="357" customWidth="1"/>
    <col min="8712" max="8712" width="15" style="357" customWidth="1"/>
    <col min="8713" max="8960" width="12.4285714285714" style="357"/>
    <col min="8961" max="8961" width="36.8571428571429" style="357" customWidth="1"/>
    <col min="8962" max="8962" width="20.1428571428571" style="357" customWidth="1"/>
    <col min="8963" max="8965" width="15" style="357" customWidth="1"/>
    <col min="8966" max="8967" width="13.7142857142857" style="357" customWidth="1"/>
    <col min="8968" max="8968" width="15" style="357" customWidth="1"/>
    <col min="8969" max="9216" width="12.4285714285714" style="357"/>
    <col min="9217" max="9217" width="36.8571428571429" style="357" customWidth="1"/>
    <col min="9218" max="9218" width="20.1428571428571" style="357" customWidth="1"/>
    <col min="9219" max="9221" width="15" style="357" customWidth="1"/>
    <col min="9222" max="9223" width="13.7142857142857" style="357" customWidth="1"/>
    <col min="9224" max="9224" width="15" style="357" customWidth="1"/>
    <col min="9225" max="9472" width="12.4285714285714" style="357"/>
    <col min="9473" max="9473" width="36.8571428571429" style="357" customWidth="1"/>
    <col min="9474" max="9474" width="20.1428571428571" style="357" customWidth="1"/>
    <col min="9475" max="9477" width="15" style="357" customWidth="1"/>
    <col min="9478" max="9479" width="13.7142857142857" style="357" customWidth="1"/>
    <col min="9480" max="9480" width="15" style="357" customWidth="1"/>
    <col min="9481" max="9728" width="12.4285714285714" style="357"/>
    <col min="9729" max="9729" width="36.8571428571429" style="357" customWidth="1"/>
    <col min="9730" max="9730" width="20.1428571428571" style="357" customWidth="1"/>
    <col min="9731" max="9733" width="15" style="357" customWidth="1"/>
    <col min="9734" max="9735" width="13.7142857142857" style="357" customWidth="1"/>
    <col min="9736" max="9736" width="15" style="357" customWidth="1"/>
    <col min="9737" max="9984" width="12.4285714285714" style="357"/>
    <col min="9985" max="9985" width="36.8571428571429" style="357" customWidth="1"/>
    <col min="9986" max="9986" width="20.1428571428571" style="357" customWidth="1"/>
    <col min="9987" max="9989" width="15" style="357" customWidth="1"/>
    <col min="9990" max="9991" width="13.7142857142857" style="357" customWidth="1"/>
    <col min="9992" max="9992" width="15" style="357" customWidth="1"/>
    <col min="9993" max="10240" width="12.4285714285714" style="357"/>
    <col min="10241" max="10241" width="36.8571428571429" style="357" customWidth="1"/>
    <col min="10242" max="10242" width="20.1428571428571" style="357" customWidth="1"/>
    <col min="10243" max="10245" width="15" style="357" customWidth="1"/>
    <col min="10246" max="10247" width="13.7142857142857" style="357" customWidth="1"/>
    <col min="10248" max="10248" width="15" style="357" customWidth="1"/>
    <col min="10249" max="10496" width="12.4285714285714" style="357"/>
    <col min="10497" max="10497" width="36.8571428571429" style="357" customWidth="1"/>
    <col min="10498" max="10498" width="20.1428571428571" style="357" customWidth="1"/>
    <col min="10499" max="10501" width="15" style="357" customWidth="1"/>
    <col min="10502" max="10503" width="13.7142857142857" style="357" customWidth="1"/>
    <col min="10504" max="10504" width="15" style="357" customWidth="1"/>
    <col min="10505" max="10752" width="12.4285714285714" style="357"/>
    <col min="10753" max="10753" width="36.8571428571429" style="357" customWidth="1"/>
    <col min="10754" max="10754" width="20.1428571428571" style="357" customWidth="1"/>
    <col min="10755" max="10757" width="15" style="357" customWidth="1"/>
    <col min="10758" max="10759" width="13.7142857142857" style="357" customWidth="1"/>
    <col min="10760" max="10760" width="15" style="357" customWidth="1"/>
    <col min="10761" max="11008" width="12.4285714285714" style="357"/>
    <col min="11009" max="11009" width="36.8571428571429" style="357" customWidth="1"/>
    <col min="11010" max="11010" width="20.1428571428571" style="357" customWidth="1"/>
    <col min="11011" max="11013" width="15" style="357" customWidth="1"/>
    <col min="11014" max="11015" width="13.7142857142857" style="357" customWidth="1"/>
    <col min="11016" max="11016" width="15" style="357" customWidth="1"/>
    <col min="11017" max="11264" width="12.4285714285714" style="357"/>
    <col min="11265" max="11265" width="36.8571428571429" style="357" customWidth="1"/>
    <col min="11266" max="11266" width="20.1428571428571" style="357" customWidth="1"/>
    <col min="11267" max="11269" width="15" style="357" customWidth="1"/>
    <col min="11270" max="11271" width="13.7142857142857" style="357" customWidth="1"/>
    <col min="11272" max="11272" width="15" style="357" customWidth="1"/>
    <col min="11273" max="11520" width="12.4285714285714" style="357"/>
    <col min="11521" max="11521" width="36.8571428571429" style="357" customWidth="1"/>
    <col min="11522" max="11522" width="20.1428571428571" style="357" customWidth="1"/>
    <col min="11523" max="11525" width="15" style="357" customWidth="1"/>
    <col min="11526" max="11527" width="13.7142857142857" style="357" customWidth="1"/>
    <col min="11528" max="11528" width="15" style="357" customWidth="1"/>
    <col min="11529" max="11776" width="12.4285714285714" style="357"/>
    <col min="11777" max="11777" width="36.8571428571429" style="357" customWidth="1"/>
    <col min="11778" max="11778" width="20.1428571428571" style="357" customWidth="1"/>
    <col min="11779" max="11781" width="15" style="357" customWidth="1"/>
    <col min="11782" max="11783" width="13.7142857142857" style="357" customWidth="1"/>
    <col min="11784" max="11784" width="15" style="357" customWidth="1"/>
    <col min="11785" max="12032" width="12.4285714285714" style="357"/>
    <col min="12033" max="12033" width="36.8571428571429" style="357" customWidth="1"/>
    <col min="12034" max="12034" width="20.1428571428571" style="357" customWidth="1"/>
    <col min="12035" max="12037" width="15" style="357" customWidth="1"/>
    <col min="12038" max="12039" width="13.7142857142857" style="357" customWidth="1"/>
    <col min="12040" max="12040" width="15" style="357" customWidth="1"/>
    <col min="12041" max="12288" width="12.4285714285714" style="357"/>
    <col min="12289" max="12289" width="36.8571428571429" style="357" customWidth="1"/>
    <col min="12290" max="12290" width="20.1428571428571" style="357" customWidth="1"/>
    <col min="12291" max="12293" width="15" style="357" customWidth="1"/>
    <col min="12294" max="12295" width="13.7142857142857" style="357" customWidth="1"/>
    <col min="12296" max="12296" width="15" style="357" customWidth="1"/>
    <col min="12297" max="12544" width="12.4285714285714" style="357"/>
    <col min="12545" max="12545" width="36.8571428571429" style="357" customWidth="1"/>
    <col min="12546" max="12546" width="20.1428571428571" style="357" customWidth="1"/>
    <col min="12547" max="12549" width="15" style="357" customWidth="1"/>
    <col min="12550" max="12551" width="13.7142857142857" style="357" customWidth="1"/>
    <col min="12552" max="12552" width="15" style="357" customWidth="1"/>
    <col min="12553" max="12800" width="12.4285714285714" style="357"/>
    <col min="12801" max="12801" width="36.8571428571429" style="357" customWidth="1"/>
    <col min="12802" max="12802" width="20.1428571428571" style="357" customWidth="1"/>
    <col min="12803" max="12805" width="15" style="357" customWidth="1"/>
    <col min="12806" max="12807" width="13.7142857142857" style="357" customWidth="1"/>
    <col min="12808" max="12808" width="15" style="357" customWidth="1"/>
    <col min="12809" max="13056" width="12.4285714285714" style="357"/>
    <col min="13057" max="13057" width="36.8571428571429" style="357" customWidth="1"/>
    <col min="13058" max="13058" width="20.1428571428571" style="357" customWidth="1"/>
    <col min="13059" max="13061" width="15" style="357" customWidth="1"/>
    <col min="13062" max="13063" width="13.7142857142857" style="357" customWidth="1"/>
    <col min="13064" max="13064" width="15" style="357" customWidth="1"/>
    <col min="13065" max="13312" width="12.4285714285714" style="357"/>
    <col min="13313" max="13313" width="36.8571428571429" style="357" customWidth="1"/>
    <col min="13314" max="13314" width="20.1428571428571" style="357" customWidth="1"/>
    <col min="13315" max="13317" width="15" style="357" customWidth="1"/>
    <col min="13318" max="13319" width="13.7142857142857" style="357" customWidth="1"/>
    <col min="13320" max="13320" width="15" style="357" customWidth="1"/>
    <col min="13321" max="13568" width="12.4285714285714" style="357"/>
    <col min="13569" max="13569" width="36.8571428571429" style="357" customWidth="1"/>
    <col min="13570" max="13570" width="20.1428571428571" style="357" customWidth="1"/>
    <col min="13571" max="13573" width="15" style="357" customWidth="1"/>
    <col min="13574" max="13575" width="13.7142857142857" style="357" customWidth="1"/>
    <col min="13576" max="13576" width="15" style="357" customWidth="1"/>
    <col min="13577" max="13824" width="12.4285714285714" style="357"/>
    <col min="13825" max="13825" width="36.8571428571429" style="357" customWidth="1"/>
    <col min="13826" max="13826" width="20.1428571428571" style="357" customWidth="1"/>
    <col min="13827" max="13829" width="15" style="357" customWidth="1"/>
    <col min="13830" max="13831" width="13.7142857142857" style="357" customWidth="1"/>
    <col min="13832" max="13832" width="15" style="357" customWidth="1"/>
    <col min="13833" max="14080" width="12.4285714285714" style="357"/>
    <col min="14081" max="14081" width="36.8571428571429" style="357" customWidth="1"/>
    <col min="14082" max="14082" width="20.1428571428571" style="357" customWidth="1"/>
    <col min="14083" max="14085" width="15" style="357" customWidth="1"/>
    <col min="14086" max="14087" width="13.7142857142857" style="357" customWidth="1"/>
    <col min="14088" max="14088" width="15" style="357" customWidth="1"/>
    <col min="14089" max="14336" width="12.4285714285714" style="357"/>
    <col min="14337" max="14337" width="36.8571428571429" style="357" customWidth="1"/>
    <col min="14338" max="14338" width="20.1428571428571" style="357" customWidth="1"/>
    <col min="14339" max="14341" width="15" style="357" customWidth="1"/>
    <col min="14342" max="14343" width="13.7142857142857" style="357" customWidth="1"/>
    <col min="14344" max="14344" width="15" style="357" customWidth="1"/>
    <col min="14345" max="14592" width="12.4285714285714" style="357"/>
    <col min="14593" max="14593" width="36.8571428571429" style="357" customWidth="1"/>
    <col min="14594" max="14594" width="20.1428571428571" style="357" customWidth="1"/>
    <col min="14595" max="14597" width="15" style="357" customWidth="1"/>
    <col min="14598" max="14599" width="13.7142857142857" style="357" customWidth="1"/>
    <col min="14600" max="14600" width="15" style="357" customWidth="1"/>
    <col min="14601" max="14848" width="12.4285714285714" style="357"/>
    <col min="14849" max="14849" width="36.8571428571429" style="357" customWidth="1"/>
    <col min="14850" max="14850" width="20.1428571428571" style="357" customWidth="1"/>
    <col min="14851" max="14853" width="15" style="357" customWidth="1"/>
    <col min="14854" max="14855" width="13.7142857142857" style="357" customWidth="1"/>
    <col min="14856" max="14856" width="15" style="357" customWidth="1"/>
    <col min="14857" max="15104" width="12.4285714285714" style="357"/>
    <col min="15105" max="15105" width="36.8571428571429" style="357" customWidth="1"/>
    <col min="15106" max="15106" width="20.1428571428571" style="357" customWidth="1"/>
    <col min="15107" max="15109" width="15" style="357" customWidth="1"/>
    <col min="15110" max="15111" width="13.7142857142857" style="357" customWidth="1"/>
    <col min="15112" max="15112" width="15" style="357" customWidth="1"/>
    <col min="15113" max="15360" width="12.4285714285714" style="357"/>
    <col min="15361" max="15361" width="36.8571428571429" style="357" customWidth="1"/>
    <col min="15362" max="15362" width="20.1428571428571" style="357" customWidth="1"/>
    <col min="15363" max="15365" width="15" style="357" customWidth="1"/>
    <col min="15366" max="15367" width="13.7142857142857" style="357" customWidth="1"/>
    <col min="15368" max="15368" width="15" style="357" customWidth="1"/>
    <col min="15369" max="15616" width="12.4285714285714" style="357"/>
    <col min="15617" max="15617" width="36.8571428571429" style="357" customWidth="1"/>
    <col min="15618" max="15618" width="20.1428571428571" style="357" customWidth="1"/>
    <col min="15619" max="15621" width="15" style="357" customWidth="1"/>
    <col min="15622" max="15623" width="13.7142857142857" style="357" customWidth="1"/>
    <col min="15624" max="15624" width="15" style="357" customWidth="1"/>
    <col min="15625" max="15872" width="12.4285714285714" style="357"/>
    <col min="15873" max="15873" width="36.8571428571429" style="357" customWidth="1"/>
    <col min="15874" max="15874" width="20.1428571428571" style="357" customWidth="1"/>
    <col min="15875" max="15877" width="15" style="357" customWidth="1"/>
    <col min="15878" max="15879" width="13.7142857142857" style="357" customWidth="1"/>
    <col min="15880" max="15880" width="15" style="357" customWidth="1"/>
    <col min="15881" max="16128" width="12.4285714285714" style="357"/>
    <col min="16129" max="16129" width="36.8571428571429" style="357" customWidth="1"/>
    <col min="16130" max="16130" width="20.1428571428571" style="357" customWidth="1"/>
    <col min="16131" max="16133" width="15" style="357" customWidth="1"/>
    <col min="16134" max="16135" width="13.7142857142857" style="357" customWidth="1"/>
    <col min="16136" max="16136" width="15" style="357" customWidth="1"/>
    <col min="16137" max="16384" width="12.4285714285714" style="357"/>
  </cols>
  <sheetData>
    <row r="1" spans="1:5" ht="12.75">
      <c r="A1" s="386" t="s">
        <v>588</v>
      </c>
      <c r="B1" s="386"/>
      <c r="C1" s="387"/>
      <c r="D1" s="388"/>
      <c r="E1" s="389" t="s">
        <v>1</v>
      </c>
    </row>
    <row r="2" spans="1:5" ht="12.75">
      <c r="A2" s="386"/>
      <c r="B2" s="386"/>
      <c r="C2" s="688">
        <v>0.72</v>
      </c>
      <c r="D2" s="388"/>
      <c r="E2" s="389"/>
    </row>
    <row r="3" spans="1:5" ht="12.75">
      <c r="A3" s="137" t="s">
        <v>84</v>
      </c>
      <c r="B3" s="386"/>
      <c r="C3" s="387"/>
      <c r="D3" s="388"/>
      <c r="E3" s="390" t="s">
        <v>580</v>
      </c>
    </row>
    <row r="4" spans="1:5" ht="12.75">
      <c r="A4" s="386" t="s">
        <v>586</v>
      </c>
      <c r="B4" s="386"/>
      <c r="C4" s="387"/>
      <c r="D4" s="388"/>
      <c r="E4" s="389" t="s">
        <v>326</v>
      </c>
    </row>
    <row r="5" spans="1:5" ht="12.75">
      <c r="A5" s="386" t="s">
        <v>458</v>
      </c>
      <c r="B5" s="386"/>
      <c r="C5" s="386"/>
      <c r="D5" s="388"/>
      <c r="E5" s="389" t="s">
        <v>157</v>
      </c>
    </row>
    <row r="6" spans="1:5" ht="12.75">
      <c r="A6" s="386"/>
      <c r="B6" s="386"/>
      <c r="C6" s="386"/>
      <c r="D6" s="386"/>
      <c r="E6" s="386"/>
    </row>
    <row r="7" spans="1:5" ht="12.75">
      <c r="A7" s="724" t="s">
        <v>327</v>
      </c>
      <c r="B7" s="725"/>
      <c r="C7" s="725"/>
      <c r="D7" s="725"/>
      <c r="E7" s="725"/>
    </row>
    <row r="8" spans="1:5" ht="12.75">
      <c r="A8" s="725"/>
      <c r="B8" s="725"/>
      <c r="C8" s="725"/>
      <c r="D8" s="725"/>
      <c r="E8" s="725"/>
    </row>
    <row r="9" spans="1:5" ht="13.5" thickBot="1">
      <c r="A9" s="391"/>
      <c r="B9" s="391"/>
      <c r="C9" s="391"/>
      <c r="D9" s="391"/>
      <c r="E9" s="391"/>
    </row>
    <row r="10" spans="1:5" ht="12.75">
      <c r="A10" s="386"/>
      <c r="B10" s="392" t="s">
        <v>7</v>
      </c>
      <c r="C10" s="392" t="s">
        <v>293</v>
      </c>
      <c r="D10" s="392" t="s">
        <v>124</v>
      </c>
      <c r="E10" s="392" t="s">
        <v>328</v>
      </c>
    </row>
    <row r="11" spans="1:5" ht="12.75">
      <c r="A11" s="392" t="s">
        <v>91</v>
      </c>
      <c r="B11" s="386"/>
      <c r="C11" s="392" t="s">
        <v>329</v>
      </c>
      <c r="D11" s="392" t="s">
        <v>330</v>
      </c>
      <c r="E11" s="392" t="s">
        <v>177</v>
      </c>
    </row>
    <row r="12" spans="1:5" ht="15">
      <c r="A12" s="393" t="s">
        <v>94</v>
      </c>
      <c r="B12" s="394" t="s">
        <v>219</v>
      </c>
      <c r="C12" s="394" t="s">
        <v>331</v>
      </c>
      <c r="D12" s="394" t="s">
        <v>105</v>
      </c>
      <c r="E12" s="394" t="s">
        <v>332</v>
      </c>
    </row>
    <row r="13" spans="1:5" ht="12.75">
      <c r="A13" s="395"/>
      <c r="B13" s="388"/>
      <c r="C13" s="396"/>
      <c r="D13" s="397"/>
      <c r="E13" s="396"/>
    </row>
    <row r="14" spans="1:5" ht="12.75">
      <c r="A14" s="395">
        <v>1</v>
      </c>
      <c r="B14" s="386" t="s">
        <v>296</v>
      </c>
      <c r="C14" s="398" t="s">
        <v>152</v>
      </c>
      <c r="D14" s="398" t="s">
        <v>152</v>
      </c>
      <c r="E14" s="398" t="s">
        <v>152</v>
      </c>
    </row>
    <row r="15" spans="1:5" ht="12.75">
      <c r="A15" s="395">
        <f>A14+1</f>
        <v>2</v>
      </c>
      <c r="B15" s="386"/>
      <c r="C15" s="398"/>
      <c r="D15" s="398"/>
      <c r="E15" s="398"/>
    </row>
    <row r="16" spans="1:5" ht="12.75">
      <c r="A16" s="395">
        <f t="shared" si="0" ref="A16:A51">A15+1</f>
        <v>3</v>
      </c>
      <c r="B16" s="386" t="s">
        <v>333</v>
      </c>
      <c r="C16" s="61"/>
      <c r="D16" s="61"/>
      <c r="E16" s="65"/>
    </row>
    <row r="17" spans="1:5" ht="12.75">
      <c r="A17" s="395">
        <f t="shared" si="0"/>
        <v>4</v>
      </c>
      <c r="B17" s="386"/>
      <c r="C17" s="65"/>
      <c r="D17" s="65"/>
      <c r="E17" s="65"/>
    </row>
    <row r="18" spans="1:5" ht="12.75">
      <c r="A18" s="395">
        <f t="shared" si="0"/>
        <v>5</v>
      </c>
      <c r="B18" s="386" t="s">
        <v>334</v>
      </c>
      <c r="C18" s="65"/>
      <c r="D18" s="65"/>
      <c r="E18" s="65"/>
    </row>
    <row r="19" spans="1:5" ht="12.75">
      <c r="A19" s="395">
        <f t="shared" si="0"/>
        <v>6</v>
      </c>
      <c r="B19" s="386"/>
      <c r="C19" s="65"/>
      <c r="D19" s="65"/>
      <c r="E19" s="65"/>
    </row>
    <row r="20" spans="1:5" ht="12.75">
      <c r="A20" s="395">
        <f t="shared" si="0"/>
        <v>7</v>
      </c>
      <c r="B20" s="386" t="s">
        <v>335</v>
      </c>
      <c r="C20" s="65"/>
      <c r="D20" s="65"/>
      <c r="E20" s="65"/>
    </row>
    <row r="21" spans="1:5" ht="12.75">
      <c r="A21" s="395">
        <f t="shared" si="0"/>
        <v>8</v>
      </c>
      <c r="B21" s="386"/>
      <c r="C21" s="65"/>
      <c r="D21" s="65"/>
      <c r="E21" s="65"/>
    </row>
    <row r="22" spans="1:5" ht="12.75">
      <c r="A22" s="395">
        <f t="shared" si="0"/>
        <v>9</v>
      </c>
      <c r="B22" s="386" t="s">
        <v>179</v>
      </c>
      <c r="C22" s="65"/>
      <c r="D22" s="65"/>
      <c r="E22" s="65"/>
    </row>
    <row r="23" spans="1:5" ht="12.75">
      <c r="A23" s="395">
        <f t="shared" si="0"/>
        <v>10</v>
      </c>
      <c r="B23" s="386"/>
      <c r="C23" s="398"/>
      <c r="D23" s="398"/>
      <c r="E23" s="398"/>
    </row>
    <row r="24" spans="1:5" ht="12.75">
      <c r="A24" s="395">
        <f t="shared" si="0"/>
        <v>11</v>
      </c>
      <c r="B24" s="386" t="s">
        <v>336</v>
      </c>
      <c r="C24" s="399"/>
      <c r="D24" s="399"/>
      <c r="E24" s="65"/>
    </row>
    <row r="25" spans="1:5" ht="12.75">
      <c r="A25" s="395">
        <f t="shared" si="0"/>
        <v>12</v>
      </c>
      <c r="B25" s="386"/>
      <c r="C25" s="65"/>
      <c r="D25" s="65"/>
      <c r="E25" s="65"/>
    </row>
    <row r="26" spans="1:5" ht="12.75">
      <c r="A26" s="395">
        <f t="shared" si="0"/>
        <v>13</v>
      </c>
      <c r="B26" s="386" t="s">
        <v>337</v>
      </c>
      <c r="C26" s="399"/>
      <c r="D26" s="399"/>
      <c r="E26" s="65"/>
    </row>
    <row r="27" spans="1:5" ht="12.75">
      <c r="A27" s="395">
        <f t="shared" si="0"/>
        <v>14</v>
      </c>
      <c r="B27" s="386"/>
      <c r="C27" s="65"/>
      <c r="D27" s="65"/>
      <c r="E27" s="65"/>
    </row>
    <row r="28" spans="1:5" ht="12.75">
      <c r="A28" s="395">
        <f t="shared" si="0"/>
        <v>15</v>
      </c>
      <c r="B28" s="386" t="s">
        <v>338</v>
      </c>
      <c r="C28" s="399"/>
      <c r="D28" s="399"/>
      <c r="E28" s="65"/>
    </row>
    <row r="29" spans="1:5" ht="12.75">
      <c r="A29" s="395">
        <f t="shared" si="0"/>
        <v>16</v>
      </c>
      <c r="B29" s="386"/>
      <c r="C29" s="61"/>
      <c r="D29" s="61"/>
      <c r="E29" s="61"/>
    </row>
    <row r="30" spans="1:5" ht="13.5" thickBot="1">
      <c r="A30" s="395">
        <f t="shared" si="0"/>
        <v>17</v>
      </c>
      <c r="B30" s="386" t="s">
        <v>300</v>
      </c>
      <c r="C30" s="400" t="s">
        <v>152</v>
      </c>
      <c r="D30" s="400" t="s">
        <v>152</v>
      </c>
      <c r="E30" s="400" t="s">
        <v>152</v>
      </c>
    </row>
    <row r="31" spans="1:5" ht="13.5" thickTop="1">
      <c r="A31" s="395">
        <f t="shared" si="0"/>
        <v>18</v>
      </c>
      <c r="B31" s="386"/>
      <c r="C31" s="401"/>
      <c r="D31" s="401"/>
      <c r="E31" s="401"/>
    </row>
    <row r="32" spans="1:5" ht="12.75">
      <c r="A32" s="395">
        <f t="shared" si="0"/>
        <v>19</v>
      </c>
      <c r="B32" s="386" t="s">
        <v>339</v>
      </c>
      <c r="C32" s="401"/>
      <c r="D32" s="401"/>
      <c r="E32" s="401"/>
    </row>
    <row r="33" spans="1:5" ht="12.75">
      <c r="A33" s="395">
        <f t="shared" si="0"/>
        <v>20</v>
      </c>
      <c r="B33" s="386"/>
      <c r="C33" s="65"/>
      <c r="D33" s="65"/>
      <c r="E33" s="65"/>
    </row>
    <row r="34" spans="1:5" ht="12.75">
      <c r="A34" s="395">
        <f t="shared" si="0"/>
        <v>21</v>
      </c>
      <c r="B34" s="386"/>
      <c r="C34" s="65"/>
      <c r="D34" s="65"/>
      <c r="E34" s="65"/>
    </row>
    <row r="35" spans="1:5" ht="12.75">
      <c r="A35" s="395">
        <f t="shared" si="0"/>
        <v>22</v>
      </c>
      <c r="B35" s="386" t="s">
        <v>164</v>
      </c>
      <c r="C35" s="398"/>
      <c r="D35" s="398"/>
      <c r="E35" s="398"/>
    </row>
    <row r="36" spans="1:5" ht="12.75">
      <c r="A36" s="395">
        <f t="shared" si="0"/>
        <v>23</v>
      </c>
      <c r="B36" s="386"/>
      <c r="C36" s="65"/>
      <c r="D36" s="65"/>
      <c r="E36" s="65"/>
    </row>
    <row r="37" spans="1:7" ht="12.75">
      <c r="A37" s="395">
        <f t="shared" si="0"/>
        <v>24</v>
      </c>
      <c r="B37" s="386" t="s">
        <v>333</v>
      </c>
      <c r="C37" s="65">
        <f>+'LUSI A 6'!G66-C39</f>
        <v>2276645</v>
      </c>
      <c r="D37" s="65"/>
      <c r="E37" s="65"/>
      <c r="G37" s="623">
        <f>-D92</f>
        <v>3497539.737714</v>
      </c>
    </row>
    <row r="38" spans="1:5" ht="12.75">
      <c r="A38" s="395">
        <f t="shared" si="0"/>
        <v>25</v>
      </c>
      <c r="B38" s="386"/>
      <c r="C38" s="398"/>
      <c r="D38" s="398"/>
      <c r="E38" s="398"/>
    </row>
    <row r="39" spans="1:5" ht="12.75">
      <c r="A39" s="395">
        <f t="shared" si="0"/>
        <v>26</v>
      </c>
      <c r="B39" s="386" t="s">
        <v>334</v>
      </c>
      <c r="C39" s="399">
        <f>+'LUSI A 6'!G34</f>
        <v>5448</v>
      </c>
      <c r="D39" s="399"/>
      <c r="E39" s="65"/>
    </row>
    <row r="40" spans="1:5" ht="12.75">
      <c r="A40" s="395">
        <f t="shared" si="0"/>
        <v>27</v>
      </c>
      <c r="B40" s="386"/>
      <c r="C40" s="65"/>
      <c r="D40" s="65"/>
      <c r="E40" s="65"/>
    </row>
    <row r="41" spans="1:7" ht="12.75">
      <c r="A41" s="395">
        <f t="shared" si="0"/>
        <v>28</v>
      </c>
      <c r="B41" s="386" t="s">
        <v>335</v>
      </c>
      <c r="C41" s="399">
        <f>-'LUSI A 10'!H63</f>
        <v>-906034</v>
      </c>
      <c r="D41" s="399"/>
      <c r="E41" s="65"/>
      <c r="G41" s="623">
        <f>-D93</f>
        <v>-904639.52467764134</v>
      </c>
    </row>
    <row r="42" spans="1:5" ht="12.75">
      <c r="A42" s="395">
        <f t="shared" si="0"/>
        <v>29</v>
      </c>
      <c r="B42" s="386"/>
      <c r="C42" s="399"/>
      <c r="D42" s="399"/>
      <c r="E42" s="65"/>
    </row>
    <row r="43" spans="1:7" ht="12.75">
      <c r="A43" s="395">
        <f t="shared" si="0"/>
        <v>30</v>
      </c>
      <c r="B43" s="386" t="s">
        <v>179</v>
      </c>
      <c r="C43" s="399">
        <f>-'LUSI A 12-14'!G44</f>
        <v>-958741</v>
      </c>
      <c r="D43" s="399"/>
      <c r="E43" s="65"/>
      <c r="G43" s="623">
        <f>-D94</f>
        <v>-740177.49</v>
      </c>
    </row>
    <row r="44" spans="1:5" ht="12.75">
      <c r="A44" s="395">
        <f t="shared" si="0"/>
        <v>31</v>
      </c>
      <c r="B44" s="386"/>
      <c r="C44" s="399"/>
      <c r="D44" s="399"/>
      <c r="E44" s="65"/>
    </row>
    <row r="45" spans="1:7" ht="12.75">
      <c r="A45" s="395">
        <f t="shared" si="0"/>
        <v>32</v>
      </c>
      <c r="B45" s="386" t="s">
        <v>336</v>
      </c>
      <c r="C45" s="399">
        <f>+'LUSI A 12-14'!G89</f>
        <v>331876</v>
      </c>
      <c r="D45" s="399"/>
      <c r="E45" s="65"/>
      <c r="G45" s="623">
        <f>-D95</f>
        <v>344277.89199999999</v>
      </c>
    </row>
    <row r="46" spans="1:5" ht="12.75">
      <c r="A46" s="395">
        <f t="shared" si="0"/>
        <v>33</v>
      </c>
      <c r="B46" s="386"/>
      <c r="C46" s="398"/>
      <c r="D46" s="398"/>
      <c r="E46" s="398"/>
    </row>
    <row r="47" spans="1:5" ht="12.75">
      <c r="A47" s="395">
        <f t="shared" si="0"/>
        <v>34</v>
      </c>
      <c r="B47" s="386" t="s">
        <v>337</v>
      </c>
      <c r="C47" s="399"/>
      <c r="D47" s="399"/>
      <c r="E47" s="65"/>
    </row>
    <row r="48" spans="1:5" ht="12.75">
      <c r="A48" s="395">
        <f t="shared" si="0"/>
        <v>35</v>
      </c>
      <c r="B48" s="386"/>
      <c r="C48" s="398"/>
      <c r="D48" s="398"/>
      <c r="E48" s="398"/>
    </row>
    <row r="49" spans="1:5" ht="12.75">
      <c r="A49" s="395">
        <f t="shared" si="0"/>
        <v>36</v>
      </c>
      <c r="B49" s="386" t="s">
        <v>338</v>
      </c>
      <c r="C49" s="399"/>
      <c r="D49" s="399"/>
      <c r="E49" s="65"/>
    </row>
    <row r="50" spans="1:5" ht="12.75">
      <c r="A50" s="395">
        <f t="shared" si="0"/>
        <v>37</v>
      </c>
      <c r="B50" s="386"/>
      <c r="C50" s="398"/>
      <c r="D50" s="398"/>
      <c r="E50" s="398"/>
    </row>
    <row r="51" spans="1:7" ht="13.5" thickBot="1">
      <c r="A51" s="395">
        <f t="shared" si="0"/>
        <v>38</v>
      </c>
      <c r="B51" s="386" t="s">
        <v>300</v>
      </c>
      <c r="C51" s="400">
        <f>SUM(C37:C50)</f>
        <v>749194</v>
      </c>
      <c r="D51" s="400">
        <f t="shared" si="1" ref="D51:E51">SUM(D37:D50)</f>
        <v>0</v>
      </c>
      <c r="E51" s="400">
        <f t="shared" si="1"/>
        <v>0</v>
      </c>
      <c r="G51" s="400">
        <f>SUM(G37:G50)</f>
        <v>2197000.6150363591</v>
      </c>
    </row>
    <row r="52" spans="1:5" ht="13.5" thickTop="1">
      <c r="A52" s="395"/>
      <c r="B52" s="386"/>
      <c r="C52" s="399"/>
      <c r="D52" s="399"/>
      <c r="E52" s="399"/>
    </row>
    <row r="53" spans="1:5" ht="12.75">
      <c r="A53" s="395"/>
      <c r="B53" s="386" t="s">
        <v>340</v>
      </c>
      <c r="C53" s="388"/>
      <c r="D53" s="388"/>
      <c r="E53" s="388"/>
    </row>
    <row r="54" spans="2:6" ht="12.75">
      <c r="B54" s="395"/>
      <c r="C54" s="386" t="s">
        <v>341</v>
      </c>
      <c r="D54" s="388"/>
      <c r="E54" s="388"/>
      <c r="F54" s="388"/>
    </row>
    <row r="57" spans="1:7" ht="15">
      <c r="A57" s="402"/>
      <c r="B57" s="408" t="s">
        <v>324</v>
      </c>
      <c r="C57" s="399">
        <f>+'LUSI B 14'!I75</f>
        <v>101357</v>
      </c>
      <c r="E57" s="399">
        <f>+C57+D57</f>
        <v>101357</v>
      </c>
      <c r="F57" s="403"/>
      <c r="G57" s="661">
        <v>170221.49248602861</v>
      </c>
    </row>
    <row r="58" spans="1:7" ht="15">
      <c r="A58" s="402"/>
      <c r="B58" s="408" t="s">
        <v>325</v>
      </c>
      <c r="C58" s="399">
        <f>+'LUSI B 14'!I77</f>
        <v>-30197</v>
      </c>
      <c r="E58" s="399">
        <f>+C58+D58</f>
        <v>-30197</v>
      </c>
      <c r="F58" s="403"/>
      <c r="G58" s="661">
        <v>18564.022199999999</v>
      </c>
    </row>
    <row r="59" spans="1:7" ht="15.75" thickBot="1">
      <c r="A59" s="402"/>
      <c r="B59" s="409" t="s">
        <v>366</v>
      </c>
      <c r="C59" s="404">
        <f>SUM(C57:C58)</f>
        <v>71160</v>
      </c>
      <c r="E59" s="404">
        <f>E57+E58</f>
        <v>71160</v>
      </c>
      <c r="F59" s="403"/>
      <c r="G59" s="661">
        <v>-151657.47028602861</v>
      </c>
    </row>
    <row r="60" ht="13.5" thickTop="1"/>
    <row r="61" spans="2:7" ht="14.25">
      <c r="B61" s="410" t="s">
        <v>319</v>
      </c>
      <c r="C61" s="591" t="e">
        <f>+#REF!</f>
        <v>#REF!</v>
      </c>
      <c r="E61" s="399" t="e">
        <f>(C61+F61)</f>
        <v>#REF!</v>
      </c>
      <c r="F61" s="406"/>
      <c r="G61" s="662">
        <v>14240</v>
      </c>
    </row>
    <row r="62" spans="2:8" ht="14.25">
      <c r="B62" s="410" t="s">
        <v>321</v>
      </c>
      <c r="C62" s="586">
        <v>0.1379</v>
      </c>
      <c r="D62" s="671"/>
      <c r="E62" s="586">
        <f>+C62</f>
        <v>0.1379</v>
      </c>
      <c r="F62" s="407"/>
      <c r="G62" s="606">
        <v>0.13786773968622151</v>
      </c>
      <c r="H62" s="671" t="s">
        <v>590</v>
      </c>
    </row>
    <row r="63" spans="2:7" ht="15" thickBot="1">
      <c r="B63" s="411" t="s">
        <v>322</v>
      </c>
      <c r="C63" s="404" t="e">
        <f>+C62*C61</f>
        <v>#REF!</v>
      </c>
      <c r="E63" s="404" t="e">
        <f>(E62*E61)</f>
        <v>#REF!</v>
      </c>
      <c r="F63" s="406"/>
      <c r="G63" s="604">
        <v>1963.2366131317945</v>
      </c>
    </row>
    <row r="64" spans="2:5" ht="13.5" thickTop="1">
      <c r="B64" s="395"/>
      <c r="C64" s="399"/>
      <c r="E64" s="399"/>
    </row>
    <row r="65" spans="1:7" ht="15">
      <c r="A65" s="582" t="s">
        <v>519</v>
      </c>
      <c r="B65" s="614"/>
      <c r="C65" s="577" t="s">
        <v>306</v>
      </c>
      <c r="D65" s="614"/>
      <c r="E65" s="593"/>
      <c r="F65" s="593"/>
      <c r="G65" s="593"/>
    </row>
    <row r="66" spans="1:7" ht="15">
      <c r="A66" s="578" t="s">
        <v>307</v>
      </c>
      <c r="B66" s="594"/>
      <c r="C66" s="618" t="s">
        <v>308</v>
      </c>
      <c r="D66" s="618" t="s">
        <v>308</v>
      </c>
      <c r="E66" s="600" t="s">
        <v>309</v>
      </c>
      <c r="F66" s="579"/>
      <c r="G66" s="602"/>
    </row>
    <row r="67" spans="1:7" ht="15">
      <c r="A67" s="578"/>
      <c r="B67" s="594"/>
      <c r="C67" s="618" t="s">
        <v>310</v>
      </c>
      <c r="D67" s="618" t="s">
        <v>310</v>
      </c>
      <c r="E67" s="600" t="s">
        <v>310</v>
      </c>
      <c r="F67" s="579"/>
      <c r="G67" s="602"/>
    </row>
    <row r="68" spans="1:7" ht="15">
      <c r="A68" s="585" t="s">
        <v>296</v>
      </c>
      <c r="B68" s="594"/>
      <c r="C68" s="588" t="s">
        <v>470</v>
      </c>
      <c r="D68" s="588" t="s">
        <v>471</v>
      </c>
      <c r="E68" s="608" t="s">
        <v>471</v>
      </c>
      <c r="F68" s="579"/>
      <c r="G68" s="602"/>
    </row>
    <row r="69" spans="1:7" ht="15">
      <c r="A69" s="578"/>
      <c r="B69" s="583"/>
      <c r="C69" s="583"/>
      <c r="D69" s="583"/>
      <c r="E69" s="583"/>
      <c r="F69" s="583"/>
      <c r="G69" s="599"/>
    </row>
    <row r="70" spans="1:7" ht="15">
      <c r="A70" s="578" t="s">
        <v>311</v>
      </c>
      <c r="B70" s="583"/>
      <c r="C70" s="592">
        <v>0</v>
      </c>
      <c r="D70" s="609">
        <v>0</v>
      </c>
      <c r="E70" s="609">
        <v>0</v>
      </c>
      <c r="F70" s="583"/>
      <c r="G70" s="599"/>
    </row>
    <row r="71" spans="1:7" ht="15">
      <c r="A71" s="578" t="s">
        <v>312</v>
      </c>
      <c r="B71" s="583"/>
      <c r="C71" s="590">
        <v>0</v>
      </c>
      <c r="D71" s="581">
        <v>0</v>
      </c>
      <c r="E71" s="581">
        <v>0</v>
      </c>
      <c r="F71" s="583"/>
      <c r="G71" s="599"/>
    </row>
    <row r="72" spans="1:7" ht="15">
      <c r="A72" s="578" t="s">
        <v>313</v>
      </c>
      <c r="B72" s="617"/>
      <c r="C72" s="584">
        <v>0</v>
      </c>
      <c r="D72" s="616">
        <v>0</v>
      </c>
      <c r="E72" s="581">
        <v>0</v>
      </c>
      <c r="F72" s="583"/>
      <c r="G72" s="599"/>
    </row>
    <row r="73" spans="1:7" ht="15">
      <c r="A73" s="578" t="s">
        <v>179</v>
      </c>
      <c r="B73" s="617"/>
      <c r="C73" s="584">
        <v>0</v>
      </c>
      <c r="D73" s="616">
        <v>0</v>
      </c>
      <c r="E73" s="581">
        <v>0</v>
      </c>
      <c r="F73" s="583"/>
      <c r="G73" s="599"/>
    </row>
    <row r="74" spans="1:7" ht="15">
      <c r="A74" s="578" t="s">
        <v>314</v>
      </c>
      <c r="B74" s="617"/>
      <c r="C74" s="584">
        <v>0</v>
      </c>
      <c r="D74" s="616">
        <v>0</v>
      </c>
      <c r="E74" s="581">
        <v>0</v>
      </c>
      <c r="F74" s="583"/>
      <c r="G74" s="599"/>
    </row>
    <row r="75" spans="1:7" ht="15">
      <c r="A75" s="578" t="s">
        <v>315</v>
      </c>
      <c r="B75" s="617"/>
      <c r="C75" s="584">
        <v>0</v>
      </c>
      <c r="D75" s="616">
        <v>0</v>
      </c>
      <c r="E75" s="581">
        <v>0</v>
      </c>
      <c r="F75" s="583"/>
      <c r="G75" s="599"/>
    </row>
    <row r="76" spans="1:7" ht="15">
      <c r="A76" s="578" t="s">
        <v>316</v>
      </c>
      <c r="B76" s="617"/>
      <c r="C76" s="598">
        <v>0</v>
      </c>
      <c r="D76" s="594">
        <v>0</v>
      </c>
      <c r="E76" s="587">
        <v>0</v>
      </c>
      <c r="F76" s="583"/>
      <c r="G76" s="599"/>
    </row>
    <row r="77" spans="1:7" ht="15">
      <c r="A77" s="578"/>
      <c r="B77" s="617"/>
      <c r="C77" s="617"/>
      <c r="D77" s="617"/>
      <c r="E77" s="583"/>
      <c r="F77" s="583"/>
      <c r="G77" s="599"/>
    </row>
    <row r="78" spans="1:7" ht="15">
      <c r="A78" s="585" t="s">
        <v>317</v>
      </c>
      <c r="B78" s="605"/>
      <c r="C78" s="604">
        <v>0</v>
      </c>
      <c r="D78" s="604">
        <v>0</v>
      </c>
      <c r="E78" s="604">
        <v>0</v>
      </c>
      <c r="F78" s="583"/>
      <c r="G78" s="599"/>
    </row>
    <row r="79" spans="1:7" ht="15">
      <c r="A79" s="578"/>
      <c r="B79" s="583"/>
      <c r="C79" s="583"/>
      <c r="D79" s="583"/>
      <c r="E79" s="583"/>
      <c r="F79" s="583"/>
      <c r="G79" s="599"/>
    </row>
    <row r="80" spans="1:7" ht="15">
      <c r="A80" s="578" t="s">
        <v>472</v>
      </c>
      <c r="B80" s="583"/>
      <c r="C80" s="592">
        <v>0</v>
      </c>
      <c r="D80" s="609">
        <v>0</v>
      </c>
      <c r="E80" s="609">
        <v>0</v>
      </c>
      <c r="F80" s="599"/>
      <c r="G80" s="599"/>
    </row>
    <row r="81" spans="1:7" ht="15">
      <c r="A81" s="578" t="s">
        <v>473</v>
      </c>
      <c r="B81" s="583"/>
      <c r="C81" s="598">
        <v>0</v>
      </c>
      <c r="D81" s="587">
        <v>0</v>
      </c>
      <c r="E81" s="587">
        <v>0</v>
      </c>
      <c r="F81" s="599"/>
      <c r="G81" s="599"/>
    </row>
    <row r="82" spans="1:7" ht="15">
      <c r="A82" s="585" t="s">
        <v>318</v>
      </c>
      <c r="B82" s="583"/>
      <c r="C82" s="604">
        <v>0</v>
      </c>
      <c r="D82" s="604">
        <v>0</v>
      </c>
      <c r="E82" s="604">
        <v>0</v>
      </c>
      <c r="F82" s="583"/>
      <c r="G82" s="599"/>
    </row>
    <row r="83" spans="1:7" ht="15">
      <c r="A83" s="578"/>
      <c r="B83" s="583"/>
      <c r="C83" s="583"/>
      <c r="D83" s="583"/>
      <c r="E83" s="583"/>
      <c r="F83" s="583"/>
      <c r="G83" s="599"/>
    </row>
    <row r="84" spans="1:7" ht="15">
      <c r="A84" s="585" t="s">
        <v>319</v>
      </c>
      <c r="B84" s="583"/>
      <c r="C84" s="592">
        <v>0</v>
      </c>
      <c r="D84" s="609">
        <v>0</v>
      </c>
      <c r="E84" s="597">
        <v>0</v>
      </c>
      <c r="F84" s="599" t="s">
        <v>320</v>
      </c>
      <c r="G84" s="599"/>
    </row>
    <row r="85" spans="1:8" ht="15">
      <c r="A85" s="578" t="s">
        <v>321</v>
      </c>
      <c r="B85" s="583"/>
      <c r="C85" s="583"/>
      <c r="D85" s="606">
        <v>0</v>
      </c>
      <c r="E85" s="581"/>
      <c r="F85" s="583"/>
      <c r="G85" s="599"/>
      <c r="H85" s="362"/>
    </row>
    <row r="86" spans="1:8" ht="15">
      <c r="A86" s="578" t="s">
        <v>322</v>
      </c>
      <c r="B86" s="583"/>
      <c r="C86" s="603">
        <v>0</v>
      </c>
      <c r="D86" s="601">
        <v>0</v>
      </c>
      <c r="E86" s="604">
        <v>0</v>
      </c>
      <c r="F86" s="583"/>
      <c r="G86" s="599"/>
      <c r="H86" s="362"/>
    </row>
    <row r="87" spans="1:8" ht="15">
      <c r="A87" s="578"/>
      <c r="B87" s="583"/>
      <c r="C87" s="583"/>
      <c r="D87" s="583"/>
      <c r="E87" s="583"/>
      <c r="F87" s="583"/>
      <c r="G87" s="599"/>
      <c r="H87" s="362"/>
    </row>
    <row r="88" spans="1:8" ht="15">
      <c r="A88" s="578"/>
      <c r="B88" s="583"/>
      <c r="C88" s="583"/>
      <c r="D88" s="583"/>
      <c r="E88" s="583"/>
      <c r="F88" s="583"/>
      <c r="G88" s="599"/>
      <c r="H88" s="362"/>
    </row>
    <row r="89" spans="1:8" ht="15">
      <c r="A89" s="578"/>
      <c r="B89" s="583"/>
      <c r="C89" s="583"/>
      <c r="D89" s="583"/>
      <c r="E89" s="583"/>
      <c r="F89" s="583"/>
      <c r="G89" s="599"/>
      <c r="H89" s="362"/>
    </row>
    <row r="90" spans="1:8" ht="15">
      <c r="A90" s="596" t="s">
        <v>164</v>
      </c>
      <c r="B90" s="583"/>
      <c r="C90" s="595" t="s">
        <v>323</v>
      </c>
      <c r="D90" s="583"/>
      <c r="E90" s="583"/>
      <c r="F90" s="583"/>
      <c r="G90" s="599"/>
      <c r="H90" s="362"/>
    </row>
    <row r="91" spans="1:8" ht="15">
      <c r="A91" s="578"/>
      <c r="B91" s="583"/>
      <c r="C91" s="583"/>
      <c r="D91" s="583"/>
      <c r="E91" s="583"/>
      <c r="F91" s="583"/>
      <c r="G91" s="599"/>
      <c r="H91" s="362"/>
    </row>
    <row r="92" spans="1:8" ht="15">
      <c r="A92" s="578" t="s">
        <v>520</v>
      </c>
      <c r="B92" s="583"/>
      <c r="C92" s="615">
        <v>-3092632</v>
      </c>
      <c r="D92" s="607">
        <v>-3497539.737714</v>
      </c>
      <c r="E92" s="607">
        <v>-404907.73771400005</v>
      </c>
      <c r="F92" s="583"/>
      <c r="G92" s="599"/>
      <c r="H92" s="362"/>
    </row>
    <row r="93" spans="1:8" ht="15">
      <c r="A93" s="578" t="s">
        <v>313</v>
      </c>
      <c r="B93" s="583"/>
      <c r="C93" s="615">
        <v>787590</v>
      </c>
      <c r="D93" s="607">
        <v>904639.52467764134</v>
      </c>
      <c r="E93" s="607">
        <v>117049.52467764134</v>
      </c>
      <c r="F93" s="583"/>
      <c r="G93" s="599"/>
      <c r="H93" s="362"/>
    </row>
    <row r="94" spans="1:8" ht="15">
      <c r="A94" s="578" t="s">
        <v>179</v>
      </c>
      <c r="B94" s="583"/>
      <c r="C94" s="615">
        <v>1656177</v>
      </c>
      <c r="D94" s="615">
        <v>740177.49</v>
      </c>
      <c r="E94" s="615">
        <v>-915999.51</v>
      </c>
      <c r="F94" s="583"/>
      <c r="G94" s="599"/>
      <c r="H94" s="362"/>
    </row>
    <row r="95" spans="1:8" ht="15">
      <c r="A95" s="578" t="s">
        <v>314</v>
      </c>
      <c r="B95" s="583"/>
      <c r="C95" s="615">
        <v>-573138</v>
      </c>
      <c r="D95" s="615">
        <v>-344277.89199999999</v>
      </c>
      <c r="E95" s="615">
        <v>228860.10800000001</v>
      </c>
      <c r="F95" s="583"/>
      <c r="G95" s="599"/>
      <c r="H95" s="362"/>
    </row>
    <row r="96" spans="1:8" ht="15">
      <c r="A96" s="578" t="s">
        <v>315</v>
      </c>
      <c r="B96" s="583"/>
      <c r="C96" s="615">
        <v>0</v>
      </c>
      <c r="D96" s="607">
        <v>0</v>
      </c>
      <c r="E96" s="607">
        <v>0</v>
      </c>
      <c r="F96" s="583"/>
      <c r="G96" s="599"/>
      <c r="H96" s="362"/>
    </row>
    <row r="97" spans="1:8" ht="15">
      <c r="A97" s="578" t="s">
        <v>316</v>
      </c>
      <c r="B97" s="583"/>
      <c r="C97" s="621">
        <v>0</v>
      </c>
      <c r="D97" s="622">
        <v>0</v>
      </c>
      <c r="E97" s="622">
        <v>0</v>
      </c>
      <c r="F97" s="583"/>
      <c r="G97" s="599"/>
      <c r="H97" s="362"/>
    </row>
    <row r="98" spans="1:8" ht="15">
      <c r="A98" s="578"/>
      <c r="B98" s="583"/>
      <c r="C98" s="617"/>
      <c r="D98" s="583"/>
      <c r="E98" s="583"/>
      <c r="F98" s="583"/>
      <c r="G98" s="599"/>
      <c r="H98" s="362"/>
    </row>
    <row r="99" spans="1:8" ht="15">
      <c r="A99" s="585" t="s">
        <v>317</v>
      </c>
      <c r="B99" s="583"/>
      <c r="C99" s="604">
        <v>-1222003</v>
      </c>
      <c r="D99" s="604">
        <v>-2197000.6150363591</v>
      </c>
      <c r="E99" s="604">
        <v>-974997.61503635859</v>
      </c>
      <c r="F99" s="583"/>
      <c r="G99" s="599"/>
      <c r="H99" s="362"/>
    </row>
    <row r="100" spans="1:8" ht="14.25">
      <c r="A100" s="578"/>
      <c r="B100" s="581"/>
      <c r="C100" s="581"/>
      <c r="D100" s="581"/>
      <c r="E100" s="581"/>
      <c r="F100" s="581"/>
      <c r="G100" s="599"/>
      <c r="H100" s="362"/>
    </row>
    <row r="101" spans="1:8" ht="15">
      <c r="A101" s="578" t="s">
        <v>324</v>
      </c>
      <c r="B101" s="583"/>
      <c r="C101" s="592">
        <v>144479</v>
      </c>
      <c r="D101" s="609">
        <v>170221.49248602861</v>
      </c>
      <c r="E101" s="609">
        <v>25742.492486028612</v>
      </c>
      <c r="F101" s="583"/>
      <c r="G101" s="599"/>
      <c r="H101" s="362"/>
    </row>
    <row r="102" spans="1:8" ht="15">
      <c r="A102" s="578" t="s">
        <v>325</v>
      </c>
      <c r="B102" s="583"/>
      <c r="C102" s="598">
        <v>49890</v>
      </c>
      <c r="D102" s="598">
        <v>18564.022199999999</v>
      </c>
      <c r="E102" s="598">
        <v>-31325.977800000001</v>
      </c>
      <c r="F102" s="583"/>
      <c r="G102" s="599"/>
      <c r="H102" s="362"/>
    </row>
    <row r="103" spans="1:8" ht="15">
      <c r="A103" s="585" t="s">
        <v>318</v>
      </c>
      <c r="B103" s="583"/>
      <c r="C103" s="604">
        <v>-94589</v>
      </c>
      <c r="D103" s="604">
        <v>-151657.47028602861</v>
      </c>
      <c r="E103" s="604">
        <v>-57068.470286028612</v>
      </c>
      <c r="F103" s="583"/>
      <c r="G103" s="599"/>
      <c r="H103" s="362"/>
    </row>
    <row r="104" spans="1:8" ht="15">
      <c r="A104" s="578"/>
      <c r="B104" s="583"/>
      <c r="C104" s="583"/>
      <c r="D104" s="583"/>
      <c r="E104" s="583"/>
      <c r="F104" s="583"/>
      <c r="G104" s="599"/>
      <c r="H104" s="362"/>
    </row>
    <row r="105" spans="1:8" ht="15">
      <c r="A105" s="578"/>
      <c r="B105" s="583"/>
      <c r="C105" s="581"/>
      <c r="D105" s="583"/>
      <c r="E105" s="583"/>
      <c r="F105" s="583"/>
      <c r="G105" s="599"/>
      <c r="H105" s="362"/>
    </row>
    <row r="106" spans="1:8" ht="15.75">
      <c r="A106" s="585" t="s">
        <v>319</v>
      </c>
      <c r="B106" s="583"/>
      <c r="C106" s="592">
        <v>14240</v>
      </c>
      <c r="D106" s="660">
        <f>(C106+E106)</f>
        <v>14240</v>
      </c>
      <c r="E106" s="604"/>
      <c r="F106" s="599" t="s">
        <v>320</v>
      </c>
      <c r="G106" s="599"/>
      <c r="H106" s="362"/>
    </row>
    <row r="107" spans="1:8" ht="15">
      <c r="A107" s="578" t="s">
        <v>321</v>
      </c>
      <c r="B107" s="583"/>
      <c r="C107" s="587"/>
      <c r="D107" s="606">
        <v>0.13786773968622151</v>
      </c>
      <c r="E107" s="583"/>
      <c r="F107" s="658" t="s">
        <v>582</v>
      </c>
      <c r="G107" s="656"/>
      <c r="H107" s="362"/>
    </row>
    <row r="108" spans="1:8" ht="15">
      <c r="A108" s="578" t="s">
        <v>322</v>
      </c>
      <c r="B108" s="583"/>
      <c r="C108" s="603">
        <v>0</v>
      </c>
      <c r="D108" s="604">
        <v>1963.2366131317945</v>
      </c>
      <c r="E108" s="604">
        <v>-1963.2366131317945</v>
      </c>
      <c r="F108" s="583"/>
      <c r="G108" s="599"/>
      <c r="H108" s="362"/>
    </row>
    <row r="109" spans="1:7" ht="14.25">
      <c r="A109" s="578"/>
      <c r="B109" s="599"/>
      <c r="C109" s="599"/>
      <c r="D109" s="599"/>
      <c r="E109" s="599"/>
      <c r="F109" s="599"/>
      <c r="G109" s="599"/>
    </row>
  </sheetData>
  <mergeCells count="1">
    <mergeCell ref="A7:E8"/>
  </mergeCells>
  <pageMargins left="0.7" right="0.7" top="0.75" bottom="0.75" header="0.3" footer="0.3"/>
  <pageSetup horizontalDpi="300" verticalDpi="300" orientation="portrait" r:id="rId1"/>
  <headerFooter>
    <oddFooter>&amp;L&amp;"Times New Roman,Regular"&amp;9O3129680.v1</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K317"/>
  <sheetViews>
    <sheetView workbookViewId="0" topLeftCell="A1"/>
  </sheetViews>
  <sheetFormatPr defaultColWidth="10.85546875" defaultRowHeight="12"/>
  <cols>
    <col min="1" max="1" width="6.28571428571429" style="2" customWidth="1"/>
    <col min="2" max="2" width="35" style="632" customWidth="1"/>
    <col min="3" max="7" width="10.7142857142857" style="2" customWidth="1"/>
    <col min="8" max="16384" width="10.8571428571429" style="2"/>
  </cols>
  <sheetData>
    <row r="1" spans="1:7" ht="12">
      <c r="A1" s="1" t="s">
        <v>342</v>
      </c>
      <c r="B1" s="624"/>
      <c r="C1" s="1"/>
      <c r="G1" s="490" t="s">
        <v>1</v>
      </c>
    </row>
    <row r="2" spans="1:7" ht="12">
      <c r="A2" s="1" t="s">
        <v>111</v>
      </c>
      <c r="B2" s="624"/>
      <c r="C2" s="1"/>
      <c r="G2" s="490" t="s">
        <v>345</v>
      </c>
    </row>
    <row r="3" spans="1:7" ht="12">
      <c r="A3" s="386" t="s">
        <v>586</v>
      </c>
      <c r="B3" s="625"/>
      <c r="C3" s="1"/>
      <c r="G3" s="490" t="s">
        <v>326</v>
      </c>
    </row>
    <row r="4" spans="1:7" ht="12">
      <c r="A4" s="1" t="s">
        <v>113</v>
      </c>
      <c r="B4" s="625"/>
      <c r="C4" s="1"/>
      <c r="G4" s="490" t="s">
        <v>112</v>
      </c>
    </row>
    <row r="5" spans="1:7" ht="12">
      <c r="A5" s="8" t="s">
        <v>5</v>
      </c>
      <c r="B5" s="624"/>
      <c r="C5" s="1"/>
      <c r="G5" s="490" t="s">
        <v>346</v>
      </c>
    </row>
    <row r="6" spans="1:7" ht="12">
      <c r="A6" s="1" t="s">
        <v>347</v>
      </c>
      <c r="B6" s="625"/>
      <c r="C6" s="1"/>
      <c r="D6" s="1"/>
      <c r="E6" s="1"/>
      <c r="F6" s="1"/>
      <c r="G6" s="1"/>
    </row>
    <row r="7" spans="1:7" ht="12.75" customHeight="1" thickBot="1">
      <c r="A7" s="10"/>
      <c r="B7" s="626"/>
      <c r="C7" s="10"/>
      <c r="D7" s="10"/>
      <c r="E7" s="10"/>
      <c r="F7" s="10"/>
      <c r="G7" s="10"/>
    </row>
    <row r="8" spans="1:7" ht="12">
      <c r="A8" s="1"/>
      <c r="B8" s="628">
        <v>-1</v>
      </c>
      <c r="C8" s="628">
        <f>B8-1</f>
        <v>-2</v>
      </c>
      <c r="D8" s="628">
        <f>C8-1</f>
        <v>-3</v>
      </c>
      <c r="E8" s="628">
        <f>D8-1</f>
        <v>-4</v>
      </c>
      <c r="F8" s="628">
        <f t="shared" si="0" ref="F8:G8">E8-1</f>
        <v>-5</v>
      </c>
      <c r="G8" s="628">
        <f t="shared" si="0"/>
        <v>-6</v>
      </c>
    </row>
    <row r="9" spans="1:7" ht="12">
      <c r="A9" s="527" t="s">
        <v>91</v>
      </c>
      <c r="B9" s="627"/>
      <c r="C9" s="527" t="s">
        <v>8</v>
      </c>
      <c r="D9" s="527" t="s">
        <v>575</v>
      </c>
      <c r="E9" s="527" t="s">
        <v>10</v>
      </c>
      <c r="F9" s="19" t="s">
        <v>11</v>
      </c>
      <c r="G9" s="527" t="s">
        <v>11</v>
      </c>
    </row>
    <row r="10" spans="1:7" ht="12">
      <c r="A10" s="629" t="s">
        <v>94</v>
      </c>
      <c r="B10" s="630" t="s">
        <v>12</v>
      </c>
      <c r="C10" s="631" t="s">
        <v>351</v>
      </c>
      <c r="D10" s="631" t="s">
        <v>8</v>
      </c>
      <c r="E10" s="631" t="s">
        <v>177</v>
      </c>
      <c r="F10" s="629" t="s">
        <v>15</v>
      </c>
      <c r="G10" s="631" t="s">
        <v>16</v>
      </c>
    </row>
    <row r="11" spans="1:2" ht="12">
      <c r="A11" s="28">
        <v>1</v>
      </c>
      <c r="B11" s="624" t="s">
        <v>17</v>
      </c>
    </row>
    <row r="12" spans="1:7" ht="12">
      <c r="A12" s="28">
        <f t="shared" si="1" ref="A12:A65">A11+1</f>
        <v>2</v>
      </c>
      <c r="B12" s="632" t="s">
        <v>18</v>
      </c>
      <c r="C12" s="34"/>
      <c r="D12" s="34"/>
      <c r="E12" s="65"/>
      <c r="F12" s="30"/>
      <c r="G12" s="46" t="str">
        <f t="shared" si="2" ref="G12:G60">IF(OR(E12=0,F12=0),"",ROUND(E12*F12,0))</f>
        <v/>
      </c>
    </row>
    <row r="13" spans="1:7" ht="12">
      <c r="A13" s="28">
        <f t="shared" si="1"/>
        <v>3</v>
      </c>
      <c r="B13" s="632" t="s">
        <v>19</v>
      </c>
      <c r="C13" s="34"/>
      <c r="D13" s="34"/>
      <c r="E13" s="65"/>
      <c r="F13" s="30"/>
      <c r="G13" s="46" t="str">
        <f t="shared" si="2"/>
        <v/>
      </c>
    </row>
    <row r="14" spans="1:11" ht="12">
      <c r="A14" s="28">
        <f t="shared" si="1"/>
        <v>4</v>
      </c>
      <c r="B14" s="632" t="s">
        <v>20</v>
      </c>
      <c r="C14" s="34">
        <f>+'SAND TB'!P111</f>
        <v>222979.92</v>
      </c>
      <c r="D14" s="640">
        <v>-167085.92000000001</v>
      </c>
      <c r="E14" s="65">
        <f>SUM(C14:D14)</f>
        <v>55894</v>
      </c>
      <c r="F14" s="30">
        <f>1-51.62%</f>
        <v>0.48380000000000001</v>
      </c>
      <c r="G14" s="46">
        <f t="shared" si="2"/>
        <v>27042</v>
      </c>
      <c r="I14" s="2">
        <v>56453</v>
      </c>
      <c r="J14" s="639" t="s">
        <v>577</v>
      </c>
      <c r="K14" s="639"/>
    </row>
    <row r="15" spans="1:7" ht="12">
      <c r="A15" s="28">
        <f t="shared" si="1"/>
        <v>5</v>
      </c>
      <c r="B15" s="624" t="s">
        <v>21</v>
      </c>
      <c r="C15" s="34"/>
      <c r="D15" s="34"/>
      <c r="E15" s="65"/>
      <c r="F15" s="30"/>
      <c r="G15" s="46" t="str">
        <f t="shared" si="2"/>
        <v/>
      </c>
    </row>
    <row r="16" spans="1:7" ht="12">
      <c r="A16" s="28">
        <f t="shared" si="1"/>
        <v>6</v>
      </c>
      <c r="B16" s="632" t="s">
        <v>22</v>
      </c>
      <c r="C16" s="34"/>
      <c r="D16" s="34"/>
      <c r="E16" s="65"/>
      <c r="F16" s="30"/>
      <c r="G16" s="46" t="str">
        <f t="shared" si="2"/>
        <v/>
      </c>
    </row>
    <row r="17" spans="1:7" ht="12">
      <c r="A17" s="28">
        <f t="shared" si="1"/>
        <v>7</v>
      </c>
      <c r="B17" s="632" t="s">
        <v>23</v>
      </c>
      <c r="C17" s="34"/>
      <c r="D17" s="34"/>
      <c r="E17" s="65"/>
      <c r="F17" s="30"/>
      <c r="G17" s="46" t="str">
        <f t="shared" si="2"/>
        <v/>
      </c>
    </row>
    <row r="18" spans="1:7" ht="12">
      <c r="A18" s="28">
        <f t="shared" si="1"/>
        <v>8</v>
      </c>
      <c r="B18" s="633" t="s">
        <v>463</v>
      </c>
      <c r="C18" s="34"/>
      <c r="D18" s="34"/>
      <c r="E18" s="65"/>
      <c r="F18" s="30"/>
      <c r="G18" s="46"/>
    </row>
    <row r="19" spans="1:7" ht="12">
      <c r="A19" s="28">
        <f t="shared" si="1"/>
        <v>9</v>
      </c>
      <c r="B19" s="632" t="s">
        <v>25</v>
      </c>
      <c r="C19" s="34"/>
      <c r="D19" s="34"/>
      <c r="E19" s="65"/>
      <c r="F19" s="30"/>
      <c r="G19" s="46" t="str">
        <f t="shared" si="2"/>
        <v/>
      </c>
    </row>
    <row r="20" spans="1:7" ht="12">
      <c r="A20" s="28">
        <f t="shared" si="1"/>
        <v>10</v>
      </c>
      <c r="B20" s="632" t="s">
        <v>26</v>
      </c>
      <c r="C20" s="34"/>
      <c r="D20" s="34"/>
      <c r="E20" s="65"/>
      <c r="F20" s="30"/>
      <c r="G20" s="46" t="str">
        <f t="shared" si="2"/>
        <v/>
      </c>
    </row>
    <row r="21" spans="1:7" ht="12">
      <c r="A21" s="28">
        <f t="shared" si="1"/>
        <v>11</v>
      </c>
      <c r="B21" s="632" t="s">
        <v>27</v>
      </c>
      <c r="C21" s="34"/>
      <c r="D21" s="34"/>
      <c r="E21" s="65"/>
      <c r="F21" s="30"/>
      <c r="G21" s="46" t="str">
        <f t="shared" si="2"/>
        <v/>
      </c>
    </row>
    <row r="22" spans="1:7" ht="12">
      <c r="A22" s="28">
        <f t="shared" si="1"/>
        <v>12</v>
      </c>
      <c r="B22" s="632" t="s">
        <v>28</v>
      </c>
      <c r="C22" s="34"/>
      <c r="D22" s="34"/>
      <c r="E22" s="65"/>
      <c r="F22" s="30"/>
      <c r="G22" s="46" t="str">
        <f t="shared" si="2"/>
        <v/>
      </c>
    </row>
    <row r="23" spans="1:7" ht="12">
      <c r="A23" s="28">
        <f t="shared" si="1"/>
        <v>13</v>
      </c>
      <c r="B23" s="632" t="s">
        <v>29</v>
      </c>
      <c r="C23" s="34"/>
      <c r="D23" s="34"/>
      <c r="E23" s="65"/>
      <c r="F23" s="30"/>
      <c r="G23" s="46" t="str">
        <f t="shared" si="2"/>
        <v/>
      </c>
    </row>
    <row r="24" spans="1:7" ht="12">
      <c r="A24" s="28">
        <f t="shared" si="1"/>
        <v>14</v>
      </c>
      <c r="B24" s="632" t="s">
        <v>30</v>
      </c>
      <c r="C24" s="34"/>
      <c r="D24" s="34"/>
      <c r="E24" s="65"/>
      <c r="F24" s="30"/>
      <c r="G24" s="46" t="str">
        <f t="shared" si="2"/>
        <v/>
      </c>
    </row>
    <row r="25" spans="1:7" ht="12">
      <c r="A25" s="28">
        <f t="shared" si="1"/>
        <v>15</v>
      </c>
      <c r="B25" s="632" t="s">
        <v>31</v>
      </c>
      <c r="C25" s="34"/>
      <c r="D25" s="34"/>
      <c r="E25" s="65"/>
      <c r="F25" s="30"/>
      <c r="G25" s="46" t="str">
        <f t="shared" si="2"/>
        <v/>
      </c>
    </row>
    <row r="26" spans="1:7" ht="12">
      <c r="A26" s="28">
        <f t="shared" si="1"/>
        <v>16</v>
      </c>
      <c r="B26" s="624" t="s">
        <v>32</v>
      </c>
      <c r="C26" s="34"/>
      <c r="D26" s="34"/>
      <c r="E26" s="65"/>
      <c r="F26" s="30"/>
      <c r="G26" s="46" t="str">
        <f t="shared" si="2"/>
        <v/>
      </c>
    </row>
    <row r="27" spans="1:7" ht="12">
      <c r="A27" s="28">
        <f t="shared" si="1"/>
        <v>17</v>
      </c>
      <c r="B27" s="632" t="s">
        <v>33</v>
      </c>
      <c r="C27" s="34"/>
      <c r="D27" s="34"/>
      <c r="E27" s="65"/>
      <c r="F27" s="30"/>
      <c r="G27" s="46" t="str">
        <f t="shared" si="2"/>
        <v/>
      </c>
    </row>
    <row r="28" spans="1:7" ht="12">
      <c r="A28" s="28">
        <f t="shared" si="1"/>
        <v>18</v>
      </c>
      <c r="B28" s="632" t="s">
        <v>34</v>
      </c>
      <c r="C28" s="34"/>
      <c r="D28" s="34"/>
      <c r="E28" s="65"/>
      <c r="F28" s="30"/>
      <c r="G28" s="46" t="str">
        <f t="shared" si="2"/>
        <v/>
      </c>
    </row>
    <row r="29" spans="1:7" ht="12">
      <c r="A29" s="28">
        <f t="shared" si="1"/>
        <v>19</v>
      </c>
      <c r="B29" s="632" t="s">
        <v>35</v>
      </c>
      <c r="C29" s="34"/>
      <c r="D29" s="34"/>
      <c r="E29" s="65"/>
      <c r="F29" s="30"/>
      <c r="G29" s="46" t="str">
        <f t="shared" si="2"/>
        <v/>
      </c>
    </row>
    <row r="30" spans="1:7" ht="12">
      <c r="A30" s="28">
        <f t="shared" si="1"/>
        <v>20</v>
      </c>
      <c r="B30" s="632" t="s">
        <v>36</v>
      </c>
      <c r="C30" s="34"/>
      <c r="D30" s="34"/>
      <c r="E30" s="65"/>
      <c r="F30" s="30"/>
      <c r="G30" s="46" t="str">
        <f t="shared" si="2"/>
        <v/>
      </c>
    </row>
    <row r="31" spans="1:7" ht="12">
      <c r="A31" s="28">
        <f t="shared" si="1"/>
        <v>21</v>
      </c>
      <c r="B31" s="632" t="s">
        <v>37</v>
      </c>
      <c r="C31" s="34"/>
      <c r="D31" s="34"/>
      <c r="E31" s="65"/>
      <c r="F31" s="30"/>
      <c r="G31" s="46" t="str">
        <f t="shared" si="2"/>
        <v/>
      </c>
    </row>
    <row r="32" spans="1:7" ht="12">
      <c r="A32" s="28">
        <f t="shared" si="1"/>
        <v>22</v>
      </c>
      <c r="B32" s="624" t="s">
        <v>38</v>
      </c>
      <c r="C32" s="34"/>
      <c r="D32" s="34"/>
      <c r="E32" s="65"/>
      <c r="F32" s="30"/>
      <c r="G32" s="46" t="str">
        <f t="shared" si="2"/>
        <v/>
      </c>
    </row>
    <row r="33" spans="1:7" ht="12">
      <c r="A33" s="28">
        <f t="shared" si="1"/>
        <v>23</v>
      </c>
      <c r="B33" s="632" t="s">
        <v>39</v>
      </c>
      <c r="C33" s="34"/>
      <c r="D33" s="34"/>
      <c r="E33" s="65"/>
      <c r="F33" s="30"/>
      <c r="G33" s="46" t="str">
        <f t="shared" si="2"/>
        <v/>
      </c>
    </row>
    <row r="34" spans="1:7" ht="12">
      <c r="A34" s="28">
        <f t="shared" si="1"/>
        <v>24</v>
      </c>
      <c r="B34" s="633" t="s">
        <v>464</v>
      </c>
      <c r="C34" s="34"/>
      <c r="D34" s="34"/>
      <c r="E34" s="65"/>
      <c r="F34" s="30"/>
      <c r="G34" s="46" t="str">
        <f t="shared" si="2"/>
        <v/>
      </c>
    </row>
    <row r="35" spans="1:7" ht="12">
      <c r="A35" s="28">
        <f t="shared" si="1"/>
        <v>25</v>
      </c>
      <c r="B35" s="633" t="s">
        <v>465</v>
      </c>
      <c r="C35" s="34"/>
      <c r="D35" s="34"/>
      <c r="E35" s="65"/>
      <c r="F35" s="30"/>
      <c r="G35" s="46"/>
    </row>
    <row r="36" spans="1:7" ht="12">
      <c r="A36" s="28">
        <f t="shared" si="1"/>
        <v>26</v>
      </c>
      <c r="B36" s="632" t="s">
        <v>42</v>
      </c>
      <c r="C36" s="34"/>
      <c r="D36" s="34"/>
      <c r="E36" s="65"/>
      <c r="F36" s="30"/>
      <c r="G36" s="46" t="str">
        <f t="shared" si="2"/>
        <v/>
      </c>
    </row>
    <row r="37" spans="1:7" ht="12">
      <c r="A37" s="28">
        <f t="shared" si="1"/>
        <v>27</v>
      </c>
      <c r="B37" s="632" t="s">
        <v>43</v>
      </c>
      <c r="C37" s="34"/>
      <c r="D37" s="34"/>
      <c r="E37" s="65"/>
      <c r="F37" s="30"/>
      <c r="G37" s="46" t="str">
        <f t="shared" si="2"/>
        <v/>
      </c>
    </row>
    <row r="38" spans="1:7" ht="12">
      <c r="A38" s="28">
        <f t="shared" si="1"/>
        <v>28</v>
      </c>
      <c r="B38" s="632" t="s">
        <v>44</v>
      </c>
      <c r="C38" s="34"/>
      <c r="D38" s="34"/>
      <c r="E38" s="65"/>
      <c r="F38" s="30"/>
      <c r="G38" s="46" t="str">
        <f t="shared" si="2"/>
        <v/>
      </c>
    </row>
    <row r="39" spans="1:7" ht="12">
      <c r="A39" s="28">
        <f t="shared" si="1"/>
        <v>29</v>
      </c>
      <c r="B39" s="632" t="s">
        <v>45</v>
      </c>
      <c r="C39" s="34"/>
      <c r="D39" s="34"/>
      <c r="E39" s="65"/>
      <c r="F39" s="30"/>
      <c r="G39" s="46" t="str">
        <f t="shared" si="2"/>
        <v/>
      </c>
    </row>
    <row r="40" spans="1:7" ht="12">
      <c r="A40" s="28">
        <f t="shared" si="1"/>
        <v>30</v>
      </c>
      <c r="B40" s="624" t="s">
        <v>46</v>
      </c>
      <c r="C40" s="34"/>
      <c r="D40" s="34"/>
      <c r="E40" s="65"/>
      <c r="F40" s="30"/>
      <c r="G40" s="46"/>
    </row>
    <row r="41" spans="1:7" ht="12">
      <c r="A41" s="28">
        <f t="shared" si="1"/>
        <v>31</v>
      </c>
      <c r="B41" s="632" t="s">
        <v>133</v>
      </c>
      <c r="C41" s="34"/>
      <c r="D41" s="34"/>
      <c r="E41" s="65"/>
      <c r="F41" s="30"/>
      <c r="G41" s="46"/>
    </row>
    <row r="42" spans="1:7" ht="12">
      <c r="A42" s="28">
        <f t="shared" si="1"/>
        <v>32</v>
      </c>
      <c r="B42" s="36" t="s">
        <v>56</v>
      </c>
      <c r="C42" s="34"/>
      <c r="D42" s="34"/>
      <c r="E42" s="65"/>
      <c r="F42" s="30"/>
      <c r="G42" s="46"/>
    </row>
    <row r="43" spans="1:7" ht="12">
      <c r="A43" s="28">
        <f t="shared" si="1"/>
        <v>33</v>
      </c>
      <c r="B43" s="633" t="s">
        <v>466</v>
      </c>
      <c r="C43" s="34"/>
      <c r="D43" s="34"/>
      <c r="E43" s="65"/>
      <c r="F43" s="30"/>
      <c r="G43" s="46"/>
    </row>
    <row r="44" spans="1:7" ht="12">
      <c r="A44" s="28">
        <f t="shared" si="1"/>
        <v>34</v>
      </c>
      <c r="B44" s="36" t="s">
        <v>467</v>
      </c>
      <c r="C44" s="34"/>
      <c r="D44" s="34"/>
      <c r="E44" s="65"/>
      <c r="F44" s="30"/>
      <c r="G44" s="46"/>
    </row>
    <row r="45" spans="1:7" ht="12">
      <c r="A45" s="28">
        <f t="shared" si="1"/>
        <v>35</v>
      </c>
      <c r="B45" s="633" t="s">
        <v>468</v>
      </c>
      <c r="C45" s="34"/>
      <c r="D45" s="34"/>
      <c r="E45" s="65"/>
      <c r="F45" s="30"/>
      <c r="G45" s="46"/>
    </row>
    <row r="46" spans="1:7" ht="12">
      <c r="A46" s="28">
        <f t="shared" si="1"/>
        <v>36</v>
      </c>
      <c r="B46" s="633" t="s">
        <v>469</v>
      </c>
      <c r="C46" s="34"/>
      <c r="D46" s="34"/>
      <c r="E46" s="65"/>
      <c r="F46" s="30"/>
      <c r="G46" s="46"/>
    </row>
    <row r="47" spans="1:7" ht="12">
      <c r="A47" s="28">
        <f t="shared" si="1"/>
        <v>37</v>
      </c>
      <c r="B47" s="633" t="s">
        <v>135</v>
      </c>
      <c r="C47" s="34"/>
      <c r="D47" s="34"/>
      <c r="E47" s="65"/>
      <c r="F47" s="30"/>
      <c r="G47" s="46"/>
    </row>
    <row r="48" spans="1:7" ht="12">
      <c r="A48" s="28">
        <f t="shared" si="1"/>
        <v>38</v>
      </c>
      <c r="B48" s="632" t="s">
        <v>576</v>
      </c>
      <c r="C48" s="34"/>
      <c r="D48" s="34"/>
      <c r="E48" s="65"/>
      <c r="F48" s="30"/>
      <c r="G48" s="46" t="str">
        <f>IF(OR(E48=0,F48=0),"",ROUND(E48*F48,0))</f>
        <v/>
      </c>
    </row>
    <row r="49" spans="1:7" ht="12">
      <c r="A49" s="28">
        <f t="shared" si="1"/>
        <v>39</v>
      </c>
      <c r="B49" s="633" t="s">
        <v>55</v>
      </c>
      <c r="C49" s="34"/>
      <c r="D49" s="34"/>
      <c r="E49" s="65"/>
      <c r="F49" s="30"/>
      <c r="G49" s="46"/>
    </row>
    <row r="50" spans="1:7" ht="12">
      <c r="A50" s="28">
        <f t="shared" si="1"/>
        <v>40</v>
      </c>
      <c r="B50" s="624" t="s">
        <v>58</v>
      </c>
      <c r="C50" s="34"/>
      <c r="D50" s="34"/>
      <c r="E50" s="65"/>
      <c r="F50" s="30"/>
      <c r="G50" s="46" t="str">
        <f t="shared" si="2"/>
        <v/>
      </c>
    </row>
    <row r="51" spans="1:7" ht="12">
      <c r="A51" s="28">
        <f t="shared" si="1"/>
        <v>41</v>
      </c>
      <c r="B51" s="37" t="s">
        <v>59</v>
      </c>
      <c r="C51" s="34"/>
      <c r="D51" s="34"/>
      <c r="E51" s="65"/>
      <c r="F51" s="30"/>
      <c r="G51" s="46" t="str">
        <f t="shared" si="2"/>
        <v/>
      </c>
    </row>
    <row r="52" spans="1:7" ht="12">
      <c r="A52" s="28">
        <f t="shared" si="1"/>
        <v>42</v>
      </c>
      <c r="B52" s="37" t="s">
        <v>60</v>
      </c>
      <c r="C52" s="34"/>
      <c r="D52" s="34"/>
      <c r="E52" s="65"/>
      <c r="F52" s="30"/>
      <c r="G52" s="46"/>
    </row>
    <row r="53" spans="1:7" ht="12">
      <c r="A53" s="28">
        <f t="shared" si="1"/>
        <v>43</v>
      </c>
      <c r="B53" s="37" t="s">
        <v>62</v>
      </c>
      <c r="C53" s="34"/>
      <c r="D53" s="34"/>
      <c r="E53" s="65"/>
      <c r="F53" s="30"/>
      <c r="G53" s="46" t="str">
        <f t="shared" si="2"/>
        <v/>
      </c>
    </row>
    <row r="54" spans="1:7" ht="12">
      <c r="A54" s="28">
        <f t="shared" si="1"/>
        <v>44</v>
      </c>
      <c r="B54" s="37" t="s">
        <v>63</v>
      </c>
      <c r="C54" s="34"/>
      <c r="D54" s="34"/>
      <c r="E54" s="65"/>
      <c r="F54" s="30"/>
      <c r="G54" s="46"/>
    </row>
    <row r="55" spans="1:7" ht="12">
      <c r="A55" s="28">
        <f t="shared" si="1"/>
        <v>45</v>
      </c>
      <c r="B55" s="37" t="s">
        <v>99</v>
      </c>
      <c r="C55" s="34"/>
      <c r="D55" s="34"/>
      <c r="E55" s="65"/>
      <c r="F55" s="30"/>
      <c r="G55" s="46"/>
    </row>
    <row r="56" spans="1:7" ht="12">
      <c r="A56" s="28">
        <f t="shared" si="1"/>
        <v>46</v>
      </c>
      <c r="B56" s="37" t="s">
        <v>65</v>
      </c>
      <c r="C56" s="34"/>
      <c r="D56" s="34"/>
      <c r="E56" s="65"/>
      <c r="F56" s="30"/>
      <c r="G56" s="46"/>
    </row>
    <row r="57" spans="1:7" ht="12">
      <c r="A57" s="28">
        <f t="shared" si="1"/>
        <v>47</v>
      </c>
      <c r="B57" s="67" t="s">
        <v>66</v>
      </c>
      <c r="C57" s="34"/>
      <c r="D57" s="34"/>
      <c r="E57" s="65"/>
      <c r="F57" s="30"/>
      <c r="G57" s="46"/>
    </row>
    <row r="58" spans="1:7" ht="12">
      <c r="A58" s="28">
        <f t="shared" si="1"/>
        <v>48</v>
      </c>
      <c r="B58" s="37" t="s">
        <v>100</v>
      </c>
      <c r="C58" s="34"/>
      <c r="D58" s="34"/>
      <c r="E58" s="65"/>
      <c r="F58" s="30"/>
      <c r="G58" s="46" t="str">
        <f t="shared" si="2"/>
        <v/>
      </c>
    </row>
    <row r="59" spans="1:7" ht="12">
      <c r="A59" s="28">
        <f t="shared" si="1"/>
        <v>49</v>
      </c>
      <c r="B59" s="37" t="s">
        <v>68</v>
      </c>
      <c r="C59" s="34"/>
      <c r="D59" s="34"/>
      <c r="E59" s="65"/>
      <c r="F59" s="30"/>
      <c r="G59" s="46" t="str">
        <f t="shared" si="2"/>
        <v/>
      </c>
    </row>
    <row r="60" spans="1:7" ht="12">
      <c r="A60" s="28">
        <f t="shared" si="1"/>
        <v>50</v>
      </c>
      <c r="B60" s="37" t="s">
        <v>69</v>
      </c>
      <c r="C60" s="34"/>
      <c r="D60" s="34"/>
      <c r="E60" s="65"/>
      <c r="F60" s="30"/>
      <c r="G60" s="46" t="str">
        <f t="shared" si="2"/>
        <v/>
      </c>
    </row>
    <row r="61" spans="1:9" ht="14.25">
      <c r="A61" s="28">
        <f t="shared" si="1"/>
        <v>51</v>
      </c>
      <c r="B61" s="36" t="s">
        <v>149</v>
      </c>
      <c r="C61" s="634"/>
      <c r="D61" s="634"/>
      <c r="E61" s="634"/>
      <c r="F61" s="635"/>
      <c r="G61" s="636"/>
      <c r="H61" s="637"/>
      <c r="I61" s="637"/>
    </row>
    <row r="62" spans="1:7" ht="12">
      <c r="A62" s="28">
        <f t="shared" si="1"/>
        <v>52</v>
      </c>
      <c r="B62" s="632" t="s">
        <v>156</v>
      </c>
      <c r="C62" s="39">
        <f>SUM(C11:C61)</f>
        <v>222979.92</v>
      </c>
      <c r="D62" s="251">
        <f>SUM(D11:D61)</f>
        <v>-167085.92000000001</v>
      </c>
      <c r="E62" s="39">
        <f>SUM(E11:E61)</f>
        <v>55894</v>
      </c>
      <c r="F62" s="29"/>
      <c r="G62" s="39">
        <f>SUM(G11:G61)</f>
        <v>27042</v>
      </c>
    </row>
    <row r="63" spans="1:9" ht="14.25">
      <c r="A63" s="28">
        <f t="shared" si="1"/>
        <v>53</v>
      </c>
      <c r="B63" s="632" t="s">
        <v>363</v>
      </c>
      <c r="C63" s="663">
        <f>+C69+C70</f>
        <v>-33635.44000000001</v>
      </c>
      <c r="D63" s="722"/>
      <c r="E63" s="663">
        <f>C63+D63</f>
        <v>-33635.44000000001</v>
      </c>
      <c r="F63" s="30">
        <f>1-51.62%</f>
        <v>0.48380000000000001</v>
      </c>
      <c r="G63" s="46">
        <f t="shared" si="3" ref="G63">IF(OR(E63=0,F63=0),"",ROUND(E63*F63,0))</f>
        <v>-16273</v>
      </c>
      <c r="H63" s="637"/>
      <c r="I63" s="637"/>
    </row>
    <row r="64" spans="1:7" ht="12">
      <c r="A64" s="28">
        <f t="shared" si="1"/>
        <v>54</v>
      </c>
      <c r="C64" s="574"/>
      <c r="D64" s="695"/>
      <c r="E64" s="574"/>
      <c r="F64" s="46"/>
      <c r="G64" s="46"/>
    </row>
    <row r="65" spans="1:7" ht="12.75" thickBot="1">
      <c r="A65" s="28">
        <f t="shared" si="1"/>
        <v>55</v>
      </c>
      <c r="B65" s="632" t="s">
        <v>364</v>
      </c>
      <c r="C65" s="652">
        <f>SUM(C62:C64)</f>
        <v>189344.48</v>
      </c>
      <c r="D65" s="537">
        <f>SUM(D62:D64)</f>
        <v>-167085.92000000001</v>
      </c>
      <c r="E65" s="652">
        <f>SUM(E62:E64)</f>
        <v>22258.55999999999</v>
      </c>
      <c r="F65" s="33"/>
      <c r="G65" s="652">
        <f>SUM(G62:G64)</f>
        <v>10769</v>
      </c>
    </row>
    <row r="66" spans="1:5" ht="12.75" thickTop="1">
      <c r="A66" s="28"/>
      <c r="C66" s="574"/>
      <c r="E66" s="574"/>
    </row>
    <row r="67" spans="1:5" ht="12">
      <c r="A67" s="19"/>
      <c r="B67" s="624"/>
      <c r="C67" s="574"/>
      <c r="E67" s="574"/>
    </row>
    <row r="68" spans="3:5" ht="12">
      <c r="C68" s="574"/>
      <c r="E68" s="574"/>
    </row>
    <row r="69" spans="2:5" ht="12">
      <c r="B69" s="642" t="s">
        <v>578</v>
      </c>
      <c r="C69" s="574">
        <f>+'SAND TB'!P126</f>
        <v>-268.80</v>
      </c>
      <c r="D69" s="32"/>
      <c r="E69" s="574"/>
    </row>
    <row r="70" spans="2:5" ht="12">
      <c r="B70" s="642" t="s">
        <v>579</v>
      </c>
      <c r="C70" s="34">
        <f>+'SAND TB'!P127</f>
        <v>-33366.640000000007</v>
      </c>
      <c r="E70" s="574"/>
    </row>
    <row r="143" spans="1:2" ht="12">
      <c r="A143" s="53"/>
      <c r="B143" s="638"/>
    </row>
    <row r="144" spans="1:2" ht="12">
      <c r="A144" s="53"/>
      <c r="B144" s="638"/>
    </row>
    <row r="145" spans="1:2" ht="12">
      <c r="A145" s="53"/>
      <c r="B145" s="638"/>
    </row>
    <row r="146" spans="1:2" ht="12">
      <c r="A146" s="53"/>
      <c r="B146" s="638"/>
    </row>
    <row r="147" spans="1:2" ht="12">
      <c r="A147" s="53"/>
      <c r="B147" s="638"/>
    </row>
    <row r="177" spans="1:2" ht="12">
      <c r="A177" s="53"/>
      <c r="B177" s="638"/>
    </row>
    <row r="246" ht="12">
      <c r="A246" s="1"/>
    </row>
    <row r="263" ht="12">
      <c r="A263" s="53"/>
    </row>
    <row r="264" ht="12">
      <c r="A264" s="53"/>
    </row>
    <row r="265" ht="12">
      <c r="A265" s="53"/>
    </row>
    <row r="266" ht="12">
      <c r="A266" s="53"/>
    </row>
    <row r="267" ht="12">
      <c r="A267" s="53"/>
    </row>
    <row r="268" ht="12">
      <c r="A268" s="53"/>
    </row>
    <row r="269" ht="12">
      <c r="A269" s="53"/>
    </row>
    <row r="270" ht="12">
      <c r="A270" s="53"/>
    </row>
    <row r="271" ht="12">
      <c r="A271" s="53"/>
    </row>
    <row r="272" ht="12">
      <c r="A272" s="53"/>
    </row>
    <row r="273" ht="12">
      <c r="A273" s="53"/>
    </row>
    <row r="274" ht="12">
      <c r="A274" s="53"/>
    </row>
    <row r="275" ht="12">
      <c r="A275" s="53"/>
    </row>
    <row r="276" ht="12">
      <c r="A276" s="53"/>
    </row>
    <row r="277" ht="12">
      <c r="A277" s="53"/>
    </row>
    <row r="278" ht="12">
      <c r="A278" s="53"/>
    </row>
    <row r="279" ht="12">
      <c r="A279" s="53"/>
    </row>
    <row r="280" ht="12">
      <c r="A280" s="53"/>
    </row>
    <row r="281" ht="12">
      <c r="A281" s="53"/>
    </row>
    <row r="282" ht="12">
      <c r="A282" s="53"/>
    </row>
    <row r="283" ht="12">
      <c r="A283" s="53"/>
    </row>
    <row r="284" ht="12">
      <c r="A284" s="53"/>
    </row>
    <row r="285" ht="12">
      <c r="A285" s="53"/>
    </row>
    <row r="286" ht="12">
      <c r="A286" s="53"/>
    </row>
    <row r="287" ht="12">
      <c r="A287" s="53"/>
    </row>
    <row r="288" ht="12">
      <c r="A288" s="53"/>
    </row>
    <row r="289" ht="12">
      <c r="A289" s="53"/>
    </row>
    <row r="290" ht="12">
      <c r="A290" s="53"/>
    </row>
    <row r="291" ht="12">
      <c r="A291" s="53"/>
    </row>
    <row r="292" ht="12">
      <c r="A292" s="53"/>
    </row>
    <row r="293" ht="12">
      <c r="A293" s="53"/>
    </row>
    <row r="294" ht="12">
      <c r="A294" s="53"/>
    </row>
    <row r="295" ht="12">
      <c r="A295" s="53"/>
    </row>
    <row r="296" ht="12">
      <c r="A296" s="53"/>
    </row>
    <row r="297" ht="12">
      <c r="A297" s="53"/>
    </row>
    <row r="298" ht="12">
      <c r="A298" s="53"/>
    </row>
    <row r="299" ht="12">
      <c r="A299" s="53"/>
    </row>
    <row r="300" ht="12">
      <c r="A300" s="53"/>
    </row>
    <row r="301" ht="12">
      <c r="A301" s="53"/>
    </row>
    <row r="302" ht="12">
      <c r="A302" s="53"/>
    </row>
    <row r="303" ht="12">
      <c r="A303" s="53"/>
    </row>
    <row r="304" ht="12">
      <c r="A304" s="53"/>
    </row>
    <row r="305" ht="12">
      <c r="A305" s="53"/>
    </row>
    <row r="306" ht="12">
      <c r="A306" s="53"/>
    </row>
    <row r="307" ht="12">
      <c r="A307" s="53"/>
    </row>
    <row r="308" ht="12">
      <c r="A308" s="53"/>
    </row>
    <row r="309" ht="12">
      <c r="A309" s="53"/>
    </row>
    <row r="310" ht="12">
      <c r="A310" s="53"/>
    </row>
    <row r="311" ht="12">
      <c r="A311" s="53"/>
    </row>
    <row r="312" ht="12">
      <c r="A312" s="53"/>
    </row>
    <row r="313" ht="12">
      <c r="A313" s="53"/>
    </row>
    <row r="314" ht="12">
      <c r="A314" s="53"/>
    </row>
    <row r="315" ht="12">
      <c r="A315" s="53"/>
    </row>
    <row r="316" ht="12">
      <c r="A316" s="53"/>
    </row>
    <row r="317" ht="12">
      <c r="A317" s="53"/>
    </row>
  </sheetData>
  <pageMargins left="0.7" right="0.7" top="0.75" bottom="0.75" header="0.3" footer="0.3"/>
  <pageSetup horizontalDpi="300" verticalDpi="300" orientation="portrait" r:id="rId1"/>
  <headerFooter>
    <oddFooter>&amp;L&amp;"Times New Roman,Regular"&amp;9O3129680.v1</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2:P132"/>
  <sheetViews>
    <sheetView tabSelected="1" zoomScale="90" zoomScaleNormal="90" workbookViewId="0" topLeftCell="A1"/>
  </sheetViews>
  <sheetFormatPr defaultColWidth="9.140625" defaultRowHeight="12.75"/>
  <cols>
    <col min="1" max="1" width="9.14285714285714" style="698"/>
    <col min="2" max="2" width="34.8571428571429" style="698" bestFit="1" customWidth="1"/>
    <col min="3" max="15" width="12.8571428571429" style="698" customWidth="1"/>
    <col min="16" max="16" width="14.5714285714286" style="698" bestFit="1" customWidth="1"/>
    <col min="17" max="16384" width="9.14285714285714" style="698"/>
  </cols>
  <sheetData>
    <row r="2" spans="3:15" ht="12.75">
      <c r="C2" s="719">
        <v>43800</v>
      </c>
      <c r="D2" s="698" t="s">
        <v>562</v>
      </c>
      <c r="E2" s="698" t="s">
        <v>563</v>
      </c>
      <c r="F2" s="698" t="s">
        <v>564</v>
      </c>
      <c r="G2" s="698" t="s">
        <v>565</v>
      </c>
      <c r="H2" s="698" t="s">
        <v>225</v>
      </c>
      <c r="I2" s="698" t="s">
        <v>566</v>
      </c>
      <c r="J2" s="698" t="s">
        <v>567</v>
      </c>
      <c r="K2" s="698" t="s">
        <v>568</v>
      </c>
      <c r="L2" s="698" t="s">
        <v>569</v>
      </c>
      <c r="M2" s="698" t="s">
        <v>570</v>
      </c>
      <c r="N2" s="698" t="s">
        <v>571</v>
      </c>
      <c r="O2" s="719" t="s">
        <v>572</v>
      </c>
    </row>
    <row r="3" spans="1:16" ht="12.75">
      <c r="A3" s="720">
        <v>1250</v>
      </c>
      <c r="B3" s="698" t="s">
        <v>542</v>
      </c>
      <c r="C3" s="714">
        <v>3421.08</v>
      </c>
      <c r="D3" s="714">
        <v>3421.08</v>
      </c>
      <c r="E3" s="714">
        <v>3421.08</v>
      </c>
      <c r="F3" s="714">
        <v>3421.08</v>
      </c>
      <c r="G3" s="714">
        <v>3421.08</v>
      </c>
      <c r="H3" s="714">
        <v>3421.08</v>
      </c>
      <c r="I3" s="714">
        <v>3421.08</v>
      </c>
      <c r="J3" s="714">
        <v>3421.08</v>
      </c>
      <c r="K3" s="714">
        <v>3421.08</v>
      </c>
      <c r="L3" s="714">
        <v>3421.08</v>
      </c>
      <c r="M3" s="714">
        <v>3421.08</v>
      </c>
      <c r="N3" s="714">
        <v>3421.08</v>
      </c>
      <c r="O3" s="714">
        <v>3421.08</v>
      </c>
      <c r="P3" s="715">
        <f>+AVERAGE(C3:O3)</f>
        <v>3421.0800000000013</v>
      </c>
    </row>
    <row r="4" spans="1:16" ht="12.75">
      <c r="A4" s="720">
        <v>1270</v>
      </c>
      <c r="B4" s="698" t="s">
        <v>233</v>
      </c>
      <c r="C4" s="714">
        <v>167061.82</v>
      </c>
      <c r="D4" s="714">
        <v>167061.82</v>
      </c>
      <c r="E4" s="714">
        <v>167061.82</v>
      </c>
      <c r="F4" s="714">
        <v>167061.82</v>
      </c>
      <c r="G4" s="714">
        <v>167061.82</v>
      </c>
      <c r="H4" s="714">
        <v>167061.82</v>
      </c>
      <c r="I4" s="714">
        <v>167061.82</v>
      </c>
      <c r="J4" s="714">
        <v>167061.82</v>
      </c>
      <c r="K4" s="714">
        <v>167061.82</v>
      </c>
      <c r="L4" s="714">
        <v>167061.82</v>
      </c>
      <c r="M4" s="714">
        <v>167061.82</v>
      </c>
      <c r="N4" s="714">
        <v>167061.82</v>
      </c>
      <c r="O4" s="714">
        <v>167061.82</v>
      </c>
      <c r="P4" s="715">
        <f t="shared" si="0" ref="P4:P67">+AVERAGE(C4:O4)</f>
        <v>167061.82000000004</v>
      </c>
    </row>
    <row r="5" spans="1:16" ht="12.75">
      <c r="A5" s="720">
        <v>1290</v>
      </c>
      <c r="B5" s="698" t="s">
        <v>543</v>
      </c>
      <c r="C5" s="714">
        <v>2893.38</v>
      </c>
      <c r="D5" s="714">
        <v>2893.38</v>
      </c>
      <c r="E5" s="714">
        <v>2893.38</v>
      </c>
      <c r="F5" s="714">
        <v>2893.38</v>
      </c>
      <c r="G5" s="714">
        <v>2893.38</v>
      </c>
      <c r="H5" s="714">
        <v>2893.38</v>
      </c>
      <c r="I5" s="714">
        <v>2893.38</v>
      </c>
      <c r="J5" s="714">
        <v>2893.38</v>
      </c>
      <c r="K5" s="714">
        <v>2893.38</v>
      </c>
      <c r="L5" s="714">
        <v>2893.38</v>
      </c>
      <c r="M5" s="714">
        <v>2893.38</v>
      </c>
      <c r="N5" s="714">
        <v>2893.38</v>
      </c>
      <c r="O5" s="714">
        <v>2893.38</v>
      </c>
      <c r="P5" s="715">
        <f t="shared" si="0"/>
        <v>2893.38</v>
      </c>
    </row>
    <row r="6" spans="1:16" ht="12.75">
      <c r="A6" s="720">
        <v>1295</v>
      </c>
      <c r="B6" s="698" t="s">
        <v>235</v>
      </c>
      <c r="C6" s="714">
        <v>716379.99</v>
      </c>
      <c r="D6" s="714">
        <v>716379.99</v>
      </c>
      <c r="E6" s="714">
        <v>716955.09</v>
      </c>
      <c r="F6" s="714">
        <v>722509.42</v>
      </c>
      <c r="G6" s="714">
        <v>725106.85</v>
      </c>
      <c r="H6" s="714">
        <v>732486.22</v>
      </c>
      <c r="I6" s="714">
        <v>733228.27</v>
      </c>
      <c r="J6" s="714">
        <v>733279.57</v>
      </c>
      <c r="K6" s="714">
        <v>738537.90</v>
      </c>
      <c r="L6" s="714">
        <v>832248.86</v>
      </c>
      <c r="M6" s="714">
        <v>832356.86</v>
      </c>
      <c r="N6" s="714">
        <v>833364.93</v>
      </c>
      <c r="O6" s="714">
        <v>834236.28</v>
      </c>
      <c r="P6" s="715">
        <f t="shared" si="0"/>
        <v>759005.40230769233</v>
      </c>
    </row>
    <row r="7" spans="1:16" ht="12.75">
      <c r="A7" s="720">
        <v>1310</v>
      </c>
      <c r="B7" s="698" t="s">
        <v>381</v>
      </c>
      <c r="C7" s="714">
        <v>156.25</v>
      </c>
      <c r="D7" s="714">
        <v>156.25</v>
      </c>
      <c r="E7" s="714">
        <v>156.25</v>
      </c>
      <c r="F7" s="714">
        <v>156.25</v>
      </c>
      <c r="G7" s="714">
        <v>156.25</v>
      </c>
      <c r="H7" s="714">
        <v>156.25</v>
      </c>
      <c r="I7" s="714">
        <v>156.25</v>
      </c>
      <c r="J7" s="714">
        <v>156.25</v>
      </c>
      <c r="K7" s="714">
        <v>156.25</v>
      </c>
      <c r="L7" s="714">
        <v>156.25</v>
      </c>
      <c r="M7" s="714">
        <v>156.25</v>
      </c>
      <c r="N7" s="714">
        <v>156.25</v>
      </c>
      <c r="O7" s="714">
        <v>156.25</v>
      </c>
      <c r="P7" s="715">
        <f t="shared" si="0"/>
        <v>156.25</v>
      </c>
    </row>
    <row r="8" spans="1:16" ht="12.75">
      <c r="A8" s="720">
        <v>1315</v>
      </c>
      <c r="B8" s="698" t="s">
        <v>237</v>
      </c>
      <c r="C8" s="714">
        <v>8926.2199999999993</v>
      </c>
      <c r="D8" s="714">
        <v>8926.2199999999993</v>
      </c>
      <c r="E8" s="714">
        <v>8926.2199999999993</v>
      </c>
      <c r="F8" s="714">
        <v>8926.2199999999993</v>
      </c>
      <c r="G8" s="714">
        <v>9272.4599999999991</v>
      </c>
      <c r="H8" s="714">
        <v>9272.4599999999991</v>
      </c>
      <c r="I8" s="714">
        <v>9272.4599999999991</v>
      </c>
      <c r="J8" s="714">
        <v>9272.4599999999991</v>
      </c>
      <c r="K8" s="714">
        <v>9272.4599999999991</v>
      </c>
      <c r="L8" s="714">
        <v>9272.4599999999991</v>
      </c>
      <c r="M8" s="714">
        <v>9272.4599999999991</v>
      </c>
      <c r="N8" s="714">
        <v>9272.4599999999991</v>
      </c>
      <c r="O8" s="714">
        <v>9272.4599999999991</v>
      </c>
      <c r="P8" s="715">
        <f t="shared" si="0"/>
        <v>9165.9246153846125</v>
      </c>
    </row>
    <row r="9" spans="1:16" ht="12.75">
      <c r="A9" s="720">
        <v>1320</v>
      </c>
      <c r="B9" s="698" t="s">
        <v>382</v>
      </c>
      <c r="C9" s="714">
        <v>96319.46</v>
      </c>
      <c r="D9" s="714">
        <v>96319.46</v>
      </c>
      <c r="E9" s="714">
        <v>96319.46</v>
      </c>
      <c r="F9" s="714">
        <v>96319.46</v>
      </c>
      <c r="G9" s="714">
        <v>96319.46</v>
      </c>
      <c r="H9" s="714">
        <v>96319.46</v>
      </c>
      <c r="I9" s="714">
        <v>96319.46</v>
      </c>
      <c r="J9" s="714">
        <v>96319.46</v>
      </c>
      <c r="K9" s="714">
        <v>96319.46</v>
      </c>
      <c r="L9" s="714">
        <v>96319.46</v>
      </c>
      <c r="M9" s="714">
        <v>96319.46</v>
      </c>
      <c r="N9" s="714">
        <v>96319.46</v>
      </c>
      <c r="O9" s="714">
        <v>96319.46</v>
      </c>
      <c r="P9" s="715">
        <f t="shared" si="0"/>
        <v>96319.459999999977</v>
      </c>
    </row>
    <row r="10" spans="1:16" ht="12.75">
      <c r="A10" s="720">
        <v>1345</v>
      </c>
      <c r="B10" s="698" t="s">
        <v>238</v>
      </c>
      <c r="C10" s="714">
        <v>3832317.64</v>
      </c>
      <c r="D10" s="714">
        <v>3832317.64</v>
      </c>
      <c r="E10" s="714">
        <v>3832317.64</v>
      </c>
      <c r="F10" s="714">
        <v>3832317.64</v>
      </c>
      <c r="G10" s="714">
        <v>3832317.64</v>
      </c>
      <c r="H10" s="714">
        <v>3832317.64</v>
      </c>
      <c r="I10" s="714">
        <v>3832317.64</v>
      </c>
      <c r="J10" s="714">
        <v>3832317.64</v>
      </c>
      <c r="K10" s="714">
        <v>3832317.64</v>
      </c>
      <c r="L10" s="714">
        <v>3832317.64</v>
      </c>
      <c r="M10" s="714">
        <v>3832317.64</v>
      </c>
      <c r="N10" s="714">
        <v>3832317.64</v>
      </c>
      <c r="O10" s="714">
        <v>3832769.44</v>
      </c>
      <c r="P10" s="715">
        <f t="shared" si="0"/>
        <v>3832352.3938461537</v>
      </c>
    </row>
    <row r="11" spans="1:16" ht="12.75">
      <c r="A11" s="720">
        <v>1350</v>
      </c>
      <c r="B11" s="698" t="s">
        <v>239</v>
      </c>
      <c r="C11" s="714">
        <v>619000.74</v>
      </c>
      <c r="D11" s="714">
        <v>619000.74</v>
      </c>
      <c r="E11" s="714">
        <v>619000.74</v>
      </c>
      <c r="F11" s="714">
        <v>619000.74</v>
      </c>
      <c r="G11" s="714">
        <v>619000.74</v>
      </c>
      <c r="H11" s="714">
        <v>619000.74</v>
      </c>
      <c r="I11" s="714">
        <v>619000.74</v>
      </c>
      <c r="J11" s="714">
        <v>619000.74</v>
      </c>
      <c r="K11" s="714">
        <v>619000.74</v>
      </c>
      <c r="L11" s="714">
        <v>619638.36</v>
      </c>
      <c r="M11" s="714">
        <v>619638.36</v>
      </c>
      <c r="N11" s="714">
        <v>619638.36</v>
      </c>
      <c r="O11" s="714">
        <v>619638.36</v>
      </c>
      <c r="P11" s="715">
        <f t="shared" si="0"/>
        <v>619196.93076923094</v>
      </c>
    </row>
    <row r="12" spans="1:16" ht="12.75">
      <c r="A12" s="720">
        <v>1353</v>
      </c>
      <c r="B12" s="698" t="s">
        <v>240</v>
      </c>
      <c r="C12" s="714">
        <v>205345.95</v>
      </c>
      <c r="D12" s="714">
        <v>205345.95</v>
      </c>
      <c r="E12" s="714">
        <v>205345.95</v>
      </c>
      <c r="F12" s="714">
        <v>205345.95</v>
      </c>
      <c r="G12" s="714">
        <v>205345.95</v>
      </c>
      <c r="H12" s="714">
        <v>205345.95</v>
      </c>
      <c r="I12" s="714">
        <v>205345.95</v>
      </c>
      <c r="J12" s="714">
        <v>205345.95</v>
      </c>
      <c r="K12" s="714">
        <v>205345.95</v>
      </c>
      <c r="L12" s="714">
        <v>205345.95</v>
      </c>
      <c r="M12" s="714">
        <v>205345.95</v>
      </c>
      <c r="N12" s="714">
        <v>205345.95</v>
      </c>
      <c r="O12" s="714">
        <v>205345.95</v>
      </c>
      <c r="P12" s="715">
        <f t="shared" si="0"/>
        <v>205345.95</v>
      </c>
    </row>
    <row r="13" spans="1:16" ht="12.75">
      <c r="A13" s="720">
        <v>1360</v>
      </c>
      <c r="B13" s="698" t="s">
        <v>241</v>
      </c>
      <c r="C13" s="714">
        <v>119831.41</v>
      </c>
      <c r="D13" s="714">
        <v>119831.41</v>
      </c>
      <c r="E13" s="714">
        <v>119831.41</v>
      </c>
      <c r="F13" s="714">
        <v>119831.41</v>
      </c>
      <c r="G13" s="714">
        <v>119831.41</v>
      </c>
      <c r="H13" s="714">
        <v>119831.41</v>
      </c>
      <c r="I13" s="714">
        <v>119831.41</v>
      </c>
      <c r="J13" s="714">
        <v>119831.41</v>
      </c>
      <c r="K13" s="714">
        <v>119831.41</v>
      </c>
      <c r="L13" s="714">
        <v>119831.41</v>
      </c>
      <c r="M13" s="714">
        <v>119831.41</v>
      </c>
      <c r="N13" s="714">
        <v>119831.41</v>
      </c>
      <c r="O13" s="714">
        <v>119831.41</v>
      </c>
      <c r="P13" s="715">
        <f t="shared" si="0"/>
        <v>119831.40999999999</v>
      </c>
    </row>
    <row r="14" spans="1:16" ht="12.75">
      <c r="A14" s="720">
        <v>1375</v>
      </c>
      <c r="B14" s="698" t="s">
        <v>544</v>
      </c>
      <c r="C14" s="714">
        <v>600398.15</v>
      </c>
      <c r="D14" s="714">
        <v>600398.15</v>
      </c>
      <c r="E14" s="714">
        <v>600398.15</v>
      </c>
      <c r="F14" s="714">
        <v>600398.15</v>
      </c>
      <c r="G14" s="714">
        <v>600398.15</v>
      </c>
      <c r="H14" s="714">
        <v>600398.15</v>
      </c>
      <c r="I14" s="714">
        <v>600398.15</v>
      </c>
      <c r="J14" s="714">
        <v>600398.15</v>
      </c>
      <c r="K14" s="714">
        <v>600398.15</v>
      </c>
      <c r="L14" s="714">
        <v>600398.15</v>
      </c>
      <c r="M14" s="714">
        <v>600398.15</v>
      </c>
      <c r="N14" s="714">
        <v>600398.15</v>
      </c>
      <c r="O14" s="714">
        <v>600398.15</v>
      </c>
      <c r="P14" s="715">
        <f t="shared" si="0"/>
        <v>600398.15000000014</v>
      </c>
    </row>
    <row r="15" spans="1:16" ht="12.75">
      <c r="A15" s="720">
        <v>1380</v>
      </c>
      <c r="B15" s="698" t="s">
        <v>243</v>
      </c>
      <c r="C15" s="714">
        <v>173631.54</v>
      </c>
      <c r="D15" s="714">
        <v>173631.54</v>
      </c>
      <c r="E15" s="714">
        <v>173631.54</v>
      </c>
      <c r="F15" s="714">
        <v>173977.78</v>
      </c>
      <c r="G15" s="714">
        <v>173977.78</v>
      </c>
      <c r="H15" s="714">
        <v>173977.78</v>
      </c>
      <c r="I15" s="714">
        <v>173977.78</v>
      </c>
      <c r="J15" s="714">
        <v>173977.78</v>
      </c>
      <c r="K15" s="714">
        <v>173977.78</v>
      </c>
      <c r="L15" s="714">
        <v>173977.78</v>
      </c>
      <c r="M15" s="714">
        <v>173977.78</v>
      </c>
      <c r="N15" s="714">
        <v>173977.78</v>
      </c>
      <c r="O15" s="714">
        <v>173977.78</v>
      </c>
      <c r="P15" s="715">
        <f t="shared" si="0"/>
        <v>173897.87846153847</v>
      </c>
    </row>
    <row r="16" spans="1:16" ht="12.75">
      <c r="A16" s="720">
        <v>1400</v>
      </c>
      <c r="B16" s="698" t="s">
        <v>245</v>
      </c>
      <c r="C16" s="714">
        <v>4477.29</v>
      </c>
      <c r="D16" s="714">
        <v>4477.29</v>
      </c>
      <c r="E16" s="714">
        <v>4477.29</v>
      </c>
      <c r="F16" s="714">
        <v>4677.29</v>
      </c>
      <c r="G16" s="714">
        <v>4677.29</v>
      </c>
      <c r="H16" s="714">
        <v>4777.29</v>
      </c>
      <c r="I16" s="714">
        <v>4777.29</v>
      </c>
      <c r="J16" s="714">
        <v>4777.29</v>
      </c>
      <c r="K16" s="714">
        <v>4777.29</v>
      </c>
      <c r="L16" s="714">
        <v>4777.29</v>
      </c>
      <c r="M16" s="714">
        <v>4777.29</v>
      </c>
      <c r="N16" s="714">
        <v>4777.29</v>
      </c>
      <c r="O16" s="714">
        <v>4777.29</v>
      </c>
      <c r="P16" s="715">
        <f t="shared" si="0"/>
        <v>4692.6746153846161</v>
      </c>
    </row>
    <row r="17" spans="1:16" ht="12.75">
      <c r="A17" s="720">
        <v>1425</v>
      </c>
      <c r="B17" s="698" t="s">
        <v>545</v>
      </c>
      <c r="C17" s="714">
        <v>2229799.3199999998</v>
      </c>
      <c r="D17" s="714">
        <v>2229799.3199999998</v>
      </c>
      <c r="E17" s="714">
        <v>2229799.3199999998</v>
      </c>
      <c r="F17" s="714">
        <v>2229799.3199999998</v>
      </c>
      <c r="G17" s="714">
        <v>2229799.3199999998</v>
      </c>
      <c r="H17" s="714">
        <v>2229799.3199999998</v>
      </c>
      <c r="I17" s="714">
        <v>2229799.3199999998</v>
      </c>
      <c r="J17" s="714">
        <v>2229799.3199999998</v>
      </c>
      <c r="K17" s="714">
        <v>2229799.3199999998</v>
      </c>
      <c r="L17" s="714">
        <v>2229799.3199999998</v>
      </c>
      <c r="M17" s="714">
        <v>2229799.3199999998</v>
      </c>
      <c r="N17" s="714">
        <v>2229799.3199999998</v>
      </c>
      <c r="O17" s="714">
        <v>2229799.3199999998</v>
      </c>
      <c r="P17" s="715">
        <f t="shared" si="0"/>
        <v>2229799.3199999998</v>
      </c>
    </row>
    <row r="18" spans="1:16" ht="12.75">
      <c r="A18" s="720">
        <v>1435</v>
      </c>
      <c r="B18" s="698" t="s">
        <v>385</v>
      </c>
      <c r="C18" s="714">
        <v>254.52</v>
      </c>
      <c r="D18" s="714">
        <v>254.52</v>
      </c>
      <c r="E18" s="714">
        <v>254.52</v>
      </c>
      <c r="F18" s="714">
        <v>254.52</v>
      </c>
      <c r="G18" s="714">
        <v>254.52</v>
      </c>
      <c r="H18" s="714">
        <v>254.52</v>
      </c>
      <c r="I18" s="714">
        <v>254.52</v>
      </c>
      <c r="J18" s="714">
        <v>254.52</v>
      </c>
      <c r="K18" s="714">
        <v>254.52</v>
      </c>
      <c r="L18" s="714">
        <v>254.52</v>
      </c>
      <c r="M18" s="714">
        <v>254.52</v>
      </c>
      <c r="N18" s="714">
        <v>254.52</v>
      </c>
      <c r="O18" s="714">
        <v>254.52</v>
      </c>
      <c r="P18" s="715">
        <f t="shared" si="0"/>
        <v>254.52</v>
      </c>
    </row>
    <row r="19" spans="1:16" ht="12.75">
      <c r="A19" s="720">
        <v>1440</v>
      </c>
      <c r="B19" s="698" t="s">
        <v>386</v>
      </c>
      <c r="C19" s="714">
        <v>42590.01</v>
      </c>
      <c r="D19" s="714">
        <v>42590.01</v>
      </c>
      <c r="E19" s="714">
        <v>42590.01</v>
      </c>
      <c r="F19" s="714">
        <v>42590.01</v>
      </c>
      <c r="G19" s="714">
        <v>42590.01</v>
      </c>
      <c r="H19" s="714">
        <v>42590.01</v>
      </c>
      <c r="I19" s="714">
        <v>42590.01</v>
      </c>
      <c r="J19" s="714">
        <v>42590.01</v>
      </c>
      <c r="K19" s="714">
        <v>42590.01</v>
      </c>
      <c r="L19" s="714">
        <v>42590.01</v>
      </c>
      <c r="M19" s="714">
        <v>42590.01</v>
      </c>
      <c r="N19" s="714">
        <v>42590.01</v>
      </c>
      <c r="O19" s="714">
        <v>42590.01</v>
      </c>
      <c r="P19" s="715">
        <f t="shared" si="0"/>
        <v>42590.01</v>
      </c>
    </row>
    <row r="20" spans="1:16" ht="12.75">
      <c r="A20" s="720">
        <v>1455</v>
      </c>
      <c r="B20" s="698" t="s">
        <v>247</v>
      </c>
      <c r="C20" s="714">
        <v>7033.84</v>
      </c>
      <c r="D20" s="714">
        <v>7033.84</v>
      </c>
      <c r="E20" s="714">
        <v>7033.84</v>
      </c>
      <c r="F20" s="714">
        <v>7033.84</v>
      </c>
      <c r="G20" s="714">
        <v>7033.84</v>
      </c>
      <c r="H20" s="714">
        <v>7033.84</v>
      </c>
      <c r="I20" s="714">
        <v>7033.84</v>
      </c>
      <c r="J20" s="714">
        <v>7033.84</v>
      </c>
      <c r="K20" s="714">
        <v>7033.84</v>
      </c>
      <c r="L20" s="714">
        <v>7033.84</v>
      </c>
      <c r="M20" s="714">
        <v>7033.84</v>
      </c>
      <c r="N20" s="714">
        <v>7033.84</v>
      </c>
      <c r="O20" s="714">
        <v>7033.84</v>
      </c>
      <c r="P20" s="715">
        <f t="shared" si="0"/>
        <v>7033.8399999999974</v>
      </c>
    </row>
    <row r="21" spans="1:16" ht="12.75">
      <c r="A21" s="720">
        <v>1460</v>
      </c>
      <c r="B21" s="698" t="s">
        <v>248</v>
      </c>
      <c r="C21" s="714">
        <v>388.39</v>
      </c>
      <c r="D21" s="714">
        <v>388.39</v>
      </c>
      <c r="E21" s="714">
        <v>388.39</v>
      </c>
      <c r="F21" s="714">
        <v>388.39</v>
      </c>
      <c r="G21" s="714">
        <v>388.39</v>
      </c>
      <c r="H21" s="714">
        <v>388.39</v>
      </c>
      <c r="I21" s="714">
        <v>388.39</v>
      </c>
      <c r="J21" s="714">
        <v>388.39</v>
      </c>
      <c r="K21" s="714">
        <v>388.39</v>
      </c>
      <c r="L21" s="714">
        <v>388.39</v>
      </c>
      <c r="M21" s="714">
        <v>388.39</v>
      </c>
      <c r="N21" s="714">
        <v>388.39</v>
      </c>
      <c r="O21" s="714">
        <v>388.39</v>
      </c>
      <c r="P21" s="715">
        <f t="shared" si="0"/>
        <v>388.39</v>
      </c>
    </row>
    <row r="22" spans="1:16" ht="12.75">
      <c r="A22" s="720">
        <v>1470</v>
      </c>
      <c r="B22" s="698" t="s">
        <v>387</v>
      </c>
      <c r="C22" s="714">
        <v>28877.88</v>
      </c>
      <c r="D22" s="714">
        <v>28877.88</v>
      </c>
      <c r="E22" s="714">
        <v>28877.88</v>
      </c>
      <c r="F22" s="714">
        <v>28877.88</v>
      </c>
      <c r="G22" s="714">
        <v>28877.88</v>
      </c>
      <c r="H22" s="714">
        <v>28877.88</v>
      </c>
      <c r="I22" s="714">
        <v>28877.88</v>
      </c>
      <c r="J22" s="714">
        <v>28877.88</v>
      </c>
      <c r="K22" s="714">
        <v>28877.88</v>
      </c>
      <c r="L22" s="714">
        <v>28877.88</v>
      </c>
      <c r="M22" s="714">
        <v>28877.88</v>
      </c>
      <c r="N22" s="714">
        <v>28877.88</v>
      </c>
      <c r="O22" s="714">
        <v>28877.88</v>
      </c>
      <c r="P22" s="715">
        <f t="shared" si="0"/>
        <v>28877.88</v>
      </c>
    </row>
    <row r="23" spans="1:16" ht="12.75">
      <c r="A23" s="720">
        <v>1475</v>
      </c>
      <c r="B23" s="698" t="s">
        <v>388</v>
      </c>
      <c r="C23" s="714">
        <v>8215.49</v>
      </c>
      <c r="D23" s="714">
        <v>8215.49</v>
      </c>
      <c r="E23" s="714">
        <v>8215.49</v>
      </c>
      <c r="F23" s="714">
        <v>8215.49</v>
      </c>
      <c r="G23" s="714">
        <v>8215.49</v>
      </c>
      <c r="H23" s="714">
        <v>8215.49</v>
      </c>
      <c r="I23" s="714">
        <v>8215.49</v>
      </c>
      <c r="J23" s="714">
        <v>8215.49</v>
      </c>
      <c r="K23" s="714">
        <v>8215.49</v>
      </c>
      <c r="L23" s="714">
        <v>8215.49</v>
      </c>
      <c r="M23" s="714">
        <v>8215.49</v>
      </c>
      <c r="N23" s="714">
        <v>8215.49</v>
      </c>
      <c r="O23" s="714">
        <v>8215.49</v>
      </c>
      <c r="P23" s="715">
        <f t="shared" si="0"/>
        <v>8215.4900000000016</v>
      </c>
    </row>
    <row r="24" spans="1:16" ht="12.75">
      <c r="A24" s="720">
        <v>1485</v>
      </c>
      <c r="B24" s="698" t="s">
        <v>389</v>
      </c>
      <c r="C24" s="714">
        <v>1500</v>
      </c>
      <c r="D24" s="714">
        <v>1500</v>
      </c>
      <c r="E24" s="714">
        <v>1500</v>
      </c>
      <c r="F24" s="714">
        <v>1500</v>
      </c>
      <c r="G24" s="714">
        <v>1500</v>
      </c>
      <c r="H24" s="714">
        <v>1500</v>
      </c>
      <c r="I24" s="714">
        <v>1500</v>
      </c>
      <c r="J24" s="714">
        <v>1500</v>
      </c>
      <c r="K24" s="714">
        <v>1500</v>
      </c>
      <c r="L24" s="714">
        <v>1500</v>
      </c>
      <c r="M24" s="714">
        <v>1500</v>
      </c>
      <c r="N24" s="714">
        <v>1500</v>
      </c>
      <c r="O24" s="714">
        <v>1500</v>
      </c>
      <c r="P24" s="715">
        <f t="shared" si="0"/>
        <v>1500</v>
      </c>
    </row>
    <row r="25" spans="1:16" ht="12.75">
      <c r="A25" s="720" t="s">
        <v>252</v>
      </c>
      <c r="B25" s="698">
        <v>110</v>
      </c>
      <c r="C25" s="714">
        <v>8868820.3699999992</v>
      </c>
      <c r="D25" s="714">
        <v>8868820.3699999992</v>
      </c>
      <c r="E25" s="714">
        <v>8869395.4700000007</v>
      </c>
      <c r="F25" s="714">
        <v>8875496.0399999991</v>
      </c>
      <c r="G25" s="714">
        <v>8878439.7100000009</v>
      </c>
      <c r="H25" s="714">
        <v>8885919.0800000001</v>
      </c>
      <c r="I25" s="714">
        <v>8886661.1300000008</v>
      </c>
      <c r="J25" s="714">
        <v>8886712.4299999997</v>
      </c>
      <c r="K25" s="714">
        <v>8891970.7599999998</v>
      </c>
      <c r="L25" s="714">
        <v>8986319.3399999999</v>
      </c>
      <c r="M25" s="714">
        <v>8986427.3399999999</v>
      </c>
      <c r="N25" s="714">
        <v>8987435.4100000001</v>
      </c>
      <c r="O25" s="714">
        <v>8988758.5600000005</v>
      </c>
      <c r="P25" s="715">
        <f t="shared" si="0"/>
        <v>8912398.1546153855</v>
      </c>
    </row>
    <row r="26" spans="1:16" ht="12.75">
      <c r="A26" s="720">
        <v>1540</v>
      </c>
      <c r="B26" s="698" t="s">
        <v>254</v>
      </c>
      <c r="C26" s="714">
        <v>346.24</v>
      </c>
      <c r="D26" s="714">
        <v>346.24</v>
      </c>
      <c r="E26" s="714">
        <v>692.48</v>
      </c>
      <c r="F26" s="714">
        <v>1082</v>
      </c>
      <c r="G26" s="714">
        <v>1384.96</v>
      </c>
      <c r="H26" s="714">
        <v>1656.04</v>
      </c>
      <c r="I26" s="714">
        <v>1656.04</v>
      </c>
      <c r="J26" s="714">
        <v>1656.04</v>
      </c>
      <c r="K26" s="714">
        <v>2198.1999999999998</v>
      </c>
      <c r="L26" s="714">
        <v>2559.64</v>
      </c>
      <c r="M26" s="714">
        <v>2559.64</v>
      </c>
      <c r="N26" s="714">
        <v>2740.36</v>
      </c>
      <c r="O26" s="714">
        <v>2740.36</v>
      </c>
      <c r="P26" s="715">
        <f t="shared" si="0"/>
        <v>1662.9415384615386</v>
      </c>
    </row>
    <row r="27" spans="1:16" ht="12.75">
      <c r="A27" s="720" t="s">
        <v>252</v>
      </c>
      <c r="B27" s="698">
        <v>120</v>
      </c>
      <c r="C27" s="714">
        <v>346.24</v>
      </c>
      <c r="D27" s="714">
        <v>346.24</v>
      </c>
      <c r="E27" s="714">
        <v>692.48</v>
      </c>
      <c r="F27" s="714">
        <v>1082</v>
      </c>
      <c r="G27" s="714">
        <v>1384.96</v>
      </c>
      <c r="H27" s="714">
        <v>1656.04</v>
      </c>
      <c r="I27" s="714">
        <v>1656.04</v>
      </c>
      <c r="J27" s="714">
        <v>1656.04</v>
      </c>
      <c r="K27" s="714">
        <v>2198.1999999999998</v>
      </c>
      <c r="L27" s="714">
        <v>2559.64</v>
      </c>
      <c r="M27" s="714">
        <v>2559.64</v>
      </c>
      <c r="N27" s="714">
        <v>2740.36</v>
      </c>
      <c r="O27" s="714">
        <v>2740.36</v>
      </c>
      <c r="P27" s="715">
        <f t="shared" si="0"/>
        <v>1662.9415384615386</v>
      </c>
    </row>
    <row r="28" spans="1:16" ht="12.75">
      <c r="A28" s="720">
        <v>2410</v>
      </c>
      <c r="B28" s="698" t="s">
        <v>546</v>
      </c>
      <c r="C28" s="714">
        <v>469618.86</v>
      </c>
      <c r="D28" s="714">
        <v>469618.86</v>
      </c>
      <c r="E28" s="714">
        <v>469618.86</v>
      </c>
      <c r="F28" s="714">
        <v>469618.86</v>
      </c>
      <c r="G28" s="714">
        <v>469618.86</v>
      </c>
      <c r="H28" s="714">
        <v>469618.86</v>
      </c>
      <c r="I28" s="714">
        <v>469618.86</v>
      </c>
      <c r="J28" s="714">
        <v>469618.86</v>
      </c>
      <c r="K28" s="714">
        <v>469618.86</v>
      </c>
      <c r="L28" s="714">
        <v>469618.86</v>
      </c>
      <c r="M28" s="714">
        <v>469618.86</v>
      </c>
      <c r="N28" s="714">
        <v>469618.86</v>
      </c>
      <c r="O28" s="714">
        <v>469618.86</v>
      </c>
      <c r="P28" s="715">
        <f t="shared" si="0"/>
        <v>469618.86000000004</v>
      </c>
    </row>
    <row r="29" spans="1:16" ht="12.75">
      <c r="A29" s="720" t="s">
        <v>252</v>
      </c>
      <c r="B29" s="698">
        <v>150</v>
      </c>
      <c r="C29" s="714">
        <v>469618.86</v>
      </c>
      <c r="D29" s="714">
        <v>469618.86</v>
      </c>
      <c r="E29" s="714">
        <v>469618.86</v>
      </c>
      <c r="F29" s="714">
        <v>469618.86</v>
      </c>
      <c r="G29" s="714">
        <v>469618.86</v>
      </c>
      <c r="H29" s="714">
        <v>469618.86</v>
      </c>
      <c r="I29" s="714">
        <v>469618.86</v>
      </c>
      <c r="J29" s="714">
        <v>469618.86</v>
      </c>
      <c r="K29" s="714">
        <v>469618.86</v>
      </c>
      <c r="L29" s="714">
        <v>469618.86</v>
      </c>
      <c r="M29" s="714">
        <v>469618.86</v>
      </c>
      <c r="N29" s="714">
        <v>469618.86</v>
      </c>
      <c r="O29" s="714">
        <v>469618.86</v>
      </c>
      <c r="P29" s="715">
        <f t="shared" si="0"/>
        <v>469618.86000000004</v>
      </c>
    </row>
    <row r="30" spans="1:16" ht="12.75">
      <c r="A30" s="720">
        <v>2915</v>
      </c>
      <c r="B30" s="698" t="s">
        <v>390</v>
      </c>
      <c r="C30" s="714">
        <v>84513.64</v>
      </c>
      <c r="D30" s="714">
        <v>84513.64</v>
      </c>
      <c r="E30" s="714">
        <v>84513.64</v>
      </c>
      <c r="F30" s="714">
        <v>84513.64</v>
      </c>
      <c r="G30" s="714">
        <v>84513.64</v>
      </c>
      <c r="H30" s="714">
        <v>84513.64</v>
      </c>
      <c r="I30" s="714">
        <v>84513.64</v>
      </c>
      <c r="J30" s="714">
        <v>84513.64</v>
      </c>
      <c r="K30" s="714">
        <v>84513.64</v>
      </c>
      <c r="L30" s="714">
        <v>84513.64</v>
      </c>
      <c r="M30" s="714">
        <v>84513.64</v>
      </c>
      <c r="N30" s="714">
        <v>84513.64</v>
      </c>
      <c r="O30" s="714">
        <v>84513.64</v>
      </c>
      <c r="P30" s="715">
        <f t="shared" si="0"/>
        <v>84513.64</v>
      </c>
    </row>
    <row r="31" spans="1:16" ht="12.75">
      <c r="A31" s="720">
        <v>2920</v>
      </c>
      <c r="B31" s="698" t="s">
        <v>391</v>
      </c>
      <c r="C31" s="714">
        <v>377574.02</v>
      </c>
      <c r="D31" s="714">
        <v>377574.02</v>
      </c>
      <c r="E31" s="714">
        <v>377574.02</v>
      </c>
      <c r="F31" s="714">
        <v>377574.02</v>
      </c>
      <c r="G31" s="714">
        <v>377574.02</v>
      </c>
      <c r="H31" s="714">
        <v>377574.02</v>
      </c>
      <c r="I31" s="714">
        <v>377574.02</v>
      </c>
      <c r="J31" s="714">
        <v>377574.02</v>
      </c>
      <c r="K31" s="714">
        <v>377574.02</v>
      </c>
      <c r="L31" s="714">
        <v>377574.02</v>
      </c>
      <c r="M31" s="714">
        <v>377574.02</v>
      </c>
      <c r="N31" s="714">
        <v>377574.02</v>
      </c>
      <c r="O31" s="714">
        <v>377574.02</v>
      </c>
      <c r="P31" s="715">
        <f t="shared" si="0"/>
        <v>377574.01999999996</v>
      </c>
    </row>
    <row r="32" spans="1:16" ht="12.75">
      <c r="A32" s="720">
        <v>2925</v>
      </c>
      <c r="B32" s="698" t="s">
        <v>547</v>
      </c>
      <c r="C32" s="714">
        <v>278770</v>
      </c>
      <c r="D32" s="714">
        <v>278770</v>
      </c>
      <c r="E32" s="714">
        <v>278770</v>
      </c>
      <c r="F32" s="714">
        <v>278770</v>
      </c>
      <c r="G32" s="714">
        <v>278770</v>
      </c>
      <c r="H32" s="714">
        <v>278770</v>
      </c>
      <c r="I32" s="714">
        <v>278770</v>
      </c>
      <c r="J32" s="714">
        <v>278770</v>
      </c>
      <c r="K32" s="714">
        <v>278770</v>
      </c>
      <c r="L32" s="714">
        <v>278770</v>
      </c>
      <c r="M32" s="714">
        <v>278770</v>
      </c>
      <c r="N32" s="714">
        <v>278770</v>
      </c>
      <c r="O32" s="714">
        <v>278770</v>
      </c>
      <c r="P32" s="715">
        <f t="shared" si="0"/>
        <v>278770</v>
      </c>
    </row>
    <row r="33" spans="1:16" ht="12.75">
      <c r="A33" s="720" t="s">
        <v>252</v>
      </c>
      <c r="B33" s="698">
        <v>165</v>
      </c>
      <c r="C33" s="714">
        <v>740857.66</v>
      </c>
      <c r="D33" s="714">
        <v>740857.66</v>
      </c>
      <c r="E33" s="714">
        <v>740857.66</v>
      </c>
      <c r="F33" s="714">
        <v>740857.66</v>
      </c>
      <c r="G33" s="714">
        <v>740857.66</v>
      </c>
      <c r="H33" s="714">
        <v>740857.66</v>
      </c>
      <c r="I33" s="714">
        <v>740857.66</v>
      </c>
      <c r="J33" s="714">
        <v>740857.66</v>
      </c>
      <c r="K33" s="714">
        <v>740857.66</v>
      </c>
      <c r="L33" s="714">
        <v>740857.66</v>
      </c>
      <c r="M33" s="714">
        <v>740857.66</v>
      </c>
      <c r="N33" s="714">
        <v>740857.66</v>
      </c>
      <c r="O33" s="714">
        <v>740857.66</v>
      </c>
      <c r="P33" s="715">
        <f t="shared" si="0"/>
        <v>740857.66</v>
      </c>
    </row>
    <row r="34" spans="1:16" ht="12.75">
      <c r="A34" s="720">
        <v>2970</v>
      </c>
      <c r="B34" s="698" t="s">
        <v>548</v>
      </c>
      <c r="C34" s="714">
        <v>9825.90</v>
      </c>
      <c r="D34" s="714">
        <v>9825.90</v>
      </c>
      <c r="E34" s="714">
        <v>9825.90</v>
      </c>
      <c r="F34" s="714">
        <v>9825.90</v>
      </c>
      <c r="G34" s="714">
        <v>9825.90</v>
      </c>
      <c r="H34" s="714">
        <v>9825.90</v>
      </c>
      <c r="I34" s="714">
        <v>9825.90</v>
      </c>
      <c r="J34" s="714">
        <v>9825.90</v>
      </c>
      <c r="K34" s="714">
        <v>9825.90</v>
      </c>
      <c r="L34" s="714">
        <v>9825.90</v>
      </c>
      <c r="M34" s="714">
        <v>9825.90</v>
      </c>
      <c r="N34" s="714">
        <v>9825.90</v>
      </c>
      <c r="O34" s="714">
        <v>9825.90</v>
      </c>
      <c r="P34" s="715">
        <f t="shared" si="0"/>
        <v>9825.8999999999978</v>
      </c>
    </row>
    <row r="35" spans="1:16" ht="12.75">
      <c r="A35" s="720">
        <v>2985</v>
      </c>
      <c r="B35" s="698" t="s">
        <v>392</v>
      </c>
      <c r="C35" s="714">
        <v>130784.77</v>
      </c>
      <c r="D35" s="714">
        <v>130784.77</v>
      </c>
      <c r="E35" s="714">
        <v>130784.77</v>
      </c>
      <c r="F35" s="714">
        <v>130784.77</v>
      </c>
      <c r="G35" s="714">
        <v>130784.77</v>
      </c>
      <c r="H35" s="714">
        <v>130784.77</v>
      </c>
      <c r="I35" s="714">
        <v>130784.77</v>
      </c>
      <c r="J35" s="714">
        <v>130784.77</v>
      </c>
      <c r="K35" s="714">
        <v>130784.77</v>
      </c>
      <c r="L35" s="714">
        <v>130784.77</v>
      </c>
      <c r="M35" s="714">
        <v>130784.77</v>
      </c>
      <c r="N35" s="714">
        <v>130784.77</v>
      </c>
      <c r="O35" s="714">
        <v>130784.77</v>
      </c>
      <c r="P35" s="715">
        <f t="shared" si="0"/>
        <v>130784.77</v>
      </c>
    </row>
    <row r="36" spans="1:16" ht="12.75">
      <c r="A36" s="720">
        <v>3000</v>
      </c>
      <c r="B36" s="698" t="s">
        <v>255</v>
      </c>
      <c r="C36" s="714">
        <v>227056.37</v>
      </c>
      <c r="D36" s="714">
        <v>227056.37</v>
      </c>
      <c r="E36" s="714">
        <v>227056.37</v>
      </c>
      <c r="F36" s="714">
        <v>227056.37</v>
      </c>
      <c r="G36" s="714">
        <v>227056.37</v>
      </c>
      <c r="H36" s="714">
        <v>227056.37</v>
      </c>
      <c r="I36" s="714">
        <v>227056.37</v>
      </c>
      <c r="J36" s="714">
        <v>227056.37</v>
      </c>
      <c r="K36" s="714">
        <v>227056.37</v>
      </c>
      <c r="L36" s="714">
        <v>227056.37</v>
      </c>
      <c r="M36" s="714">
        <v>227056.37</v>
      </c>
      <c r="N36" s="714">
        <v>227056.37</v>
      </c>
      <c r="O36" s="714">
        <v>227056.37</v>
      </c>
      <c r="P36" s="715">
        <f t="shared" si="0"/>
        <v>227056.37000000008</v>
      </c>
    </row>
    <row r="37" spans="1:16" ht="12.75">
      <c r="A37" s="720" t="s">
        <v>252</v>
      </c>
      <c r="B37" s="698">
        <v>170</v>
      </c>
      <c r="C37" s="714">
        <v>367667.04</v>
      </c>
      <c r="D37" s="714">
        <v>367667.04</v>
      </c>
      <c r="E37" s="714">
        <v>367667.04</v>
      </c>
      <c r="F37" s="714">
        <v>367667.04</v>
      </c>
      <c r="G37" s="714">
        <v>367667.04</v>
      </c>
      <c r="H37" s="714">
        <v>367667.04</v>
      </c>
      <c r="I37" s="714">
        <v>367667.04</v>
      </c>
      <c r="J37" s="714">
        <v>367667.04</v>
      </c>
      <c r="K37" s="714">
        <v>367667.04</v>
      </c>
      <c r="L37" s="714">
        <v>367667.04</v>
      </c>
      <c r="M37" s="714">
        <v>367667.04</v>
      </c>
      <c r="N37" s="714">
        <v>367667.04</v>
      </c>
      <c r="O37" s="714">
        <v>367667.04</v>
      </c>
      <c r="P37" s="715">
        <f t="shared" si="0"/>
        <v>367667.04</v>
      </c>
    </row>
    <row r="38" spans="1:16" ht="12.75">
      <c r="A38" s="720">
        <v>3500</v>
      </c>
      <c r="B38" s="698" t="s">
        <v>393</v>
      </c>
      <c r="C38" s="714">
        <v>-340845.71</v>
      </c>
      <c r="D38" s="714">
        <v>-340845.71</v>
      </c>
      <c r="E38" s="714">
        <v>-340845.71</v>
      </c>
      <c r="F38" s="714">
        <v>-340845.71</v>
      </c>
      <c r="G38" s="714">
        <v>-340845.71</v>
      </c>
      <c r="H38" s="714">
        <v>-340845.71</v>
      </c>
      <c r="I38" s="714">
        <v>-340845.71</v>
      </c>
      <c r="J38" s="714">
        <v>-340845.71</v>
      </c>
      <c r="K38" s="714">
        <v>-340845.71</v>
      </c>
      <c r="L38" s="714">
        <v>-340845.71</v>
      </c>
      <c r="M38" s="714">
        <v>-340845.71</v>
      </c>
      <c r="N38" s="714">
        <v>-340845.71</v>
      </c>
      <c r="O38" s="714">
        <v>-340845.71</v>
      </c>
      <c r="P38" s="715">
        <f t="shared" si="0"/>
        <v>-340845.71</v>
      </c>
    </row>
    <row r="39" spans="1:16" ht="12.75">
      <c r="A39" s="720">
        <v>3550</v>
      </c>
      <c r="B39" s="698" t="s">
        <v>394</v>
      </c>
      <c r="C39" s="714">
        <v>-76269.75</v>
      </c>
      <c r="D39" s="714">
        <v>-76269.75</v>
      </c>
      <c r="E39" s="714">
        <v>-76269.75</v>
      </c>
      <c r="F39" s="714">
        <v>-76269.75</v>
      </c>
      <c r="G39" s="714">
        <v>-76269.75</v>
      </c>
      <c r="H39" s="714">
        <v>-76269.75</v>
      </c>
      <c r="I39" s="714">
        <v>-76269.75</v>
      </c>
      <c r="J39" s="714">
        <v>-76269.75</v>
      </c>
      <c r="K39" s="714">
        <v>-76269.75</v>
      </c>
      <c r="L39" s="714">
        <v>-76269.75</v>
      </c>
      <c r="M39" s="714">
        <v>-76269.75</v>
      </c>
      <c r="N39" s="714">
        <v>-76269.75</v>
      </c>
      <c r="O39" s="714">
        <v>-76269.75</v>
      </c>
      <c r="P39" s="715">
        <f t="shared" si="0"/>
        <v>-76269.75</v>
      </c>
    </row>
    <row r="40" spans="1:16" ht="12.75">
      <c r="A40" s="720">
        <v>3555</v>
      </c>
      <c r="B40" s="698" t="s">
        <v>395</v>
      </c>
      <c r="C40" s="714">
        <v>-336393.54</v>
      </c>
      <c r="D40" s="714">
        <v>-336393.54</v>
      </c>
      <c r="E40" s="714">
        <v>-336393.54</v>
      </c>
      <c r="F40" s="714">
        <v>-336393.54</v>
      </c>
      <c r="G40" s="714">
        <v>-336393.54</v>
      </c>
      <c r="H40" s="714">
        <v>-336393.54</v>
      </c>
      <c r="I40" s="714">
        <v>-336393.54</v>
      </c>
      <c r="J40" s="714">
        <v>-336393.54</v>
      </c>
      <c r="K40" s="714">
        <v>-336393.54</v>
      </c>
      <c r="L40" s="714">
        <v>-336393.54</v>
      </c>
      <c r="M40" s="714">
        <v>-336393.54</v>
      </c>
      <c r="N40" s="714">
        <v>-336393.54</v>
      </c>
      <c r="O40" s="714">
        <v>-336393.54</v>
      </c>
      <c r="P40" s="715">
        <f t="shared" si="0"/>
        <v>-336393.54</v>
      </c>
    </row>
    <row r="41" spans="1:16" ht="12.75">
      <c r="A41" s="720">
        <v>3560</v>
      </c>
      <c r="B41" s="698" t="s">
        <v>549</v>
      </c>
      <c r="C41" s="714">
        <v>-97788.24</v>
      </c>
      <c r="D41" s="714">
        <v>-97788.24</v>
      </c>
      <c r="E41" s="714">
        <v>-97788.24</v>
      </c>
      <c r="F41" s="714">
        <v>-97788.24</v>
      </c>
      <c r="G41" s="714">
        <v>-97788.24</v>
      </c>
      <c r="H41" s="714">
        <v>-97788.24</v>
      </c>
      <c r="I41" s="714">
        <v>-97788.24</v>
      </c>
      <c r="J41" s="714">
        <v>-97788.24</v>
      </c>
      <c r="K41" s="714">
        <v>-97788.24</v>
      </c>
      <c r="L41" s="714">
        <v>-97788.24</v>
      </c>
      <c r="M41" s="714">
        <v>-97788.24</v>
      </c>
      <c r="N41" s="714">
        <v>-97788.24</v>
      </c>
      <c r="O41" s="714">
        <v>-97788.24</v>
      </c>
      <c r="P41" s="715">
        <f t="shared" si="0"/>
        <v>-97788.24</v>
      </c>
    </row>
    <row r="42" spans="1:16" ht="12.75">
      <c r="A42" s="720">
        <v>3565</v>
      </c>
      <c r="B42" s="698" t="s">
        <v>397</v>
      </c>
      <c r="C42" s="714">
        <v>-62033.45</v>
      </c>
      <c r="D42" s="714">
        <v>-62033.45</v>
      </c>
      <c r="E42" s="714">
        <v>-62033.45</v>
      </c>
      <c r="F42" s="714">
        <v>-62033.45</v>
      </c>
      <c r="G42" s="714">
        <v>-62033.45</v>
      </c>
      <c r="H42" s="714">
        <v>-62033.45</v>
      </c>
      <c r="I42" s="714">
        <v>-62033.45</v>
      </c>
      <c r="J42" s="714">
        <v>-62033.45</v>
      </c>
      <c r="K42" s="714">
        <v>-62033.45</v>
      </c>
      <c r="L42" s="714">
        <v>-62033.45</v>
      </c>
      <c r="M42" s="714">
        <v>-62033.45</v>
      </c>
      <c r="N42" s="714">
        <v>-62033.45</v>
      </c>
      <c r="O42" s="714">
        <v>-62033.45</v>
      </c>
      <c r="P42" s="715">
        <f t="shared" si="0"/>
        <v>-62033.44999999999</v>
      </c>
    </row>
    <row r="43" spans="1:16" ht="12.75">
      <c r="A43" s="720">
        <v>3705</v>
      </c>
      <c r="B43" s="698" t="s">
        <v>256</v>
      </c>
      <c r="C43" s="714">
        <v>-10750.80</v>
      </c>
      <c r="D43" s="714">
        <v>-10750.80</v>
      </c>
      <c r="E43" s="714">
        <v>-10750.80</v>
      </c>
      <c r="F43" s="714">
        <v>-10750.80</v>
      </c>
      <c r="G43" s="714">
        <v>-10750.80</v>
      </c>
      <c r="H43" s="714">
        <v>-10750.80</v>
      </c>
      <c r="I43" s="714">
        <v>-10750.80</v>
      </c>
      <c r="J43" s="714">
        <v>-10750.80</v>
      </c>
      <c r="K43" s="714">
        <v>-10750.80</v>
      </c>
      <c r="L43" s="714">
        <v>-10750.80</v>
      </c>
      <c r="M43" s="714">
        <v>-10750.80</v>
      </c>
      <c r="N43" s="714">
        <v>-10750.80</v>
      </c>
      <c r="O43" s="714">
        <v>-10750.80</v>
      </c>
      <c r="P43" s="715">
        <f t="shared" si="0"/>
        <v>-10750.80</v>
      </c>
    </row>
    <row r="44" spans="1:16" ht="12.75">
      <c r="A44" s="720">
        <v>3715</v>
      </c>
      <c r="B44" s="698" t="s">
        <v>400</v>
      </c>
      <c r="C44" s="714">
        <v>-1333992.58</v>
      </c>
      <c r="D44" s="714">
        <v>-1333992.58</v>
      </c>
      <c r="E44" s="714">
        <v>-1333992.58</v>
      </c>
      <c r="F44" s="714">
        <v>-1333992.58</v>
      </c>
      <c r="G44" s="714">
        <v>-1333992.58</v>
      </c>
      <c r="H44" s="714">
        <v>-1333992.58</v>
      </c>
      <c r="I44" s="714">
        <v>-1333992.58</v>
      </c>
      <c r="J44" s="714">
        <v>-1333992.58</v>
      </c>
      <c r="K44" s="714">
        <v>-1333992.58</v>
      </c>
      <c r="L44" s="714">
        <v>-1336012.58</v>
      </c>
      <c r="M44" s="714">
        <v>-1336012.58</v>
      </c>
      <c r="N44" s="714">
        <v>-1336012.58</v>
      </c>
      <c r="O44" s="714">
        <v>-1336012.58</v>
      </c>
      <c r="P44" s="715">
        <f t="shared" si="0"/>
        <v>-1334614.1184615383</v>
      </c>
    </row>
    <row r="45" spans="1:16" ht="12.75">
      <c r="A45" s="720" t="s">
        <v>252</v>
      </c>
      <c r="B45" s="698">
        <v>185</v>
      </c>
      <c r="C45" s="714">
        <v>-2258074.0699999998</v>
      </c>
      <c r="D45" s="714">
        <v>-2258074.0699999998</v>
      </c>
      <c r="E45" s="714">
        <v>-2258074.0699999998</v>
      </c>
      <c r="F45" s="714">
        <v>-2258074.0699999998</v>
      </c>
      <c r="G45" s="714">
        <v>-2258074.0699999998</v>
      </c>
      <c r="H45" s="714">
        <v>-2258074.0699999998</v>
      </c>
      <c r="I45" s="714">
        <v>-2258074.0699999998</v>
      </c>
      <c r="J45" s="714">
        <v>-2258074.0699999998</v>
      </c>
      <c r="K45" s="714">
        <v>-2258074.0699999998</v>
      </c>
      <c r="L45" s="714">
        <v>-2260094.0699999998</v>
      </c>
      <c r="M45" s="714">
        <v>-2260094.0699999998</v>
      </c>
      <c r="N45" s="714">
        <v>-2260094.0699999998</v>
      </c>
      <c r="O45" s="714">
        <v>-2260094.0699999998</v>
      </c>
      <c r="P45" s="715">
        <f t="shared" si="0"/>
        <v>-2258695.6084615383</v>
      </c>
    </row>
    <row r="46" spans="1:16" ht="12.75">
      <c r="A46" s="720">
        <v>2040</v>
      </c>
      <c r="B46" s="698" t="s">
        <v>550</v>
      </c>
      <c r="C46" s="714">
        <v>-2455.6799999999998</v>
      </c>
      <c r="D46" s="714">
        <v>-2462.81</v>
      </c>
      <c r="E46" s="714">
        <v>-2469.94</v>
      </c>
      <c r="F46" s="714">
        <v>-2477.0700000000002</v>
      </c>
      <c r="G46" s="714">
        <v>-2484.1999999999998</v>
      </c>
      <c r="H46" s="714">
        <v>-2491.33</v>
      </c>
      <c r="I46" s="714">
        <v>-2498.46</v>
      </c>
      <c r="J46" s="714">
        <v>-2505.59</v>
      </c>
      <c r="K46" s="714">
        <v>-2512.7199999999998</v>
      </c>
      <c r="L46" s="714">
        <v>-2519.85</v>
      </c>
      <c r="M46" s="714">
        <v>-2526.98</v>
      </c>
      <c r="N46" s="714">
        <v>-2534.11</v>
      </c>
      <c r="O46" s="714">
        <v>-2541.2399999999998</v>
      </c>
      <c r="P46" s="715">
        <f t="shared" si="0"/>
        <v>-2498.46</v>
      </c>
    </row>
    <row r="47" spans="1:16" ht="12.75">
      <c r="A47" s="720">
        <v>2050</v>
      </c>
      <c r="B47" s="698" t="s">
        <v>551</v>
      </c>
      <c r="C47" s="714">
        <v>-590.79</v>
      </c>
      <c r="D47" s="714">
        <v>-598.35</v>
      </c>
      <c r="E47" s="714">
        <v>-605.91</v>
      </c>
      <c r="F47" s="714">
        <v>-613.47</v>
      </c>
      <c r="G47" s="714">
        <v>-621.03</v>
      </c>
      <c r="H47" s="714">
        <v>-628.59</v>
      </c>
      <c r="I47" s="714">
        <v>-636.15</v>
      </c>
      <c r="J47" s="714">
        <v>-643.71</v>
      </c>
      <c r="K47" s="714">
        <v>-651.27</v>
      </c>
      <c r="L47" s="714">
        <v>-658.83</v>
      </c>
      <c r="M47" s="714">
        <v>-666.39</v>
      </c>
      <c r="N47" s="714">
        <v>-673.94</v>
      </c>
      <c r="O47" s="714">
        <v>-681.49</v>
      </c>
      <c r="P47" s="715">
        <f t="shared" si="0"/>
        <v>-636.14769230769218</v>
      </c>
    </row>
    <row r="48" spans="1:16" ht="12.75">
      <c r="A48" s="720">
        <v>2055</v>
      </c>
      <c r="B48" s="698" t="s">
        <v>258</v>
      </c>
      <c r="C48" s="714">
        <v>-579288.73</v>
      </c>
      <c r="D48" s="714">
        <v>-581676.67000000004</v>
      </c>
      <c r="E48" s="714">
        <v>-584066.53</v>
      </c>
      <c r="F48" s="714">
        <v>-555363.06999999995</v>
      </c>
      <c r="G48" s="714">
        <v>-557780.10</v>
      </c>
      <c r="H48" s="714">
        <v>-555103.12</v>
      </c>
      <c r="I48" s="714">
        <v>-557032.50</v>
      </c>
      <c r="J48" s="714">
        <v>-558094.16</v>
      </c>
      <c r="K48" s="714">
        <v>-560211.77</v>
      </c>
      <c r="L48" s="714">
        <v>-562664</v>
      </c>
      <c r="M48" s="714">
        <v>-565438.17000000004</v>
      </c>
      <c r="N48" s="714">
        <v>-567570.57999999996</v>
      </c>
      <c r="O48" s="714">
        <v>-569538.10</v>
      </c>
      <c r="P48" s="715">
        <f t="shared" si="0"/>
        <v>-565679.0384615385</v>
      </c>
    </row>
    <row r="49" spans="1:16" ht="12.75">
      <c r="A49" s="720">
        <v>2070</v>
      </c>
      <c r="B49" s="698" t="s">
        <v>402</v>
      </c>
      <c r="C49" s="714">
        <v>-54.42</v>
      </c>
      <c r="D49" s="714">
        <v>-54.83</v>
      </c>
      <c r="E49" s="714">
        <v>-55.24</v>
      </c>
      <c r="F49" s="714">
        <v>-55.65</v>
      </c>
      <c r="G49" s="714">
        <v>-56.06</v>
      </c>
      <c r="H49" s="714">
        <v>-56.47</v>
      </c>
      <c r="I49" s="714">
        <v>-56.88</v>
      </c>
      <c r="J49" s="714">
        <v>-57.29</v>
      </c>
      <c r="K49" s="714">
        <v>-57.70</v>
      </c>
      <c r="L49" s="714">
        <v>-58.11</v>
      </c>
      <c r="M49" s="714">
        <v>-58.52</v>
      </c>
      <c r="N49" s="714">
        <v>-58.93</v>
      </c>
      <c r="O49" s="714">
        <v>-59.34</v>
      </c>
      <c r="P49" s="715">
        <f t="shared" si="0"/>
        <v>-56.88</v>
      </c>
    </row>
    <row r="50" spans="1:16" ht="12.75">
      <c r="A50" s="720">
        <v>2075</v>
      </c>
      <c r="B50" s="698" t="s">
        <v>260</v>
      </c>
      <c r="C50" s="714">
        <v>1095.04</v>
      </c>
      <c r="D50" s="714">
        <v>1071.73</v>
      </c>
      <c r="E50" s="714">
        <v>1048.42</v>
      </c>
      <c r="F50" s="714">
        <v>1025.1099999999999</v>
      </c>
      <c r="G50" s="714">
        <v>1000.90</v>
      </c>
      <c r="H50" s="714">
        <v>976.69</v>
      </c>
      <c r="I50" s="714">
        <v>952.48</v>
      </c>
      <c r="J50" s="714">
        <v>928.27</v>
      </c>
      <c r="K50" s="714">
        <v>904.06</v>
      </c>
      <c r="L50" s="714">
        <v>879.85</v>
      </c>
      <c r="M50" s="714">
        <v>855.64</v>
      </c>
      <c r="N50" s="714">
        <v>831.43</v>
      </c>
      <c r="O50" s="714">
        <v>807.22</v>
      </c>
      <c r="P50" s="715">
        <f t="shared" si="0"/>
        <v>952.06461538461531</v>
      </c>
    </row>
    <row r="51" spans="1:16" ht="12.75">
      <c r="A51" s="720">
        <v>2080</v>
      </c>
      <c r="B51" s="698" t="s">
        <v>403</v>
      </c>
      <c r="C51" s="714">
        <v>-58270.41</v>
      </c>
      <c r="D51" s="714">
        <v>-58671.74</v>
      </c>
      <c r="E51" s="714">
        <v>-59073.07</v>
      </c>
      <c r="F51" s="714">
        <v>-59474.40</v>
      </c>
      <c r="G51" s="714">
        <v>-59875.73</v>
      </c>
      <c r="H51" s="714">
        <v>-60277.06</v>
      </c>
      <c r="I51" s="714">
        <v>-60678.39</v>
      </c>
      <c r="J51" s="714">
        <v>-61079.72</v>
      </c>
      <c r="K51" s="714">
        <v>-61481.05</v>
      </c>
      <c r="L51" s="714">
        <v>-61882.38</v>
      </c>
      <c r="M51" s="714">
        <v>-62283.71</v>
      </c>
      <c r="N51" s="714">
        <v>-62685.04</v>
      </c>
      <c r="O51" s="714">
        <v>-63086.37</v>
      </c>
      <c r="P51" s="715">
        <f t="shared" si="0"/>
        <v>-60678.390000000007</v>
      </c>
    </row>
    <row r="52" spans="1:16" ht="12.75">
      <c r="A52" s="720">
        <v>2090</v>
      </c>
      <c r="B52" s="698" t="s">
        <v>404</v>
      </c>
      <c r="C52" s="714">
        <v>73.209999999999994</v>
      </c>
      <c r="D52" s="714">
        <v>73.209999999999994</v>
      </c>
      <c r="E52" s="714">
        <v>73.209999999999994</v>
      </c>
      <c r="F52" s="714">
        <v>73.209999999999994</v>
      </c>
      <c r="G52" s="714">
        <v>73.209999999999994</v>
      </c>
      <c r="H52" s="714">
        <v>73.209999999999994</v>
      </c>
      <c r="I52" s="714">
        <v>73.209999999999994</v>
      </c>
      <c r="J52" s="714">
        <v>73.209999999999994</v>
      </c>
      <c r="K52" s="714">
        <v>73.209999999999994</v>
      </c>
      <c r="L52" s="714">
        <v>73.209999999999994</v>
      </c>
      <c r="M52" s="714">
        <v>73.209999999999994</v>
      </c>
      <c r="N52" s="714">
        <v>73.209999999999994</v>
      </c>
      <c r="O52" s="714">
        <v>73.209999999999994</v>
      </c>
      <c r="P52" s="715">
        <f t="shared" si="0"/>
        <v>73.210000000000008</v>
      </c>
    </row>
    <row r="53" spans="1:16" ht="12.75">
      <c r="A53" s="720">
        <v>2105</v>
      </c>
      <c r="B53" s="698" t="s">
        <v>261</v>
      </c>
      <c r="C53" s="714">
        <v>-1406098.53</v>
      </c>
      <c r="D53" s="714">
        <v>-1416743.87</v>
      </c>
      <c r="E53" s="714">
        <v>-1427389.21</v>
      </c>
      <c r="F53" s="714">
        <v>-1438034.55</v>
      </c>
      <c r="G53" s="714">
        <v>-1448679.89</v>
      </c>
      <c r="H53" s="714">
        <v>-1459325.23</v>
      </c>
      <c r="I53" s="714">
        <v>-1469970.57</v>
      </c>
      <c r="J53" s="714">
        <v>-1480615.91</v>
      </c>
      <c r="K53" s="714">
        <v>-1491261.25</v>
      </c>
      <c r="L53" s="714">
        <v>-1501906.59</v>
      </c>
      <c r="M53" s="714">
        <v>-1512551.93</v>
      </c>
      <c r="N53" s="714">
        <v>-1523197.25</v>
      </c>
      <c r="O53" s="714">
        <v>-1533843.83</v>
      </c>
      <c r="P53" s="715">
        <f t="shared" si="0"/>
        <v>-1469970.6623076922</v>
      </c>
    </row>
    <row r="54" spans="1:16" ht="12.75">
      <c r="A54" s="720">
        <v>2110</v>
      </c>
      <c r="B54" s="698" t="s">
        <v>262</v>
      </c>
      <c r="C54" s="714">
        <v>-335517.21000000002</v>
      </c>
      <c r="D54" s="714">
        <v>-336661.40</v>
      </c>
      <c r="E54" s="714">
        <v>-337805.59</v>
      </c>
      <c r="F54" s="714">
        <v>-338949.78</v>
      </c>
      <c r="G54" s="714">
        <v>-340093.97</v>
      </c>
      <c r="H54" s="714">
        <v>-341238.16</v>
      </c>
      <c r="I54" s="714">
        <v>-342382.35</v>
      </c>
      <c r="J54" s="714">
        <v>-343526.54</v>
      </c>
      <c r="K54" s="714">
        <v>-344670.73</v>
      </c>
      <c r="L54" s="714">
        <v>-344118.91</v>
      </c>
      <c r="M54" s="714">
        <v>-345264.27</v>
      </c>
      <c r="N54" s="714">
        <v>-346409.63</v>
      </c>
      <c r="O54" s="714">
        <v>-347554.99</v>
      </c>
      <c r="P54" s="715">
        <f t="shared" si="0"/>
        <v>-341861.04076923081</v>
      </c>
    </row>
    <row r="55" spans="1:16" ht="12.75">
      <c r="A55" s="720">
        <v>2113</v>
      </c>
      <c r="B55" s="698" t="s">
        <v>263</v>
      </c>
      <c r="C55" s="714">
        <v>-120019.53</v>
      </c>
      <c r="D55" s="714">
        <v>-120426.32</v>
      </c>
      <c r="E55" s="714">
        <v>-120833.11</v>
      </c>
      <c r="F55" s="714">
        <v>-121239.90</v>
      </c>
      <c r="G55" s="714">
        <v>-121646.69</v>
      </c>
      <c r="H55" s="714">
        <v>-122053.48</v>
      </c>
      <c r="I55" s="714">
        <v>-122460.27</v>
      </c>
      <c r="J55" s="714">
        <v>-122867.06</v>
      </c>
      <c r="K55" s="714">
        <v>-123273.85</v>
      </c>
      <c r="L55" s="714">
        <v>-123680.64</v>
      </c>
      <c r="M55" s="714">
        <v>-124087.43</v>
      </c>
      <c r="N55" s="714">
        <v>-124467</v>
      </c>
      <c r="O55" s="714">
        <v>-124846.57</v>
      </c>
      <c r="P55" s="715">
        <f t="shared" si="0"/>
        <v>-122453.98846153847</v>
      </c>
    </row>
    <row r="56" spans="1:16" ht="12.75">
      <c r="A56" s="720">
        <v>2120</v>
      </c>
      <c r="B56" s="698" t="s">
        <v>264</v>
      </c>
      <c r="C56" s="714">
        <v>-100418.42</v>
      </c>
      <c r="D56" s="714">
        <v>-100681.21</v>
      </c>
      <c r="E56" s="714">
        <v>-100944</v>
      </c>
      <c r="F56" s="714">
        <v>-101206.79</v>
      </c>
      <c r="G56" s="714">
        <v>-101469.58</v>
      </c>
      <c r="H56" s="714">
        <v>-101732.37</v>
      </c>
      <c r="I56" s="714">
        <v>-101995.16</v>
      </c>
      <c r="J56" s="714">
        <v>-102257.95</v>
      </c>
      <c r="K56" s="714">
        <v>-102520.74</v>
      </c>
      <c r="L56" s="714">
        <v>-102783.53</v>
      </c>
      <c r="M56" s="714">
        <v>-103046.32</v>
      </c>
      <c r="N56" s="714">
        <v>-103309.11</v>
      </c>
      <c r="O56" s="714">
        <v>-103571.90</v>
      </c>
      <c r="P56" s="715">
        <f t="shared" si="0"/>
        <v>-101995.16</v>
      </c>
    </row>
    <row r="57" spans="1:16" ht="12.75">
      <c r="A57" s="720">
        <v>2135</v>
      </c>
      <c r="B57" s="698" t="s">
        <v>552</v>
      </c>
      <c r="C57" s="714">
        <v>-258211.54</v>
      </c>
      <c r="D57" s="714">
        <v>-259879.32</v>
      </c>
      <c r="E57" s="714">
        <v>-261547.10</v>
      </c>
      <c r="F57" s="714">
        <v>-263214.88</v>
      </c>
      <c r="G57" s="714">
        <v>-264882.65999999997</v>
      </c>
      <c r="H57" s="714">
        <v>-266550.44</v>
      </c>
      <c r="I57" s="714">
        <v>-268218.21999999997</v>
      </c>
      <c r="J57" s="714">
        <v>-269886</v>
      </c>
      <c r="K57" s="714">
        <v>-271553.78000000003</v>
      </c>
      <c r="L57" s="714">
        <v>-273221.56</v>
      </c>
      <c r="M57" s="714">
        <v>-274889.34000000003</v>
      </c>
      <c r="N57" s="714">
        <v>-276557.12</v>
      </c>
      <c r="O57" s="714">
        <v>-278224.90000000002</v>
      </c>
      <c r="P57" s="715">
        <f t="shared" si="0"/>
        <v>-268218.22000000003</v>
      </c>
    </row>
    <row r="58" spans="1:16" ht="12.75">
      <c r="A58" s="720">
        <v>2140</v>
      </c>
      <c r="B58" s="698" t="s">
        <v>266</v>
      </c>
      <c r="C58" s="714">
        <v>-107669.58</v>
      </c>
      <c r="D58" s="714">
        <v>-108473.43</v>
      </c>
      <c r="E58" s="714">
        <v>-109277.28</v>
      </c>
      <c r="F58" s="714">
        <v>-110082.74</v>
      </c>
      <c r="G58" s="714">
        <v>-110888.20</v>
      </c>
      <c r="H58" s="714">
        <v>-111693.66</v>
      </c>
      <c r="I58" s="714">
        <v>-112499.12</v>
      </c>
      <c r="J58" s="714">
        <v>-113304.58</v>
      </c>
      <c r="K58" s="714">
        <v>-114110.04</v>
      </c>
      <c r="L58" s="714">
        <v>-114915.50</v>
      </c>
      <c r="M58" s="714">
        <v>-115720.96000000001</v>
      </c>
      <c r="N58" s="714">
        <v>-116526.41</v>
      </c>
      <c r="O58" s="714">
        <v>-117331.86</v>
      </c>
      <c r="P58" s="715">
        <f t="shared" si="0"/>
        <v>-112499.48923076922</v>
      </c>
    </row>
    <row r="59" spans="1:16" ht="12.75">
      <c r="A59" s="720">
        <v>2155</v>
      </c>
      <c r="B59" s="698" t="s">
        <v>267</v>
      </c>
      <c r="C59" s="714">
        <v>-3925.20</v>
      </c>
      <c r="D59" s="714">
        <v>-3925.20</v>
      </c>
      <c r="E59" s="714">
        <v>-3925.20</v>
      </c>
      <c r="F59" s="714">
        <v>-3925.20</v>
      </c>
      <c r="G59" s="714">
        <v>-3925.20</v>
      </c>
      <c r="H59" s="714">
        <v>-3925.20</v>
      </c>
      <c r="I59" s="714">
        <v>-3925.20</v>
      </c>
      <c r="J59" s="714">
        <v>-3925.20</v>
      </c>
      <c r="K59" s="714">
        <v>-3925.20</v>
      </c>
      <c r="L59" s="714">
        <v>-3925.20</v>
      </c>
      <c r="M59" s="714"/>
      <c r="N59" s="714"/>
      <c r="O59" s="714"/>
      <c r="P59" s="715">
        <f t="shared" si="0"/>
        <v>-3925.20</v>
      </c>
    </row>
    <row r="60" spans="1:16" ht="12.75">
      <c r="A60" s="720">
        <v>2160</v>
      </c>
      <c r="B60" s="698" t="s">
        <v>268</v>
      </c>
      <c r="C60" s="714">
        <v>2490.66</v>
      </c>
      <c r="D60" s="714">
        <v>2469.9299999999998</v>
      </c>
      <c r="E60" s="714">
        <v>2449.1999999999998</v>
      </c>
      <c r="F60" s="714">
        <v>2427.5500000000002</v>
      </c>
      <c r="G60" s="714">
        <v>2405.90</v>
      </c>
      <c r="H60" s="714">
        <v>2383.7800000000002</v>
      </c>
      <c r="I60" s="714">
        <v>2361.66</v>
      </c>
      <c r="J60" s="714">
        <v>2339.54</v>
      </c>
      <c r="K60" s="714">
        <v>2317.42</v>
      </c>
      <c r="L60" s="714">
        <v>2295.3000000000002</v>
      </c>
      <c r="M60" s="714">
        <v>2273.1799999999998</v>
      </c>
      <c r="N60" s="714">
        <v>2251.06</v>
      </c>
      <c r="O60" s="714">
        <v>2228.94</v>
      </c>
      <c r="P60" s="715">
        <f t="shared" si="0"/>
        <v>2361.0861538461536</v>
      </c>
    </row>
    <row r="61" spans="1:16" ht="12.75">
      <c r="A61" s="720">
        <v>2165</v>
      </c>
      <c r="B61" s="698" t="s">
        <v>405</v>
      </c>
      <c r="C61" s="714">
        <v>601.62</v>
      </c>
      <c r="D61" s="714">
        <v>601.62</v>
      </c>
      <c r="E61" s="714">
        <v>601.62</v>
      </c>
      <c r="F61" s="714">
        <v>601.62</v>
      </c>
      <c r="G61" s="714">
        <v>601.62</v>
      </c>
      <c r="H61" s="714">
        <v>601.62</v>
      </c>
      <c r="I61" s="714">
        <v>601.62</v>
      </c>
      <c r="J61" s="714">
        <v>601.62</v>
      </c>
      <c r="K61" s="714">
        <v>601.62</v>
      </c>
      <c r="L61" s="714">
        <v>601.62</v>
      </c>
      <c r="M61" s="714">
        <v>601.62</v>
      </c>
      <c r="N61" s="714">
        <v>601.62</v>
      </c>
      <c r="O61" s="714">
        <v>601.62</v>
      </c>
      <c r="P61" s="715">
        <f t="shared" si="0"/>
        <v>601.62</v>
      </c>
    </row>
    <row r="62" spans="1:16" ht="12.75">
      <c r="A62" s="720">
        <v>2170</v>
      </c>
      <c r="B62" s="698" t="s">
        <v>406</v>
      </c>
      <c r="C62" s="714">
        <v>24550.39</v>
      </c>
      <c r="D62" s="714">
        <v>24550.39</v>
      </c>
      <c r="E62" s="714">
        <v>24550.39</v>
      </c>
      <c r="F62" s="714">
        <v>24550.39</v>
      </c>
      <c r="G62" s="714">
        <v>24550.39</v>
      </c>
      <c r="H62" s="714">
        <v>24550.39</v>
      </c>
      <c r="I62" s="714">
        <v>24550.39</v>
      </c>
      <c r="J62" s="714">
        <v>24550.39</v>
      </c>
      <c r="K62" s="714">
        <v>24550.39</v>
      </c>
      <c r="L62" s="714">
        <v>24550.39</v>
      </c>
      <c r="M62" s="714">
        <v>24550.39</v>
      </c>
      <c r="N62" s="714">
        <v>24550.39</v>
      </c>
      <c r="O62" s="714">
        <v>24550.39</v>
      </c>
      <c r="P62" s="715">
        <f t="shared" si="0"/>
        <v>24550.390000000007</v>
      </c>
    </row>
    <row r="63" spans="1:16" ht="12.75">
      <c r="A63" s="720">
        <v>2185</v>
      </c>
      <c r="B63" s="698" t="s">
        <v>553</v>
      </c>
      <c r="C63" s="714">
        <v>-1323846.29</v>
      </c>
      <c r="D63" s="714">
        <v>-1342427.95</v>
      </c>
      <c r="E63" s="714">
        <v>-1361009.61</v>
      </c>
      <c r="F63" s="714">
        <v>-1379591.27</v>
      </c>
      <c r="G63" s="714">
        <v>-1398172.93</v>
      </c>
      <c r="H63" s="714">
        <v>-1416754.59</v>
      </c>
      <c r="I63" s="714">
        <v>-1435336.25</v>
      </c>
      <c r="J63" s="714">
        <v>-1453917.91</v>
      </c>
      <c r="K63" s="714">
        <v>-1472499.57</v>
      </c>
      <c r="L63" s="714">
        <v>-1491081.23</v>
      </c>
      <c r="M63" s="714">
        <v>-1509662.89</v>
      </c>
      <c r="N63" s="714">
        <v>-1528244.55</v>
      </c>
      <c r="O63" s="714">
        <v>-1546826.21</v>
      </c>
      <c r="P63" s="715">
        <f t="shared" si="0"/>
        <v>-1435336.2500000002</v>
      </c>
    </row>
    <row r="64" spans="1:16" ht="12.75">
      <c r="A64" s="720">
        <v>2195</v>
      </c>
      <c r="B64" s="698" t="s">
        <v>407</v>
      </c>
      <c r="C64" s="714">
        <v>-147.44999999999999</v>
      </c>
      <c r="D64" s="714">
        <v>-148.63</v>
      </c>
      <c r="E64" s="714">
        <v>-149.81</v>
      </c>
      <c r="F64" s="714">
        <v>-150.99</v>
      </c>
      <c r="G64" s="714">
        <v>-152.16999999999999</v>
      </c>
      <c r="H64" s="714">
        <v>-153.35</v>
      </c>
      <c r="I64" s="714">
        <v>-154.53</v>
      </c>
      <c r="J64" s="714">
        <v>-155.71</v>
      </c>
      <c r="K64" s="714">
        <v>-156.88999999999999</v>
      </c>
      <c r="L64" s="714">
        <v>-158.07</v>
      </c>
      <c r="M64" s="714">
        <v>-159.25</v>
      </c>
      <c r="N64" s="714">
        <v>-160.43</v>
      </c>
      <c r="O64" s="714">
        <v>-161.61000000000001</v>
      </c>
      <c r="P64" s="715">
        <f t="shared" si="0"/>
        <v>-154.53000000000003</v>
      </c>
    </row>
    <row r="65" spans="1:16" ht="12.75">
      <c r="A65" s="720">
        <v>2200</v>
      </c>
      <c r="B65" s="698" t="s">
        <v>408</v>
      </c>
      <c r="C65" s="714">
        <v>26483.35</v>
      </c>
      <c r="D65" s="714">
        <v>26286.17</v>
      </c>
      <c r="E65" s="714">
        <v>26088.99</v>
      </c>
      <c r="F65" s="714">
        <v>25891.81</v>
      </c>
      <c r="G65" s="714">
        <v>25694.63</v>
      </c>
      <c r="H65" s="714">
        <v>25497.45</v>
      </c>
      <c r="I65" s="714">
        <v>25300.27</v>
      </c>
      <c r="J65" s="714">
        <v>25103.09</v>
      </c>
      <c r="K65" s="714">
        <v>24905.91</v>
      </c>
      <c r="L65" s="714">
        <v>24708.73</v>
      </c>
      <c r="M65" s="714">
        <v>24511.55</v>
      </c>
      <c r="N65" s="714">
        <v>24314.37</v>
      </c>
      <c r="O65" s="714">
        <v>24117.19</v>
      </c>
      <c r="P65" s="715">
        <f t="shared" si="0"/>
        <v>25300.27</v>
      </c>
    </row>
    <row r="66" spans="1:16" ht="12.75">
      <c r="A66" s="720">
        <v>2215</v>
      </c>
      <c r="B66" s="698" t="s">
        <v>270</v>
      </c>
      <c r="C66" s="714">
        <v>111.73</v>
      </c>
      <c r="D66" s="714">
        <v>97.08</v>
      </c>
      <c r="E66" s="714">
        <v>82.43</v>
      </c>
      <c r="F66" s="714">
        <v>67.78</v>
      </c>
      <c r="G66" s="714">
        <v>53.13</v>
      </c>
      <c r="H66" s="714">
        <v>38.479999999999997</v>
      </c>
      <c r="I66" s="714">
        <v>23.83</v>
      </c>
      <c r="J66" s="714">
        <v>9.18</v>
      </c>
      <c r="K66" s="714">
        <v>-5.47</v>
      </c>
      <c r="L66" s="714">
        <v>-20.12</v>
      </c>
      <c r="M66" s="714">
        <v>-34.770000000000003</v>
      </c>
      <c r="N66" s="714">
        <v>-49.42</v>
      </c>
      <c r="O66" s="714">
        <v>-64.069999999999993</v>
      </c>
      <c r="P66" s="715">
        <f t="shared" si="0"/>
        <v>23.83</v>
      </c>
    </row>
    <row r="67" spans="1:16" ht="12.75">
      <c r="A67" s="720">
        <v>2220</v>
      </c>
      <c r="B67" s="698" t="s">
        <v>271</v>
      </c>
      <c r="C67" s="714">
        <v>-466.42</v>
      </c>
      <c r="D67" s="714">
        <v>-468.58</v>
      </c>
      <c r="E67" s="714">
        <v>-470.74</v>
      </c>
      <c r="F67" s="714">
        <v>-472.90</v>
      </c>
      <c r="G67" s="714">
        <v>-475.06</v>
      </c>
      <c r="H67" s="714">
        <v>-477.22</v>
      </c>
      <c r="I67" s="714">
        <v>-479.38</v>
      </c>
      <c r="J67" s="714">
        <v>-481.54</v>
      </c>
      <c r="K67" s="714">
        <v>-483.70</v>
      </c>
      <c r="L67" s="714">
        <v>-485.86</v>
      </c>
      <c r="M67" s="714">
        <v>-488.02</v>
      </c>
      <c r="N67" s="714">
        <v>-490.18</v>
      </c>
      <c r="O67" s="714">
        <v>-492.34</v>
      </c>
      <c r="P67" s="715">
        <f t="shared" si="0"/>
        <v>-479.38000000000005</v>
      </c>
    </row>
    <row r="68" spans="1:16" ht="12.75">
      <c r="A68" s="720">
        <v>2230</v>
      </c>
      <c r="B68" s="698" t="s">
        <v>409</v>
      </c>
      <c r="C68" s="714">
        <v>-22942.03</v>
      </c>
      <c r="D68" s="714">
        <v>-23092.45</v>
      </c>
      <c r="E68" s="714">
        <v>-23242.87</v>
      </c>
      <c r="F68" s="714">
        <v>-23393.29</v>
      </c>
      <c r="G68" s="714">
        <v>-23543.71</v>
      </c>
      <c r="H68" s="714">
        <v>-23694.13</v>
      </c>
      <c r="I68" s="714">
        <v>-23844.55</v>
      </c>
      <c r="J68" s="714">
        <v>-23994.97</v>
      </c>
      <c r="K68" s="714">
        <v>-24145.39</v>
      </c>
      <c r="L68" s="714">
        <v>-24295.81</v>
      </c>
      <c r="M68" s="714">
        <v>-24446.23</v>
      </c>
      <c r="N68" s="714">
        <v>-24596.64</v>
      </c>
      <c r="O68" s="714">
        <v>-24747.05</v>
      </c>
      <c r="P68" s="715">
        <f t="shared" si="1" ref="P68:P94">+AVERAGE(C68:O68)</f>
        <v>-23844.547692307686</v>
      </c>
    </row>
    <row r="69" spans="1:16" ht="12.75">
      <c r="A69" s="720">
        <v>2235</v>
      </c>
      <c r="B69" s="698" t="s">
        <v>410</v>
      </c>
      <c r="C69" s="714">
        <v>-6571.82</v>
      </c>
      <c r="D69" s="714">
        <v>-6617.46</v>
      </c>
      <c r="E69" s="714">
        <v>-6663.10</v>
      </c>
      <c r="F69" s="714">
        <v>-6708.74</v>
      </c>
      <c r="G69" s="714">
        <v>-6754.38</v>
      </c>
      <c r="H69" s="714">
        <v>-6800.02</v>
      </c>
      <c r="I69" s="714">
        <v>-6845.66</v>
      </c>
      <c r="J69" s="714">
        <v>-6891.30</v>
      </c>
      <c r="K69" s="714">
        <v>-6936.94</v>
      </c>
      <c r="L69" s="714">
        <v>-6982.58</v>
      </c>
      <c r="M69" s="714">
        <v>-7028.22</v>
      </c>
      <c r="N69" s="714">
        <v>-7073.86</v>
      </c>
      <c r="O69" s="714">
        <v>-7119.50</v>
      </c>
      <c r="P69" s="715">
        <f t="shared" si="1"/>
        <v>-6845.66</v>
      </c>
    </row>
    <row r="70" spans="1:16" ht="12.75">
      <c r="A70" s="720">
        <v>2245</v>
      </c>
      <c r="B70" s="698" t="s">
        <v>411</v>
      </c>
      <c r="C70" s="714">
        <v>-1587.50</v>
      </c>
      <c r="D70" s="714">
        <v>-1600</v>
      </c>
      <c r="E70" s="714">
        <v>-1612.50</v>
      </c>
      <c r="F70" s="714">
        <v>-1625</v>
      </c>
      <c r="G70" s="714">
        <v>-1637.50</v>
      </c>
      <c r="H70" s="714">
        <v>-1650</v>
      </c>
      <c r="I70" s="714">
        <v>-1662.50</v>
      </c>
      <c r="J70" s="714">
        <v>-1675</v>
      </c>
      <c r="K70" s="714">
        <v>-1687.50</v>
      </c>
      <c r="L70" s="714">
        <v>-1700</v>
      </c>
      <c r="M70" s="714">
        <v>-1712.50</v>
      </c>
      <c r="N70" s="714">
        <v>-1725</v>
      </c>
      <c r="O70" s="714">
        <v>-1737.50</v>
      </c>
      <c r="P70" s="715">
        <f t="shared" si="1"/>
        <v>-1662.50</v>
      </c>
    </row>
    <row r="71" spans="1:16" ht="12.75">
      <c r="A71" s="720" t="s">
        <v>252</v>
      </c>
      <c r="B71" s="698">
        <v>210</v>
      </c>
      <c r="C71" s="714">
        <v>-4272675.55</v>
      </c>
      <c r="D71" s="714">
        <v>-4309460.09</v>
      </c>
      <c r="E71" s="714">
        <v>-4346246.55</v>
      </c>
      <c r="F71" s="714">
        <v>-4351942.22</v>
      </c>
      <c r="G71" s="714">
        <v>-4388759.28</v>
      </c>
      <c r="H71" s="714">
        <v>-4420482.80</v>
      </c>
      <c r="I71" s="714">
        <v>-4456812.68</v>
      </c>
      <c r="J71" s="714">
        <v>-4492274.84</v>
      </c>
      <c r="K71" s="714">
        <v>-4528792.95</v>
      </c>
      <c r="L71" s="714">
        <v>-4563949.67</v>
      </c>
      <c r="M71" s="714">
        <v>-4597200.3099999996</v>
      </c>
      <c r="N71" s="714">
        <v>-4633707.12</v>
      </c>
      <c r="O71" s="714">
        <v>-4670050.30</v>
      </c>
      <c r="P71" s="715">
        <f t="shared" si="1"/>
        <v>-4464027.2584615387</v>
      </c>
    </row>
    <row r="72" spans="1:16" ht="12.75">
      <c r="A72" s="720">
        <v>2285</v>
      </c>
      <c r="B72" s="698" t="s">
        <v>276</v>
      </c>
      <c r="C72" s="714">
        <v>3920.51</v>
      </c>
      <c r="D72" s="714">
        <v>3919.84</v>
      </c>
      <c r="E72" s="714">
        <v>3918.50</v>
      </c>
      <c r="F72" s="714">
        <v>3916.40</v>
      </c>
      <c r="G72" s="714">
        <v>3913.71</v>
      </c>
      <c r="H72" s="714">
        <v>3910.49</v>
      </c>
      <c r="I72" s="714">
        <v>3907.27</v>
      </c>
      <c r="J72" s="714">
        <v>3904.05</v>
      </c>
      <c r="K72" s="714">
        <v>3899.78</v>
      </c>
      <c r="L72" s="714">
        <v>3894.81</v>
      </c>
      <c r="M72" s="714">
        <v>-35.36</v>
      </c>
      <c r="N72" s="714">
        <v>-40.68</v>
      </c>
      <c r="O72" s="714">
        <v>-46</v>
      </c>
      <c r="P72" s="715">
        <f t="shared" si="1"/>
        <v>2998.7169230769223</v>
      </c>
    </row>
    <row r="73" spans="1:16" ht="12.75">
      <c r="A73" s="720" t="s">
        <v>252</v>
      </c>
      <c r="B73" s="698">
        <v>220</v>
      </c>
      <c r="C73" s="714">
        <v>3920.51</v>
      </c>
      <c r="D73" s="714">
        <v>3919.84</v>
      </c>
      <c r="E73" s="714">
        <v>3918.50</v>
      </c>
      <c r="F73" s="714">
        <v>3916.40</v>
      </c>
      <c r="G73" s="714">
        <v>3913.71</v>
      </c>
      <c r="H73" s="714">
        <v>3910.49</v>
      </c>
      <c r="I73" s="714">
        <v>3907.27</v>
      </c>
      <c r="J73" s="714">
        <v>3904.05</v>
      </c>
      <c r="K73" s="714">
        <v>3899.78</v>
      </c>
      <c r="L73" s="714">
        <v>3894.81</v>
      </c>
      <c r="M73" s="714">
        <v>-35.36</v>
      </c>
      <c r="N73" s="714">
        <v>-40.68</v>
      </c>
      <c r="O73" s="714">
        <v>-46</v>
      </c>
      <c r="P73" s="715">
        <f t="shared" si="1"/>
        <v>2998.7169230769223</v>
      </c>
    </row>
    <row r="74" spans="1:16" ht="12.75">
      <c r="A74" s="720">
        <v>2425</v>
      </c>
      <c r="B74" s="698" t="s">
        <v>554</v>
      </c>
      <c r="C74" s="714">
        <v>-28315.38</v>
      </c>
      <c r="D74" s="714">
        <v>-28315.38</v>
      </c>
      <c r="E74" s="714">
        <v>-28315.38</v>
      </c>
      <c r="F74" s="714">
        <v>-28315.38</v>
      </c>
      <c r="G74" s="714">
        <v>-28315.38</v>
      </c>
      <c r="H74" s="714">
        <v>-28315.38</v>
      </c>
      <c r="I74" s="714">
        <v>-28315.38</v>
      </c>
      <c r="J74" s="714">
        <v>-28315.38</v>
      </c>
      <c r="K74" s="714">
        <v>-28315.38</v>
      </c>
      <c r="L74" s="714">
        <v>-28315.38</v>
      </c>
      <c r="M74" s="714">
        <v>-28315.38</v>
      </c>
      <c r="N74" s="714">
        <v>-28315.38</v>
      </c>
      <c r="O74" s="714">
        <v>-28315.38</v>
      </c>
      <c r="P74" s="715">
        <f t="shared" si="1"/>
        <v>-28315.38</v>
      </c>
    </row>
    <row r="75" spans="1:16" ht="12.75">
      <c r="A75" s="720" t="s">
        <v>252</v>
      </c>
      <c r="B75" s="698">
        <v>250</v>
      </c>
      <c r="C75" s="714">
        <v>-28315.38</v>
      </c>
      <c r="D75" s="714">
        <v>-28315.38</v>
      </c>
      <c r="E75" s="714">
        <v>-28315.38</v>
      </c>
      <c r="F75" s="714">
        <v>-28315.38</v>
      </c>
      <c r="G75" s="714">
        <v>-28315.38</v>
      </c>
      <c r="H75" s="714">
        <v>-28315.38</v>
      </c>
      <c r="I75" s="714">
        <v>-28315.38</v>
      </c>
      <c r="J75" s="714">
        <v>-28315.38</v>
      </c>
      <c r="K75" s="714">
        <v>-28315.38</v>
      </c>
      <c r="L75" s="714">
        <v>-28315.38</v>
      </c>
      <c r="M75" s="714">
        <v>-28315.38</v>
      </c>
      <c r="N75" s="714">
        <v>-28315.38</v>
      </c>
      <c r="O75" s="714">
        <v>-28315.38</v>
      </c>
      <c r="P75" s="715">
        <f t="shared" si="1"/>
        <v>-28315.38</v>
      </c>
    </row>
    <row r="76" spans="1:16" ht="12.75">
      <c r="A76" s="720">
        <v>2930</v>
      </c>
      <c r="B76" s="698" t="s">
        <v>412</v>
      </c>
      <c r="C76" s="714">
        <v>-519962.90</v>
      </c>
      <c r="D76" s="714">
        <v>-525059.98</v>
      </c>
      <c r="E76" s="714">
        <v>-530157.06999999995</v>
      </c>
      <c r="F76" s="714">
        <v>-535254.16</v>
      </c>
      <c r="G76" s="714">
        <v>-540351.24</v>
      </c>
      <c r="H76" s="714">
        <v>-545448.31999999995</v>
      </c>
      <c r="I76" s="714">
        <v>-550545.41</v>
      </c>
      <c r="J76" s="714">
        <v>-555642.50</v>
      </c>
      <c r="K76" s="714">
        <v>-560739.57999999996</v>
      </c>
      <c r="L76" s="714">
        <v>-565836.66</v>
      </c>
      <c r="M76" s="714">
        <v>-570933.75</v>
      </c>
      <c r="N76" s="714">
        <v>-576030.84</v>
      </c>
      <c r="O76" s="714">
        <v>-581127.92000000004</v>
      </c>
      <c r="P76" s="715">
        <f t="shared" si="1"/>
        <v>-550545.41</v>
      </c>
    </row>
    <row r="77" spans="1:16" ht="12.75">
      <c r="A77" s="720" t="s">
        <v>252</v>
      </c>
      <c r="B77" s="698">
        <v>265</v>
      </c>
      <c r="C77" s="714">
        <v>-519962.90</v>
      </c>
      <c r="D77" s="714">
        <v>-525059.98</v>
      </c>
      <c r="E77" s="714">
        <v>-530157.06999999995</v>
      </c>
      <c r="F77" s="714">
        <v>-535254.16</v>
      </c>
      <c r="G77" s="714">
        <v>-540351.24</v>
      </c>
      <c r="H77" s="714">
        <v>-545448.31999999995</v>
      </c>
      <c r="I77" s="714">
        <v>-550545.41</v>
      </c>
      <c r="J77" s="714">
        <v>-555642.50</v>
      </c>
      <c r="K77" s="714">
        <v>-560739.57999999996</v>
      </c>
      <c r="L77" s="714">
        <v>-565836.66</v>
      </c>
      <c r="M77" s="714">
        <v>-570933.75</v>
      </c>
      <c r="N77" s="714">
        <v>-576030.84</v>
      </c>
      <c r="O77" s="714">
        <v>-581127.92000000004</v>
      </c>
      <c r="P77" s="715">
        <f t="shared" si="1"/>
        <v>-550545.41</v>
      </c>
    </row>
    <row r="78" spans="1:16" ht="12.75">
      <c r="A78" s="720">
        <v>3125</v>
      </c>
      <c r="B78" s="698" t="s">
        <v>555</v>
      </c>
      <c r="C78" s="714">
        <v>-9825.90</v>
      </c>
      <c r="D78" s="714">
        <v>-9825.90</v>
      </c>
      <c r="E78" s="714">
        <v>-9825.90</v>
      </c>
      <c r="F78" s="714">
        <v>-9825.90</v>
      </c>
      <c r="G78" s="714">
        <v>-9825.90</v>
      </c>
      <c r="H78" s="714">
        <v>-9825.90</v>
      </c>
      <c r="I78" s="714">
        <v>-9825.90</v>
      </c>
      <c r="J78" s="714">
        <v>-9825.90</v>
      </c>
      <c r="K78" s="714">
        <v>-9825.90</v>
      </c>
      <c r="L78" s="714">
        <v>-9825.90</v>
      </c>
      <c r="M78" s="714">
        <v>-9825.90</v>
      </c>
      <c r="N78" s="714">
        <v>-9825.90</v>
      </c>
      <c r="O78" s="714">
        <v>-9825.90</v>
      </c>
      <c r="P78" s="715">
        <f t="shared" si="1"/>
        <v>-9825.8999999999978</v>
      </c>
    </row>
    <row r="79" spans="1:16" ht="12.75">
      <c r="A79" s="720">
        <v>3140</v>
      </c>
      <c r="B79" s="698" t="s">
        <v>413</v>
      </c>
      <c r="C79" s="714">
        <v>-112367.31</v>
      </c>
      <c r="D79" s="714">
        <v>-113146.91</v>
      </c>
      <c r="E79" s="714">
        <v>-113926.51</v>
      </c>
      <c r="F79" s="714">
        <v>-114706.11</v>
      </c>
      <c r="G79" s="714">
        <v>-115485.72</v>
      </c>
      <c r="H79" s="714">
        <v>-116265.32</v>
      </c>
      <c r="I79" s="714">
        <v>-117044.92</v>
      </c>
      <c r="J79" s="714">
        <v>-117824.52</v>
      </c>
      <c r="K79" s="714">
        <v>-118604.12</v>
      </c>
      <c r="L79" s="714">
        <v>-119159.03</v>
      </c>
      <c r="M79" s="714">
        <v>-119713.94</v>
      </c>
      <c r="N79" s="714">
        <v>-120268.85</v>
      </c>
      <c r="O79" s="714">
        <v>-120823.76</v>
      </c>
      <c r="P79" s="715">
        <f t="shared" si="1"/>
        <v>-116872.07846153846</v>
      </c>
    </row>
    <row r="80" spans="1:16" ht="12.75">
      <c r="A80" s="720">
        <v>3155</v>
      </c>
      <c r="B80" s="698" t="s">
        <v>277</v>
      </c>
      <c r="C80" s="714">
        <v>-189275.85</v>
      </c>
      <c r="D80" s="714">
        <v>-190537.27</v>
      </c>
      <c r="E80" s="714">
        <v>-191798.70</v>
      </c>
      <c r="F80" s="714">
        <v>-193060.12</v>
      </c>
      <c r="G80" s="714">
        <v>-194321.55</v>
      </c>
      <c r="H80" s="714">
        <v>-195582.97</v>
      </c>
      <c r="I80" s="714">
        <v>-196844.40</v>
      </c>
      <c r="J80" s="714">
        <v>-198105.82</v>
      </c>
      <c r="K80" s="714">
        <v>-199367.24</v>
      </c>
      <c r="L80" s="714">
        <v>-200628.67</v>
      </c>
      <c r="M80" s="714">
        <v>-201890.09</v>
      </c>
      <c r="N80" s="714">
        <v>-203151.52</v>
      </c>
      <c r="O80" s="714">
        <v>-204412.94</v>
      </c>
      <c r="P80" s="715">
        <f t="shared" si="1"/>
        <v>-196844.39538461535</v>
      </c>
    </row>
    <row r="81" spans="1:16" ht="12.75">
      <c r="A81" s="720" t="s">
        <v>252</v>
      </c>
      <c r="B81" s="698">
        <v>270</v>
      </c>
      <c r="C81" s="714">
        <v>-311469.06</v>
      </c>
      <c r="D81" s="714">
        <v>-313510.08</v>
      </c>
      <c r="E81" s="714">
        <v>-315551.11</v>
      </c>
      <c r="F81" s="714">
        <v>-317592.13</v>
      </c>
      <c r="G81" s="714">
        <v>-319633.17</v>
      </c>
      <c r="H81" s="714">
        <v>-321674.19</v>
      </c>
      <c r="I81" s="714">
        <v>-323715.21999999997</v>
      </c>
      <c r="J81" s="714">
        <v>-325756.24</v>
      </c>
      <c r="K81" s="714">
        <v>-327797.26</v>
      </c>
      <c r="L81" s="714">
        <v>-329613.59999999998</v>
      </c>
      <c r="M81" s="714">
        <v>-331429.93</v>
      </c>
      <c r="N81" s="714">
        <v>-333246.27</v>
      </c>
      <c r="O81" s="714">
        <v>-335062.59999999998</v>
      </c>
      <c r="P81" s="715">
        <f t="shared" si="1"/>
        <v>-323542.37384615385</v>
      </c>
    </row>
    <row r="82" spans="1:16" ht="12.75">
      <c r="A82" s="720">
        <v>4030</v>
      </c>
      <c r="B82" s="698" t="s">
        <v>414</v>
      </c>
      <c r="C82" s="714">
        <v>-5996.30</v>
      </c>
      <c r="D82" s="714">
        <v>-5996.30</v>
      </c>
      <c r="E82" s="714">
        <v>-5996.30</v>
      </c>
      <c r="F82" s="714">
        <v>-5996.30</v>
      </c>
      <c r="G82" s="714">
        <v>-5996.30</v>
      </c>
      <c r="H82" s="714">
        <v>-5996.30</v>
      </c>
      <c r="I82" s="714">
        <v>-5996.30</v>
      </c>
      <c r="J82" s="714">
        <v>-5996.30</v>
      </c>
      <c r="K82" s="714">
        <v>-5996.30</v>
      </c>
      <c r="L82" s="714">
        <v>-5996.30</v>
      </c>
      <c r="M82" s="714">
        <v>-5996.30</v>
      </c>
      <c r="N82" s="714">
        <v>-5996.30</v>
      </c>
      <c r="O82" s="714">
        <v>-5996.30</v>
      </c>
      <c r="P82" s="715">
        <f t="shared" si="1"/>
        <v>-5996.300000000002</v>
      </c>
    </row>
    <row r="83" spans="1:16" ht="12.75">
      <c r="A83" s="720">
        <v>4050</v>
      </c>
      <c r="B83" s="698" t="s">
        <v>415</v>
      </c>
      <c r="C83" s="714">
        <v>212861.40</v>
      </c>
      <c r="D83" s="714">
        <v>213997.55</v>
      </c>
      <c r="E83" s="714">
        <v>215133.70</v>
      </c>
      <c r="F83" s="714">
        <v>216269.85</v>
      </c>
      <c r="G83" s="714">
        <v>217406</v>
      </c>
      <c r="H83" s="714">
        <v>218542.15</v>
      </c>
      <c r="I83" s="714">
        <v>219678.30</v>
      </c>
      <c r="J83" s="714">
        <v>220814.45</v>
      </c>
      <c r="K83" s="714">
        <v>221950.60</v>
      </c>
      <c r="L83" s="714">
        <v>223086.75</v>
      </c>
      <c r="M83" s="714">
        <v>224222.90</v>
      </c>
      <c r="N83" s="714">
        <v>225359.05</v>
      </c>
      <c r="O83" s="714">
        <v>226495.20</v>
      </c>
      <c r="P83" s="715">
        <f t="shared" si="1"/>
        <v>219678.30</v>
      </c>
    </row>
    <row r="84" spans="1:16" ht="12.75">
      <c r="A84" s="720">
        <v>4055</v>
      </c>
      <c r="B84" s="698" t="s">
        <v>482</v>
      </c>
      <c r="C84" s="714">
        <v>281650.82</v>
      </c>
      <c r="D84" s="714">
        <v>281650.82</v>
      </c>
      <c r="E84" s="714">
        <v>281650.82</v>
      </c>
      <c r="F84" s="714">
        <v>281650.82</v>
      </c>
      <c r="G84" s="714">
        <v>281650.82</v>
      </c>
      <c r="H84" s="714">
        <v>281650.82</v>
      </c>
      <c r="I84" s="714">
        <v>281650.82</v>
      </c>
      <c r="J84" s="714">
        <v>281650.82</v>
      </c>
      <c r="K84" s="714">
        <v>281650.82</v>
      </c>
      <c r="L84" s="714">
        <v>281650.82</v>
      </c>
      <c r="M84" s="714">
        <v>281650.82</v>
      </c>
      <c r="N84" s="714">
        <v>281650.82</v>
      </c>
      <c r="O84" s="714">
        <v>281650.82</v>
      </c>
      <c r="P84" s="715">
        <f t="shared" si="1"/>
        <v>281650.81999999995</v>
      </c>
    </row>
    <row r="85" spans="1:16" ht="12.75">
      <c r="A85" s="720">
        <v>4100</v>
      </c>
      <c r="B85" s="698" t="s">
        <v>417</v>
      </c>
      <c r="C85" s="714">
        <v>40671.839999999997</v>
      </c>
      <c r="D85" s="714">
        <v>40883.699999999997</v>
      </c>
      <c r="E85" s="714">
        <v>41095.56</v>
      </c>
      <c r="F85" s="714">
        <v>41307.42</v>
      </c>
      <c r="G85" s="714">
        <v>41519.28</v>
      </c>
      <c r="H85" s="714">
        <v>41731.14</v>
      </c>
      <c r="I85" s="714">
        <v>41943</v>
      </c>
      <c r="J85" s="714">
        <v>42154.86</v>
      </c>
      <c r="K85" s="714">
        <v>42366.72</v>
      </c>
      <c r="L85" s="714">
        <v>42578.58</v>
      </c>
      <c r="M85" s="714">
        <v>42790.44</v>
      </c>
      <c r="N85" s="714">
        <v>43002.30</v>
      </c>
      <c r="O85" s="714">
        <v>43214.16</v>
      </c>
      <c r="P85" s="715">
        <f t="shared" si="1"/>
        <v>41943</v>
      </c>
    </row>
    <row r="86" spans="1:16" ht="12.75">
      <c r="A86" s="720">
        <v>4105</v>
      </c>
      <c r="B86" s="698" t="s">
        <v>418</v>
      </c>
      <c r="C86" s="714">
        <v>119418.49</v>
      </c>
      <c r="D86" s="714">
        <v>120040.29</v>
      </c>
      <c r="E86" s="714">
        <v>120662.09</v>
      </c>
      <c r="F86" s="714">
        <v>121283.89</v>
      </c>
      <c r="G86" s="714">
        <v>121905.69</v>
      </c>
      <c r="H86" s="714">
        <v>122527.49</v>
      </c>
      <c r="I86" s="714">
        <v>123149.29</v>
      </c>
      <c r="J86" s="714">
        <v>123771.09</v>
      </c>
      <c r="K86" s="714">
        <v>124392.89</v>
      </c>
      <c r="L86" s="714">
        <v>125014.69</v>
      </c>
      <c r="M86" s="714">
        <v>125636.49</v>
      </c>
      <c r="N86" s="714">
        <v>126258.29</v>
      </c>
      <c r="O86" s="714">
        <v>126880.09</v>
      </c>
      <c r="P86" s="715">
        <f t="shared" si="1"/>
        <v>123149.29000000001</v>
      </c>
    </row>
    <row r="87" spans="1:16" ht="12.75">
      <c r="A87" s="720">
        <v>4110</v>
      </c>
      <c r="B87" s="698" t="s">
        <v>556</v>
      </c>
      <c r="C87" s="714">
        <v>44516.98</v>
      </c>
      <c r="D87" s="714">
        <v>44697.73</v>
      </c>
      <c r="E87" s="714">
        <v>44878.48</v>
      </c>
      <c r="F87" s="714">
        <v>45059.23</v>
      </c>
      <c r="G87" s="714">
        <v>45239.98</v>
      </c>
      <c r="H87" s="714">
        <v>45420.73</v>
      </c>
      <c r="I87" s="714">
        <v>45601.48</v>
      </c>
      <c r="J87" s="714">
        <v>45782.23</v>
      </c>
      <c r="K87" s="714">
        <v>45962.98</v>
      </c>
      <c r="L87" s="714">
        <v>46143.73</v>
      </c>
      <c r="M87" s="714">
        <v>46324.48</v>
      </c>
      <c r="N87" s="714">
        <v>46505.23</v>
      </c>
      <c r="O87" s="714">
        <v>46685.98</v>
      </c>
      <c r="P87" s="715">
        <f t="shared" si="1"/>
        <v>45601.479999999989</v>
      </c>
    </row>
    <row r="88" spans="1:16" ht="12.75">
      <c r="A88" s="720">
        <v>4115</v>
      </c>
      <c r="B88" s="698" t="s">
        <v>420</v>
      </c>
      <c r="C88" s="714">
        <v>29815.66</v>
      </c>
      <c r="D88" s="714">
        <v>29987.98</v>
      </c>
      <c r="E88" s="714">
        <v>30160.30</v>
      </c>
      <c r="F88" s="714">
        <v>30332.62</v>
      </c>
      <c r="G88" s="714">
        <v>30504.94</v>
      </c>
      <c r="H88" s="714">
        <v>30677.26</v>
      </c>
      <c r="I88" s="714">
        <v>30849.58</v>
      </c>
      <c r="J88" s="714">
        <v>31021.90</v>
      </c>
      <c r="K88" s="714">
        <v>31194.22</v>
      </c>
      <c r="L88" s="714">
        <v>31366.54</v>
      </c>
      <c r="M88" s="714">
        <v>31538.86</v>
      </c>
      <c r="N88" s="714">
        <v>31711.18</v>
      </c>
      <c r="O88" s="714">
        <v>31883.50</v>
      </c>
      <c r="P88" s="715">
        <f t="shared" si="1"/>
        <v>30849.579999999998</v>
      </c>
    </row>
    <row r="89" spans="1:16" ht="12.75">
      <c r="A89" s="720">
        <v>4150</v>
      </c>
      <c r="B89" s="698" t="s">
        <v>421</v>
      </c>
      <c r="C89" s="714">
        <v>-60.48</v>
      </c>
      <c r="D89" s="714">
        <v>-60.48</v>
      </c>
      <c r="E89" s="714">
        <v>-60.48</v>
      </c>
      <c r="F89" s="714">
        <v>-60.48</v>
      </c>
      <c r="G89" s="714">
        <v>-60.48</v>
      </c>
      <c r="H89" s="714">
        <v>-60.48</v>
      </c>
      <c r="I89" s="714">
        <v>-60.48</v>
      </c>
      <c r="J89" s="714">
        <v>-60.48</v>
      </c>
      <c r="K89" s="714">
        <v>-60.48</v>
      </c>
      <c r="L89" s="714">
        <v>-60.48</v>
      </c>
      <c r="M89" s="714">
        <v>-60.48</v>
      </c>
      <c r="N89" s="714">
        <v>-60.48</v>
      </c>
      <c r="O89" s="714"/>
      <c r="P89" s="715">
        <f t="shared" si="1"/>
        <v>-60.480000000000011</v>
      </c>
    </row>
    <row r="90" spans="1:16" ht="12.75">
      <c r="A90" s="720">
        <v>4155</v>
      </c>
      <c r="B90" s="698" t="s">
        <v>422</v>
      </c>
      <c r="C90" s="714">
        <v>-15413.32</v>
      </c>
      <c r="D90" s="714">
        <v>-15413.32</v>
      </c>
      <c r="E90" s="714">
        <v>-15413.32</v>
      </c>
      <c r="F90" s="714">
        <v>-15413.32</v>
      </c>
      <c r="G90" s="714">
        <v>-15413.32</v>
      </c>
      <c r="H90" s="714">
        <v>-15413.32</v>
      </c>
      <c r="I90" s="714">
        <v>-15413.32</v>
      </c>
      <c r="J90" s="714">
        <v>-15413.32</v>
      </c>
      <c r="K90" s="714">
        <v>-15413.32</v>
      </c>
      <c r="L90" s="714">
        <v>-15413.32</v>
      </c>
      <c r="M90" s="714">
        <v>-15413.32</v>
      </c>
      <c r="N90" s="714">
        <v>-15413.32</v>
      </c>
      <c r="O90" s="714">
        <v>-15413.32</v>
      </c>
      <c r="P90" s="715">
        <f t="shared" si="1"/>
        <v>-15413.320000000005</v>
      </c>
    </row>
    <row r="91" spans="1:16" ht="12.75">
      <c r="A91" s="720">
        <v>4265</v>
      </c>
      <c r="B91" s="698" t="s">
        <v>279</v>
      </c>
      <c r="C91" s="714">
        <v>244.88</v>
      </c>
      <c r="D91" s="714">
        <v>267.27999999999997</v>
      </c>
      <c r="E91" s="714">
        <v>289.68</v>
      </c>
      <c r="F91" s="714">
        <v>312.08</v>
      </c>
      <c r="G91" s="714">
        <v>334.48</v>
      </c>
      <c r="H91" s="714">
        <v>356.88</v>
      </c>
      <c r="I91" s="714">
        <v>379.28</v>
      </c>
      <c r="J91" s="714">
        <v>401.68</v>
      </c>
      <c r="K91" s="714">
        <v>424.08</v>
      </c>
      <c r="L91" s="714">
        <v>446.48</v>
      </c>
      <c r="M91" s="714">
        <v>468.88</v>
      </c>
      <c r="N91" s="714">
        <v>491.28</v>
      </c>
      <c r="O91" s="714">
        <v>513.67999999999995</v>
      </c>
      <c r="P91" s="715">
        <f t="shared" si="1"/>
        <v>379.28</v>
      </c>
    </row>
    <row r="92" spans="1:16" ht="12.75">
      <c r="A92" s="720">
        <v>4275</v>
      </c>
      <c r="B92" s="698" t="s">
        <v>423</v>
      </c>
      <c r="C92" s="714">
        <v>177275.67</v>
      </c>
      <c r="D92" s="714">
        <v>180054.82</v>
      </c>
      <c r="E92" s="714">
        <v>182833.97</v>
      </c>
      <c r="F92" s="714">
        <v>185613.12</v>
      </c>
      <c r="G92" s="714">
        <v>188392.27</v>
      </c>
      <c r="H92" s="714">
        <v>191171.42</v>
      </c>
      <c r="I92" s="714">
        <v>193950.57</v>
      </c>
      <c r="J92" s="714">
        <v>196729.72</v>
      </c>
      <c r="K92" s="714">
        <v>199508.87</v>
      </c>
      <c r="L92" s="714">
        <v>202292.23</v>
      </c>
      <c r="M92" s="714">
        <v>205075.59</v>
      </c>
      <c r="N92" s="714">
        <v>207858.95</v>
      </c>
      <c r="O92" s="714">
        <v>210642.31</v>
      </c>
      <c r="P92" s="715">
        <f t="shared" si="1"/>
        <v>193953.80846153849</v>
      </c>
    </row>
    <row r="93" spans="1:16" ht="12.75">
      <c r="A93" s="720" t="s">
        <v>252</v>
      </c>
      <c r="B93" s="698">
        <v>285</v>
      </c>
      <c r="C93" s="714">
        <v>884985.64</v>
      </c>
      <c r="D93" s="714">
        <v>890110.07</v>
      </c>
      <c r="E93" s="714">
        <v>895234.50</v>
      </c>
      <c r="F93" s="714">
        <v>900358.93</v>
      </c>
      <c r="G93" s="714">
        <v>905483.36</v>
      </c>
      <c r="H93" s="714">
        <v>910607.79</v>
      </c>
      <c r="I93" s="714">
        <v>915732.22</v>
      </c>
      <c r="J93" s="714">
        <v>920856.65</v>
      </c>
      <c r="K93" s="714">
        <v>925981.08</v>
      </c>
      <c r="L93" s="714">
        <v>931109.72</v>
      </c>
      <c r="M93" s="714">
        <v>936238.36</v>
      </c>
      <c r="N93" s="714">
        <v>941367</v>
      </c>
      <c r="O93" s="714">
        <v>946556.12</v>
      </c>
      <c r="P93" s="715">
        <f>SUM(P82:P92)</f>
        <v>915735.45846153854</v>
      </c>
    </row>
    <row r="94" spans="1:16" ht="12.75">
      <c r="A94" s="720" t="s">
        <v>280</v>
      </c>
      <c r="C94" s="714">
        <v>3945719.36</v>
      </c>
      <c r="D94" s="714">
        <v>3906920.48</v>
      </c>
      <c r="E94" s="714">
        <v>3869040.33</v>
      </c>
      <c r="F94" s="714">
        <v>3867818.97</v>
      </c>
      <c r="G94" s="714">
        <v>3832232.16</v>
      </c>
      <c r="H94" s="714">
        <v>3806242.20</v>
      </c>
      <c r="I94" s="714">
        <v>3768637.46</v>
      </c>
      <c r="J94" s="714">
        <v>3731209.70</v>
      </c>
      <c r="K94" s="714">
        <v>3698474.14</v>
      </c>
      <c r="L94" s="714">
        <v>3754217.69</v>
      </c>
      <c r="M94" s="714">
        <v>3715360.10</v>
      </c>
      <c r="N94" s="714">
        <v>3678251.97</v>
      </c>
      <c r="O94" s="714">
        <v>3641502.33</v>
      </c>
      <c r="P94" s="715">
        <f t="shared" si="1"/>
        <v>3785817.4530769223</v>
      </c>
    </row>
    <row r="97" spans="1:16" ht="12.75">
      <c r="A97" s="720">
        <v>6645</v>
      </c>
      <c r="B97" s="698" t="s">
        <v>557</v>
      </c>
      <c r="C97" s="714"/>
      <c r="D97" s="714">
        <v>7.13</v>
      </c>
      <c r="E97" s="714">
        <v>7.13</v>
      </c>
      <c r="F97" s="714">
        <v>7.13</v>
      </c>
      <c r="G97" s="714">
        <v>7.13</v>
      </c>
      <c r="H97" s="714">
        <v>7.13</v>
      </c>
      <c r="I97" s="714">
        <v>7.13</v>
      </c>
      <c r="J97" s="714">
        <v>7.13</v>
      </c>
      <c r="K97" s="714">
        <v>7.13</v>
      </c>
      <c r="L97" s="714">
        <v>7.13</v>
      </c>
      <c r="M97" s="714">
        <v>7.13</v>
      </c>
      <c r="N97" s="714">
        <v>7.13</v>
      </c>
      <c r="O97" s="714">
        <v>7.13</v>
      </c>
      <c r="P97" s="715">
        <f>SUM(D97:O97)</f>
        <v>85.559999999999988</v>
      </c>
    </row>
    <row r="98" spans="1:16" ht="12.75">
      <c r="A98" s="720">
        <v>6655</v>
      </c>
      <c r="B98" s="698" t="s">
        <v>558</v>
      </c>
      <c r="C98" s="714"/>
      <c r="D98" s="714">
        <v>7.56</v>
      </c>
      <c r="E98" s="714">
        <v>7.56</v>
      </c>
      <c r="F98" s="714">
        <v>7.56</v>
      </c>
      <c r="G98" s="714">
        <v>7.56</v>
      </c>
      <c r="H98" s="714">
        <v>7.56</v>
      </c>
      <c r="I98" s="714">
        <v>7.56</v>
      </c>
      <c r="J98" s="714">
        <v>7.56</v>
      </c>
      <c r="K98" s="714">
        <v>7.56</v>
      </c>
      <c r="L98" s="714">
        <v>7.56</v>
      </c>
      <c r="M98" s="714">
        <v>7.56</v>
      </c>
      <c r="N98" s="714">
        <v>7.55</v>
      </c>
      <c r="O98" s="714">
        <v>7.55</v>
      </c>
      <c r="P98" s="715">
        <f t="shared" si="2" ref="P98:P132">SUM(D98:O98)</f>
        <v>90.70</v>
      </c>
    </row>
    <row r="99" spans="1:16" ht="12.75">
      <c r="A99" s="720">
        <v>6660</v>
      </c>
      <c r="B99" s="698" t="s">
        <v>283</v>
      </c>
      <c r="C99" s="714"/>
      <c r="D99" s="714">
        <v>2387.9400000000005</v>
      </c>
      <c r="E99" s="714">
        <v>2389.8600000000006</v>
      </c>
      <c r="F99" s="714">
        <v>2512.4200000000005</v>
      </c>
      <c r="G99" s="714">
        <v>2417.0300000000007</v>
      </c>
      <c r="H99" s="714">
        <v>2458.7400000000007</v>
      </c>
      <c r="I99" s="714">
        <v>2445.8200000000006</v>
      </c>
      <c r="J99" s="714">
        <v>2448.8900000000008</v>
      </c>
      <c r="K99" s="714">
        <v>2462.9500000000007</v>
      </c>
      <c r="L99" s="714">
        <v>2775.2500000000009</v>
      </c>
      <c r="M99" s="714">
        <v>2774.170000000001</v>
      </c>
      <c r="N99" s="714">
        <v>2780.04</v>
      </c>
      <c r="O99" s="714">
        <v>2783.51</v>
      </c>
      <c r="P99" s="715">
        <f t="shared" si="2"/>
        <v>30636.620000000003</v>
      </c>
    </row>
    <row r="100" spans="1:16" ht="12.75">
      <c r="A100" s="720">
        <v>6665</v>
      </c>
      <c r="B100" s="698" t="s">
        <v>425</v>
      </c>
      <c r="C100" s="714"/>
      <c r="D100" s="714">
        <v>2534.27</v>
      </c>
      <c r="E100" s="714">
        <v>2534.2800000000002</v>
      </c>
      <c r="F100" s="714">
        <v>2534.27</v>
      </c>
      <c r="G100" s="714">
        <v>2534.27</v>
      </c>
      <c r="H100" s="714">
        <v>2534.27</v>
      </c>
      <c r="I100" s="714">
        <v>2534.2800000000002</v>
      </c>
      <c r="J100" s="714">
        <v>2534.27</v>
      </c>
      <c r="K100" s="714">
        <v>2534.27</v>
      </c>
      <c r="L100" s="714">
        <v>2534.27</v>
      </c>
      <c r="M100" s="714">
        <v>2534.2800000000002</v>
      </c>
      <c r="N100" s="714">
        <v>2534.27</v>
      </c>
      <c r="O100" s="714">
        <v>2534.27</v>
      </c>
      <c r="P100" s="715">
        <f t="shared" si="2"/>
        <v>30411.27</v>
      </c>
    </row>
    <row r="101" spans="1:16" ht="12.75">
      <c r="A101" s="720">
        <v>6675</v>
      </c>
      <c r="B101" s="698" t="s">
        <v>426</v>
      </c>
      <c r="C101" s="714"/>
      <c r="D101" s="714">
        <v>0.41</v>
      </c>
      <c r="E101" s="714">
        <v>0.41</v>
      </c>
      <c r="F101" s="714">
        <v>0.41</v>
      </c>
      <c r="G101" s="714">
        <v>0.41</v>
      </c>
      <c r="H101" s="714">
        <v>0.41</v>
      </c>
      <c r="I101" s="714">
        <v>0.41</v>
      </c>
      <c r="J101" s="714">
        <v>0.41</v>
      </c>
      <c r="K101" s="714">
        <v>0.41</v>
      </c>
      <c r="L101" s="714">
        <v>0.41</v>
      </c>
      <c r="M101" s="714">
        <v>0.41</v>
      </c>
      <c r="N101" s="714">
        <v>0.41</v>
      </c>
      <c r="O101" s="714">
        <v>0.41</v>
      </c>
      <c r="P101" s="715">
        <f t="shared" si="2"/>
        <v>4.9200000000000008</v>
      </c>
    </row>
    <row r="102" spans="1:16" ht="12.75">
      <c r="A102" s="720">
        <v>6680</v>
      </c>
      <c r="B102" s="698" t="s">
        <v>427</v>
      </c>
      <c r="C102" s="714"/>
      <c r="D102" s="714">
        <v>23.31</v>
      </c>
      <c r="E102" s="714">
        <v>23.31</v>
      </c>
      <c r="F102" s="714">
        <v>23.31</v>
      </c>
      <c r="G102" s="714">
        <v>24.21</v>
      </c>
      <c r="H102" s="714">
        <v>24.21</v>
      </c>
      <c r="I102" s="714">
        <v>24.21</v>
      </c>
      <c r="J102" s="714">
        <v>24.21</v>
      </c>
      <c r="K102" s="714">
        <v>24.21</v>
      </c>
      <c r="L102" s="714">
        <v>24.21</v>
      </c>
      <c r="M102" s="714">
        <v>24.21</v>
      </c>
      <c r="N102" s="714">
        <v>24.21</v>
      </c>
      <c r="O102" s="714">
        <v>24.21</v>
      </c>
      <c r="P102" s="715">
        <f t="shared" si="2"/>
        <v>287.82000000000005</v>
      </c>
    </row>
    <row r="103" spans="1:16" ht="12.75">
      <c r="A103" s="720">
        <v>6685</v>
      </c>
      <c r="B103" s="698" t="s">
        <v>428</v>
      </c>
      <c r="C103" s="714"/>
      <c r="D103" s="714">
        <v>401.33</v>
      </c>
      <c r="E103" s="714">
        <v>401.33</v>
      </c>
      <c r="F103" s="714">
        <v>401.33</v>
      </c>
      <c r="G103" s="714">
        <v>401.33</v>
      </c>
      <c r="H103" s="714">
        <v>401.33</v>
      </c>
      <c r="I103" s="714">
        <v>401.33</v>
      </c>
      <c r="J103" s="714">
        <v>401.33</v>
      </c>
      <c r="K103" s="714">
        <v>401.33</v>
      </c>
      <c r="L103" s="714">
        <v>401.33</v>
      </c>
      <c r="M103" s="714">
        <v>401.33</v>
      </c>
      <c r="N103" s="714">
        <v>401.33</v>
      </c>
      <c r="O103" s="714">
        <v>401.33</v>
      </c>
      <c r="P103" s="715">
        <f t="shared" si="2"/>
        <v>4815.96</v>
      </c>
    </row>
    <row r="104" spans="1:16" ht="12.75">
      <c r="A104" s="720">
        <v>6710</v>
      </c>
      <c r="B104" s="698" t="s">
        <v>429</v>
      </c>
      <c r="C104" s="714"/>
      <c r="D104" s="714">
        <v>10645.339999999998</v>
      </c>
      <c r="E104" s="714">
        <v>10645.339999999998</v>
      </c>
      <c r="F104" s="714">
        <v>10645.339999999998</v>
      </c>
      <c r="G104" s="714">
        <v>10645.339999999998</v>
      </c>
      <c r="H104" s="714">
        <v>10645.339999999998</v>
      </c>
      <c r="I104" s="714">
        <v>10645.339999999998</v>
      </c>
      <c r="J104" s="714">
        <v>10645.339999999998</v>
      </c>
      <c r="K104" s="714">
        <v>10645.339999999998</v>
      </c>
      <c r="L104" s="714">
        <v>10645.339999999998</v>
      </c>
      <c r="M104" s="714">
        <v>10645.339999999998</v>
      </c>
      <c r="N104" s="714">
        <v>10645.32</v>
      </c>
      <c r="O104" s="714">
        <v>10646.58</v>
      </c>
      <c r="P104" s="715">
        <f t="shared" si="2"/>
        <v>127745.29999999997</v>
      </c>
    </row>
    <row r="105" spans="1:16" ht="12.75">
      <c r="A105" s="720">
        <v>6715</v>
      </c>
      <c r="B105" s="698" t="s">
        <v>430</v>
      </c>
      <c r="C105" s="714"/>
      <c r="D105" s="714">
        <v>1144.19</v>
      </c>
      <c r="E105" s="714">
        <v>1144.19</v>
      </c>
      <c r="F105" s="714">
        <v>1144.19</v>
      </c>
      <c r="G105" s="714">
        <v>1144.19</v>
      </c>
      <c r="H105" s="714">
        <v>1144.19</v>
      </c>
      <c r="I105" s="714">
        <v>1144.19</v>
      </c>
      <c r="J105" s="714">
        <v>1144.19</v>
      </c>
      <c r="K105" s="714">
        <v>1144.19</v>
      </c>
      <c r="L105" s="714">
        <v>1148.51</v>
      </c>
      <c r="M105" s="714">
        <v>1145.3600000000001</v>
      </c>
      <c r="N105" s="714">
        <v>1145.3599999999999</v>
      </c>
      <c r="O105" s="714">
        <v>1145.3599999999999</v>
      </c>
      <c r="P105" s="715">
        <f t="shared" si="2"/>
        <v>13738.110000000004</v>
      </c>
    </row>
    <row r="106" spans="1:16" ht="12.75">
      <c r="A106" s="720">
        <v>6717</v>
      </c>
      <c r="B106" s="698" t="s">
        <v>431</v>
      </c>
      <c r="C106" s="714"/>
      <c r="D106" s="714">
        <v>406.79</v>
      </c>
      <c r="E106" s="714">
        <v>406.79</v>
      </c>
      <c r="F106" s="714">
        <v>406.79</v>
      </c>
      <c r="G106" s="714">
        <v>406.79</v>
      </c>
      <c r="H106" s="714">
        <v>406.79</v>
      </c>
      <c r="I106" s="714">
        <v>406.79</v>
      </c>
      <c r="J106" s="714">
        <v>406.79</v>
      </c>
      <c r="K106" s="714">
        <v>406.79</v>
      </c>
      <c r="L106" s="714">
        <v>406.79</v>
      </c>
      <c r="M106" s="714">
        <v>406.79</v>
      </c>
      <c r="N106" s="714">
        <v>379.57</v>
      </c>
      <c r="O106" s="714">
        <v>379.57</v>
      </c>
      <c r="P106" s="715">
        <f t="shared" si="2"/>
        <v>4827.04</v>
      </c>
    </row>
    <row r="107" spans="1:16" ht="12.75">
      <c r="A107" s="720">
        <v>6725</v>
      </c>
      <c r="B107" s="698" t="s">
        <v>432</v>
      </c>
      <c r="C107" s="714"/>
      <c r="D107" s="714">
        <v>262.79000000000002</v>
      </c>
      <c r="E107" s="714">
        <v>262.79000000000002</v>
      </c>
      <c r="F107" s="714">
        <v>262.79000000000002</v>
      </c>
      <c r="G107" s="714">
        <v>262.79000000000002</v>
      </c>
      <c r="H107" s="714">
        <v>262.79000000000002</v>
      </c>
      <c r="I107" s="714">
        <v>262.79000000000002</v>
      </c>
      <c r="J107" s="714">
        <v>262.79000000000002</v>
      </c>
      <c r="K107" s="714">
        <v>262.79000000000002</v>
      </c>
      <c r="L107" s="714">
        <v>262.79000000000002</v>
      </c>
      <c r="M107" s="714">
        <v>262.79000000000002</v>
      </c>
      <c r="N107" s="714">
        <v>262.79000000000002</v>
      </c>
      <c r="O107" s="714">
        <v>262.79000000000002</v>
      </c>
      <c r="P107" s="715">
        <f t="shared" si="2"/>
        <v>3153.48</v>
      </c>
    </row>
    <row r="108" spans="1:16" ht="12.75">
      <c r="A108" s="720">
        <v>6740</v>
      </c>
      <c r="B108" s="698" t="s">
        <v>559</v>
      </c>
      <c r="C108" s="714"/>
      <c r="D108" s="714">
        <v>1667.7799999999998</v>
      </c>
      <c r="E108" s="714">
        <v>1667.7799999999998</v>
      </c>
      <c r="F108" s="714">
        <v>1667.7799999999998</v>
      </c>
      <c r="G108" s="714">
        <v>1667.7799999999998</v>
      </c>
      <c r="H108" s="714">
        <v>1667.7799999999998</v>
      </c>
      <c r="I108" s="714">
        <v>1667.7799999999998</v>
      </c>
      <c r="J108" s="714">
        <v>1667.7799999999998</v>
      </c>
      <c r="K108" s="714">
        <v>1667.7799999999998</v>
      </c>
      <c r="L108" s="714">
        <v>1667.7799999999998</v>
      </c>
      <c r="M108" s="714">
        <v>1667.7799999999998</v>
      </c>
      <c r="N108" s="714">
        <v>1667.7800000000002</v>
      </c>
      <c r="O108" s="714">
        <v>1667.7800000000002</v>
      </c>
      <c r="P108" s="715">
        <f t="shared" si="2"/>
        <v>20013.35999999999</v>
      </c>
    </row>
    <row r="109" spans="1:16" ht="12.75">
      <c r="A109" s="720">
        <v>6745</v>
      </c>
      <c r="B109" s="698" t="s">
        <v>433</v>
      </c>
      <c r="C109" s="714"/>
      <c r="D109" s="714">
        <v>803.85</v>
      </c>
      <c r="E109" s="714">
        <v>803.85</v>
      </c>
      <c r="F109" s="714">
        <v>805.46</v>
      </c>
      <c r="G109" s="714">
        <v>805.46</v>
      </c>
      <c r="H109" s="714">
        <v>805.46</v>
      </c>
      <c r="I109" s="714">
        <v>805.46</v>
      </c>
      <c r="J109" s="714">
        <v>805.46</v>
      </c>
      <c r="K109" s="714">
        <v>805.46</v>
      </c>
      <c r="L109" s="714">
        <v>805.46</v>
      </c>
      <c r="M109" s="714">
        <v>805.46</v>
      </c>
      <c r="N109" s="714">
        <v>805.45</v>
      </c>
      <c r="O109" s="714">
        <v>805.45</v>
      </c>
      <c r="P109" s="715">
        <f t="shared" si="2"/>
        <v>9662.2800000000007</v>
      </c>
    </row>
    <row r="110" spans="1:16" ht="12.75">
      <c r="A110" s="720">
        <v>6765</v>
      </c>
      <c r="B110" s="698" t="s">
        <v>285</v>
      </c>
      <c r="C110" s="714"/>
      <c r="D110" s="714">
        <v>20.73</v>
      </c>
      <c r="E110" s="714">
        <v>20.73</v>
      </c>
      <c r="F110" s="714">
        <v>21.65</v>
      </c>
      <c r="G110" s="714">
        <v>21.65</v>
      </c>
      <c r="H110" s="714">
        <v>22.12</v>
      </c>
      <c r="I110" s="714">
        <v>22.12</v>
      </c>
      <c r="J110" s="714">
        <v>22.12</v>
      </c>
      <c r="K110" s="714">
        <v>22.12</v>
      </c>
      <c r="L110" s="714">
        <v>22.12</v>
      </c>
      <c r="M110" s="714">
        <v>22.12</v>
      </c>
      <c r="N110" s="714">
        <v>22.12</v>
      </c>
      <c r="O110" s="714">
        <v>22.12</v>
      </c>
      <c r="P110" s="715">
        <f t="shared" si="2"/>
        <v>261.72000000000003</v>
      </c>
    </row>
    <row r="111" spans="1:16" ht="12.75">
      <c r="A111" s="720">
        <v>6790</v>
      </c>
      <c r="B111" s="698" t="s">
        <v>560</v>
      </c>
      <c r="C111" s="714"/>
      <c r="D111" s="714">
        <v>18581.66</v>
      </c>
      <c r="E111" s="714">
        <v>18581.66</v>
      </c>
      <c r="F111" s="714">
        <v>18581.66</v>
      </c>
      <c r="G111" s="714">
        <v>18581.66</v>
      </c>
      <c r="H111" s="714">
        <v>18581.66</v>
      </c>
      <c r="I111" s="714">
        <v>18581.66</v>
      </c>
      <c r="J111" s="714">
        <v>18581.66</v>
      </c>
      <c r="K111" s="714">
        <v>18581.66</v>
      </c>
      <c r="L111" s="714">
        <v>18581.66</v>
      </c>
      <c r="M111" s="714">
        <v>18581.66</v>
      </c>
      <c r="N111" s="714">
        <v>18581.66</v>
      </c>
      <c r="O111" s="714">
        <v>18581.66</v>
      </c>
      <c r="P111" s="715">
        <f t="shared" si="2"/>
        <v>222979.92</v>
      </c>
    </row>
    <row r="112" spans="1:16" ht="12.75">
      <c r="A112" s="720">
        <v>6800</v>
      </c>
      <c r="B112" s="698" t="s">
        <v>436</v>
      </c>
      <c r="C112" s="714"/>
      <c r="D112" s="714">
        <v>1.18</v>
      </c>
      <c r="E112" s="714">
        <v>1.18</v>
      </c>
      <c r="F112" s="714">
        <v>1.18</v>
      </c>
      <c r="G112" s="714">
        <v>1.18</v>
      </c>
      <c r="H112" s="714">
        <v>1.18</v>
      </c>
      <c r="I112" s="714">
        <v>1.18</v>
      </c>
      <c r="J112" s="714">
        <v>1.18</v>
      </c>
      <c r="K112" s="714">
        <v>1.18</v>
      </c>
      <c r="L112" s="714">
        <v>1.18</v>
      </c>
      <c r="M112" s="714">
        <v>1.18</v>
      </c>
      <c r="N112" s="714">
        <v>1.18</v>
      </c>
      <c r="O112" s="714">
        <v>1.18</v>
      </c>
      <c r="P112" s="715">
        <f t="shared" si="2"/>
        <v>14.159999999999998</v>
      </c>
    </row>
    <row r="113" spans="1:16" ht="12.75">
      <c r="A113" s="720">
        <v>6805</v>
      </c>
      <c r="B113" s="698" t="s">
        <v>437</v>
      </c>
      <c r="C113" s="714"/>
      <c r="D113" s="714">
        <v>197.18</v>
      </c>
      <c r="E113" s="714">
        <v>197.18</v>
      </c>
      <c r="F113" s="714">
        <v>197.18</v>
      </c>
      <c r="G113" s="714">
        <v>197.18</v>
      </c>
      <c r="H113" s="714">
        <v>197.18</v>
      </c>
      <c r="I113" s="714">
        <v>197.18</v>
      </c>
      <c r="J113" s="714">
        <v>197.18</v>
      </c>
      <c r="K113" s="714">
        <v>197.18</v>
      </c>
      <c r="L113" s="714">
        <v>197.18</v>
      </c>
      <c r="M113" s="714">
        <v>197.18</v>
      </c>
      <c r="N113" s="714">
        <v>197.18</v>
      </c>
      <c r="O113" s="714">
        <v>197.18</v>
      </c>
      <c r="P113" s="715">
        <f t="shared" si="2"/>
        <v>2366.1600000000003</v>
      </c>
    </row>
    <row r="114" spans="1:16" ht="12.75">
      <c r="A114" s="720">
        <v>6820</v>
      </c>
      <c r="B114" s="698" t="s">
        <v>438</v>
      </c>
      <c r="C114" s="714"/>
      <c r="D114" s="714">
        <v>14.65</v>
      </c>
      <c r="E114" s="714">
        <v>14.65</v>
      </c>
      <c r="F114" s="714">
        <v>14.65</v>
      </c>
      <c r="G114" s="714">
        <v>14.65</v>
      </c>
      <c r="H114" s="714">
        <v>14.65</v>
      </c>
      <c r="I114" s="714">
        <v>14.65</v>
      </c>
      <c r="J114" s="714">
        <v>14.65</v>
      </c>
      <c r="K114" s="714">
        <v>14.65</v>
      </c>
      <c r="L114" s="714">
        <v>14.65</v>
      </c>
      <c r="M114" s="714">
        <v>14.65</v>
      </c>
      <c r="N114" s="714">
        <v>14.65</v>
      </c>
      <c r="O114" s="714">
        <v>14.65</v>
      </c>
      <c r="P114" s="715">
        <f t="shared" si="2"/>
        <v>175.80000000000004</v>
      </c>
    </row>
    <row r="115" spans="1:16" ht="12.75">
      <c r="A115" s="720">
        <v>6825</v>
      </c>
      <c r="B115" s="698" t="s">
        <v>439</v>
      </c>
      <c r="C115" s="714"/>
      <c r="D115" s="714">
        <v>2.16</v>
      </c>
      <c r="E115" s="714">
        <v>2.16</v>
      </c>
      <c r="F115" s="714">
        <v>2.16</v>
      </c>
      <c r="G115" s="714">
        <v>2.16</v>
      </c>
      <c r="H115" s="714">
        <v>2.16</v>
      </c>
      <c r="I115" s="714">
        <v>2.16</v>
      </c>
      <c r="J115" s="714">
        <v>2.16</v>
      </c>
      <c r="K115" s="714">
        <v>2.16</v>
      </c>
      <c r="L115" s="714">
        <v>2.16</v>
      </c>
      <c r="M115" s="714">
        <v>2.16</v>
      </c>
      <c r="N115" s="714">
        <v>2.16</v>
      </c>
      <c r="O115" s="714">
        <v>2.16</v>
      </c>
      <c r="P115" s="715">
        <f t="shared" si="2"/>
        <v>25.92</v>
      </c>
    </row>
    <row r="116" spans="1:16" ht="12.75">
      <c r="A116" s="720">
        <v>6835</v>
      </c>
      <c r="B116" s="698" t="s">
        <v>440</v>
      </c>
      <c r="C116" s="714"/>
      <c r="D116" s="714">
        <v>150.42000000000002</v>
      </c>
      <c r="E116" s="714">
        <v>150.42000000000002</v>
      </c>
      <c r="F116" s="714">
        <v>150.42000000000002</v>
      </c>
      <c r="G116" s="714">
        <v>150.42000000000002</v>
      </c>
      <c r="H116" s="714">
        <v>150.42000000000002</v>
      </c>
      <c r="I116" s="714">
        <v>150.42000000000002</v>
      </c>
      <c r="J116" s="714">
        <v>150.42000000000002</v>
      </c>
      <c r="K116" s="714">
        <v>150.42000000000002</v>
      </c>
      <c r="L116" s="714">
        <v>150.42000000000002</v>
      </c>
      <c r="M116" s="714">
        <v>150.42000000000002</v>
      </c>
      <c r="N116" s="714">
        <v>150.41</v>
      </c>
      <c r="O116" s="714">
        <v>150.41</v>
      </c>
      <c r="P116" s="715">
        <f t="shared" si="2"/>
        <v>1805.0200000000007</v>
      </c>
    </row>
    <row r="117" spans="1:16" ht="12.75">
      <c r="A117" s="720">
        <v>6840</v>
      </c>
      <c r="B117" s="698" t="s">
        <v>441</v>
      </c>
      <c r="C117" s="714"/>
      <c r="D117" s="714">
        <v>45.64</v>
      </c>
      <c r="E117" s="714">
        <v>45.64</v>
      </c>
      <c r="F117" s="714">
        <v>45.64</v>
      </c>
      <c r="G117" s="714">
        <v>45.64</v>
      </c>
      <c r="H117" s="714">
        <v>45.64</v>
      </c>
      <c r="I117" s="714">
        <v>45.64</v>
      </c>
      <c r="J117" s="714">
        <v>45.64</v>
      </c>
      <c r="K117" s="714">
        <v>45.64</v>
      </c>
      <c r="L117" s="714">
        <v>45.64</v>
      </c>
      <c r="M117" s="714">
        <v>45.64</v>
      </c>
      <c r="N117" s="714">
        <v>45.64</v>
      </c>
      <c r="O117" s="714">
        <v>45.64</v>
      </c>
      <c r="P117" s="715">
        <f t="shared" si="2"/>
        <v>547.67999999999995</v>
      </c>
    </row>
    <row r="118" spans="1:16" ht="12.75">
      <c r="A118" s="720">
        <v>6850</v>
      </c>
      <c r="B118" s="698" t="s">
        <v>442</v>
      </c>
      <c r="C118" s="714"/>
      <c r="D118" s="714">
        <v>12.50</v>
      </c>
      <c r="E118" s="714">
        <v>12.50</v>
      </c>
      <c r="F118" s="714">
        <v>12.50</v>
      </c>
      <c r="G118" s="714">
        <v>12.50</v>
      </c>
      <c r="H118" s="714">
        <v>12.50</v>
      </c>
      <c r="I118" s="714">
        <v>12.50</v>
      </c>
      <c r="J118" s="714">
        <v>12.50</v>
      </c>
      <c r="K118" s="714">
        <v>12.50</v>
      </c>
      <c r="L118" s="714">
        <v>12.50</v>
      </c>
      <c r="M118" s="714">
        <v>12.50</v>
      </c>
      <c r="N118" s="714">
        <v>12.50</v>
      </c>
      <c r="O118" s="714">
        <v>12.50</v>
      </c>
      <c r="P118" s="715">
        <f t="shared" si="2"/>
        <v>150</v>
      </c>
    </row>
    <row r="119" spans="1:16" ht="12.75">
      <c r="A119" s="720">
        <v>6890</v>
      </c>
      <c r="B119" s="698" t="s">
        <v>443</v>
      </c>
      <c r="C119" s="714"/>
      <c r="D119" s="714">
        <v>0.67</v>
      </c>
      <c r="E119" s="714">
        <v>1.34</v>
      </c>
      <c r="F119" s="714">
        <v>2.10</v>
      </c>
      <c r="G119" s="714">
        <v>2.69</v>
      </c>
      <c r="H119" s="714">
        <v>3.22</v>
      </c>
      <c r="I119" s="714">
        <v>3.22</v>
      </c>
      <c r="J119" s="714">
        <v>3.22</v>
      </c>
      <c r="K119" s="714">
        <v>4.2699999999999996</v>
      </c>
      <c r="L119" s="714">
        <v>4.97</v>
      </c>
      <c r="M119" s="714">
        <v>4.97</v>
      </c>
      <c r="N119" s="714">
        <v>5.32</v>
      </c>
      <c r="O119" s="714">
        <v>5.32</v>
      </c>
      <c r="P119" s="715">
        <f t="shared" si="2"/>
        <v>41.309999999999995</v>
      </c>
    </row>
    <row r="120" spans="1:16" ht="12.75">
      <c r="A120" s="720">
        <v>7225</v>
      </c>
      <c r="B120" s="698" t="s">
        <v>444</v>
      </c>
      <c r="C120" s="714"/>
      <c r="D120" s="714">
        <v>-1136.1500000000001</v>
      </c>
      <c r="E120" s="714">
        <v>-1136.1500000000001</v>
      </c>
      <c r="F120" s="714">
        <v>-1136.1500000000001</v>
      </c>
      <c r="G120" s="714">
        <v>-1136.1500000000001</v>
      </c>
      <c r="H120" s="714">
        <v>-1136.1500000000001</v>
      </c>
      <c r="I120" s="714">
        <v>-1136.1500000000001</v>
      </c>
      <c r="J120" s="714">
        <v>-1136.1500000000001</v>
      </c>
      <c r="K120" s="714">
        <v>-1136.1500000000001</v>
      </c>
      <c r="L120" s="714">
        <v>-1136.1500000000001</v>
      </c>
      <c r="M120" s="714">
        <v>-1136.1500000000001</v>
      </c>
      <c r="N120" s="714">
        <v>-1136.1500000000001</v>
      </c>
      <c r="O120" s="714">
        <v>-1136.1500000000001</v>
      </c>
      <c r="P120" s="715">
        <f t="shared" si="2"/>
        <v>-13633.799999999998</v>
      </c>
    </row>
    <row r="121" spans="1:16" ht="12.75">
      <c r="A121" s="720">
        <v>7275</v>
      </c>
      <c r="B121" s="698" t="s">
        <v>445</v>
      </c>
      <c r="C121" s="714"/>
      <c r="D121" s="714">
        <v>-211.86</v>
      </c>
      <c r="E121" s="714">
        <v>-211.86</v>
      </c>
      <c r="F121" s="714">
        <v>-211.86</v>
      </c>
      <c r="G121" s="714">
        <v>-211.86</v>
      </c>
      <c r="H121" s="714">
        <v>-211.86</v>
      </c>
      <c r="I121" s="714">
        <v>-211.86</v>
      </c>
      <c r="J121" s="714">
        <v>-211.86</v>
      </c>
      <c r="K121" s="714">
        <v>-211.86</v>
      </c>
      <c r="L121" s="714">
        <v>-211.86</v>
      </c>
      <c r="M121" s="714">
        <v>-211.86</v>
      </c>
      <c r="N121" s="714">
        <v>-211.86</v>
      </c>
      <c r="O121" s="714">
        <v>-211.86</v>
      </c>
      <c r="P121" s="715">
        <f t="shared" si="2"/>
        <v>-2542.3200000000011</v>
      </c>
    </row>
    <row r="122" spans="1:16" ht="12.75">
      <c r="A122" s="720">
        <v>7280</v>
      </c>
      <c r="B122" s="698" t="s">
        <v>446</v>
      </c>
      <c r="C122" s="714"/>
      <c r="D122" s="714">
        <v>-621.79999999999995</v>
      </c>
      <c r="E122" s="714">
        <v>-621.79999999999995</v>
      </c>
      <c r="F122" s="714">
        <v>-621.79999999999995</v>
      </c>
      <c r="G122" s="714">
        <v>-621.79999999999995</v>
      </c>
      <c r="H122" s="714">
        <v>-621.79999999999995</v>
      </c>
      <c r="I122" s="714">
        <v>-621.79999999999995</v>
      </c>
      <c r="J122" s="714">
        <v>-621.79999999999995</v>
      </c>
      <c r="K122" s="714">
        <v>-621.79999999999995</v>
      </c>
      <c r="L122" s="714">
        <v>-621.79999999999995</v>
      </c>
      <c r="M122" s="714">
        <v>-621.79999999999995</v>
      </c>
      <c r="N122" s="714">
        <v>-621.79999999999995</v>
      </c>
      <c r="O122" s="714">
        <v>-621.79999999999995</v>
      </c>
      <c r="P122" s="715">
        <f t="shared" si="2"/>
        <v>-7461.6000000000013</v>
      </c>
    </row>
    <row r="123" spans="1:16" ht="12.75">
      <c r="A123" s="720">
        <v>7285</v>
      </c>
      <c r="B123" s="698" t="s">
        <v>561</v>
      </c>
      <c r="C123" s="714"/>
      <c r="D123" s="714">
        <v>-180.75</v>
      </c>
      <c r="E123" s="714">
        <v>-180.75</v>
      </c>
      <c r="F123" s="714">
        <v>-180.75</v>
      </c>
      <c r="G123" s="714">
        <v>-180.75</v>
      </c>
      <c r="H123" s="714">
        <v>-180.75</v>
      </c>
      <c r="I123" s="714">
        <v>-180.75</v>
      </c>
      <c r="J123" s="714">
        <v>-180.75</v>
      </c>
      <c r="K123" s="714">
        <v>-180.75</v>
      </c>
      <c r="L123" s="714">
        <v>-180.75</v>
      </c>
      <c r="M123" s="714">
        <v>-180.75</v>
      </c>
      <c r="N123" s="714">
        <v>-180.75</v>
      </c>
      <c r="O123" s="714">
        <v>-180.75</v>
      </c>
      <c r="P123" s="715">
        <f t="shared" si="2"/>
        <v>-2169</v>
      </c>
    </row>
    <row r="124" spans="1:16" ht="12.75">
      <c r="A124" s="720">
        <v>7290</v>
      </c>
      <c r="B124" s="698" t="s">
        <v>448</v>
      </c>
      <c r="C124" s="714"/>
      <c r="D124" s="714">
        <v>-172.32</v>
      </c>
      <c r="E124" s="714">
        <v>-172.32</v>
      </c>
      <c r="F124" s="714">
        <v>-172.32</v>
      </c>
      <c r="G124" s="714">
        <v>-172.32</v>
      </c>
      <c r="H124" s="714">
        <v>-172.32</v>
      </c>
      <c r="I124" s="714">
        <v>-172.32</v>
      </c>
      <c r="J124" s="714">
        <v>-172.32</v>
      </c>
      <c r="K124" s="714">
        <v>-172.32</v>
      </c>
      <c r="L124" s="714">
        <v>-172.32</v>
      </c>
      <c r="M124" s="714">
        <v>-172.32</v>
      </c>
      <c r="N124" s="714">
        <v>-172.32</v>
      </c>
      <c r="O124" s="714">
        <v>-172.32</v>
      </c>
      <c r="P124" s="715">
        <f t="shared" si="2"/>
        <v>-2067.8399999999997</v>
      </c>
    </row>
    <row r="125" spans="1:16" ht="12.75">
      <c r="A125" s="720">
        <v>7325</v>
      </c>
      <c r="B125" s="698" t="s">
        <v>449</v>
      </c>
      <c r="C125" s="714"/>
      <c r="D125" s="714"/>
      <c r="E125" s="714"/>
      <c r="F125" s="714"/>
      <c r="G125" s="714"/>
      <c r="H125" s="714"/>
      <c r="I125" s="714"/>
      <c r="J125" s="714"/>
      <c r="K125" s="714"/>
      <c r="L125" s="714"/>
      <c r="M125" s="714"/>
      <c r="N125" s="714"/>
      <c r="O125" s="714">
        <v>-60.48</v>
      </c>
      <c r="P125" s="715">
        <f t="shared" si="2"/>
        <v>-60.48</v>
      </c>
    </row>
    <row r="126" spans="1:16" ht="12.75">
      <c r="A126" s="720">
        <v>7430</v>
      </c>
      <c r="B126" s="698" t="s">
        <v>286</v>
      </c>
      <c r="C126" s="714"/>
      <c r="D126" s="714">
        <v>-22.40</v>
      </c>
      <c r="E126" s="714">
        <v>-22.40</v>
      </c>
      <c r="F126" s="714">
        <v>-22.40</v>
      </c>
      <c r="G126" s="714">
        <v>-22.40</v>
      </c>
      <c r="H126" s="714">
        <v>-22.40</v>
      </c>
      <c r="I126" s="714">
        <v>-22.40</v>
      </c>
      <c r="J126" s="714">
        <v>-22.40</v>
      </c>
      <c r="K126" s="714">
        <v>-22.40</v>
      </c>
      <c r="L126" s="714">
        <v>-22.40</v>
      </c>
      <c r="M126" s="714">
        <v>-22.40</v>
      </c>
      <c r="N126" s="714">
        <v>-22.40</v>
      </c>
      <c r="O126" s="714">
        <v>-22.40</v>
      </c>
      <c r="P126" s="715">
        <f t="shared" si="2"/>
        <v>-268.80</v>
      </c>
    </row>
    <row r="127" spans="1:16" ht="12.75">
      <c r="A127" s="720">
        <v>7440</v>
      </c>
      <c r="B127" s="698" t="s">
        <v>450</v>
      </c>
      <c r="C127" s="714"/>
      <c r="D127" s="714">
        <v>-2779.15</v>
      </c>
      <c r="E127" s="714">
        <v>-2779.15</v>
      </c>
      <c r="F127" s="714">
        <v>-2779.15</v>
      </c>
      <c r="G127" s="714">
        <v>-2779.15</v>
      </c>
      <c r="H127" s="714">
        <v>-2779.15</v>
      </c>
      <c r="I127" s="714">
        <v>-2779.15</v>
      </c>
      <c r="J127" s="714">
        <v>-2779.15</v>
      </c>
      <c r="K127" s="714">
        <v>-2779.15</v>
      </c>
      <c r="L127" s="714">
        <v>-2783.36</v>
      </c>
      <c r="M127" s="714">
        <v>-2783.36</v>
      </c>
      <c r="N127" s="714">
        <v>-2783.36</v>
      </c>
      <c r="O127" s="714">
        <v>-2783.36</v>
      </c>
      <c r="P127" s="715">
        <f t="shared" si="2"/>
        <v>-33366.640000000007</v>
      </c>
    </row>
    <row r="128" spans="1:16" ht="12.75">
      <c r="A128" s="720"/>
      <c r="C128" s="714"/>
      <c r="D128" s="714"/>
      <c r="E128" s="714"/>
      <c r="F128" s="714"/>
      <c r="G128" s="714"/>
      <c r="H128" s="714"/>
      <c r="I128" s="714"/>
      <c r="J128" s="714"/>
      <c r="K128" s="714"/>
      <c r="L128" s="714"/>
      <c r="M128" s="714"/>
      <c r="N128" s="714"/>
      <c r="O128" s="714"/>
      <c r="P128" s="715">
        <f t="shared" si="2"/>
        <v>0</v>
      </c>
    </row>
    <row r="129" spans="1:16" ht="12.75">
      <c r="A129" s="720">
        <v>7540</v>
      </c>
      <c r="B129" s="698" t="s">
        <v>452</v>
      </c>
      <c r="C129" s="714"/>
      <c r="D129" s="714">
        <v>11830.89</v>
      </c>
      <c r="E129" s="714"/>
      <c r="F129" s="714"/>
      <c r="G129" s="714"/>
      <c r="H129" s="714"/>
      <c r="I129" s="714"/>
      <c r="J129" s="714">
        <v>13368.56</v>
      </c>
      <c r="K129" s="714"/>
      <c r="L129" s="714"/>
      <c r="M129" s="714"/>
      <c r="N129" s="714"/>
      <c r="O129" s="714">
        <v>-3182.13</v>
      </c>
      <c r="P129" s="715">
        <f t="shared" si="2"/>
        <v>22017.319999999996</v>
      </c>
    </row>
    <row r="130" spans="1:16" ht="12.75">
      <c r="A130" s="720">
        <v>7545</v>
      </c>
      <c r="B130" s="698" t="s">
        <v>453</v>
      </c>
      <c r="C130" s="714"/>
      <c r="D130" s="714"/>
      <c r="E130" s="714"/>
      <c r="F130" s="714"/>
      <c r="G130" s="714"/>
      <c r="H130" s="714"/>
      <c r="I130" s="714"/>
      <c r="J130" s="714"/>
      <c r="K130" s="714"/>
      <c r="L130" s="714"/>
      <c r="M130" s="714"/>
      <c r="N130" s="714">
        <v>79584.490000000005</v>
      </c>
      <c r="O130" s="714"/>
      <c r="P130" s="715">
        <f t="shared" si="2"/>
        <v>79584.490000000005</v>
      </c>
    </row>
    <row r="131" spans="1:16" ht="12.75">
      <c r="A131" s="720">
        <v>7550</v>
      </c>
      <c r="B131" s="698" t="s">
        <v>454</v>
      </c>
      <c r="C131" s="714"/>
      <c r="D131" s="714">
        <v>-3489.89</v>
      </c>
      <c r="E131" s="714">
        <v>8341</v>
      </c>
      <c r="F131" s="714">
        <v>8341</v>
      </c>
      <c r="G131" s="714">
        <v>8341</v>
      </c>
      <c r="H131" s="714">
        <v>8341</v>
      </c>
      <c r="I131" s="714">
        <v>8341</v>
      </c>
      <c r="J131" s="714">
        <v>-5027.5599999999977</v>
      </c>
      <c r="K131" s="714">
        <v>8341</v>
      </c>
      <c r="L131" s="714">
        <v>8341</v>
      </c>
      <c r="M131" s="714">
        <v>8341</v>
      </c>
      <c r="N131" s="714">
        <v>-73200.44</v>
      </c>
      <c r="O131" s="714">
        <v>14989.89</v>
      </c>
      <c r="P131" s="715">
        <f t="shared" si="2"/>
        <v>0</v>
      </c>
    </row>
    <row r="132" spans="1:16" ht="12.75">
      <c r="A132" s="720">
        <v>7555</v>
      </c>
      <c r="B132" s="698" t="s">
        <v>455</v>
      </c>
      <c r="C132" s="714"/>
      <c r="D132" s="714"/>
      <c r="E132" s="714"/>
      <c r="F132" s="714"/>
      <c r="G132" s="714"/>
      <c r="H132" s="714"/>
      <c r="I132" s="714"/>
      <c r="J132" s="714"/>
      <c r="K132" s="714"/>
      <c r="L132" s="714"/>
      <c r="M132" s="714"/>
      <c r="N132" s="714">
        <v>1956.95</v>
      </c>
      <c r="O132" s="714"/>
      <c r="P132" s="715">
        <f t="shared" si="2"/>
        <v>1956.95</v>
      </c>
    </row>
  </sheetData>
  <pageMargins left="0.7" right="0.7" top="0.75" bottom="0.75" header="0.3" footer="0.3"/>
  <pageSetup horizontalDpi="300" verticalDpi="300" orientation="portrait" r:id="rId1"/>
  <headerFooter>
    <oddFooter>&amp;L&amp;"Times New Roman,Regular"&amp;9O3129680.v1</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M348"/>
  <sheetViews>
    <sheetView workbookViewId="0" topLeftCell="A1"/>
  </sheetViews>
  <sheetFormatPr defaultColWidth="10.85546875" defaultRowHeight="12"/>
  <cols>
    <col min="1" max="1" width="4.14285714285714" style="2" customWidth="1"/>
    <col min="2" max="2" width="33" style="2" customWidth="1"/>
    <col min="3" max="3" width="14.2857142857143" style="2" bestFit="1" customWidth="1"/>
    <col min="4" max="4" width="13.7142857142857" style="2" bestFit="1" customWidth="1"/>
    <col min="5" max="5" width="12.5714285714286" style="2" customWidth="1"/>
    <col min="6" max="6" width="10.7142857142857" style="30" customWidth="1"/>
    <col min="7" max="7" width="12.1428571428571" style="2" bestFit="1" customWidth="1"/>
    <col min="8" max="8" width="11" style="2" bestFit="1" customWidth="1"/>
    <col min="9" max="9" width="11.2857142857143" style="2" bestFit="1" customWidth="1"/>
    <col min="10" max="10" width="12" style="2" bestFit="1" customWidth="1"/>
    <col min="11" max="11" width="11" style="2" bestFit="1" customWidth="1"/>
    <col min="12" max="12" width="10.8571428571429" style="2"/>
    <col min="13" max="13" width="11" style="2" bestFit="1" customWidth="1"/>
    <col min="14" max="17" width="11" style="54" bestFit="1" customWidth="1"/>
    <col min="18" max="16384" width="10.8571428571429" style="54"/>
  </cols>
  <sheetData>
    <row r="1" spans="1:13" s="4" customFormat="1" ht="12">
      <c r="A1" s="1" t="s">
        <v>0</v>
      </c>
      <c r="B1" s="1"/>
      <c r="C1" s="2"/>
      <c r="D1" s="2"/>
      <c r="G1" s="490" t="s">
        <v>1</v>
      </c>
      <c r="H1" s="2"/>
      <c r="I1" s="2"/>
      <c r="J1" s="2"/>
      <c r="K1" s="2"/>
      <c r="L1" s="2"/>
      <c r="M1" s="2"/>
    </row>
    <row r="2" spans="1:13" s="4" customFormat="1" ht="12">
      <c r="A2" s="1" t="s">
        <v>2</v>
      </c>
      <c r="B2" s="1"/>
      <c r="C2" s="3"/>
      <c r="D2" s="2"/>
      <c r="E2" s="5"/>
      <c r="G2" s="1"/>
      <c r="H2" s="2"/>
      <c r="I2" s="2"/>
      <c r="J2" s="2"/>
      <c r="K2" s="2"/>
      <c r="L2" s="2"/>
      <c r="M2" s="2"/>
    </row>
    <row r="3" spans="1:13" s="4" customFormat="1" ht="12">
      <c r="A3" s="1"/>
      <c r="B3" s="1"/>
      <c r="C3" s="2"/>
      <c r="D3" s="2"/>
      <c r="G3" s="487" t="s">
        <v>3</v>
      </c>
      <c r="H3" s="2"/>
      <c r="I3" s="2"/>
      <c r="J3" s="2"/>
      <c r="K3" s="2"/>
      <c r="L3" s="2"/>
      <c r="M3" s="2"/>
    </row>
    <row r="4" spans="1:13" s="4" customFormat="1" ht="12">
      <c r="A4" s="1" t="s">
        <v>84</v>
      </c>
      <c r="B4" s="1"/>
      <c r="C4" s="6"/>
      <c r="D4" s="2"/>
      <c r="G4" s="487" t="s">
        <v>4</v>
      </c>
      <c r="H4" s="2"/>
      <c r="I4" s="2"/>
      <c r="J4" s="2"/>
      <c r="K4" s="2"/>
      <c r="L4" s="2"/>
      <c r="M4" s="2"/>
    </row>
    <row r="5" spans="1:13" s="4" customFormat="1" ht="12">
      <c r="A5" s="386" t="s">
        <v>586</v>
      </c>
      <c r="B5" s="1"/>
      <c r="C5" s="7"/>
      <c r="D5" s="2"/>
      <c r="G5" s="490" t="s">
        <v>86</v>
      </c>
      <c r="H5" s="2"/>
      <c r="I5" s="2"/>
      <c r="J5" s="2"/>
      <c r="K5" s="2"/>
      <c r="L5" s="2"/>
      <c r="M5" s="2"/>
    </row>
    <row r="6" spans="1:13" s="4" customFormat="1" ht="12">
      <c r="A6" s="1" t="s">
        <v>87</v>
      </c>
      <c r="B6" s="1"/>
      <c r="C6" s="7"/>
      <c r="D6" s="2"/>
      <c r="G6" s="486"/>
      <c r="H6" s="2"/>
      <c r="I6" s="2"/>
      <c r="J6" s="2"/>
      <c r="K6" s="2"/>
      <c r="L6" s="2"/>
      <c r="M6" s="2"/>
    </row>
    <row r="7" spans="1:13" s="4" customFormat="1" ht="12">
      <c r="A7" s="8" t="s">
        <v>5</v>
      </c>
      <c r="B7" s="9"/>
      <c r="C7" s="7"/>
      <c r="D7" s="2"/>
      <c r="G7" s="490" t="s">
        <v>6</v>
      </c>
      <c r="H7" s="2"/>
      <c r="I7" s="2"/>
      <c r="J7" s="2"/>
      <c r="K7" s="2"/>
      <c r="L7" s="2"/>
      <c r="M7" s="2"/>
    </row>
    <row r="8" spans="1:13" s="4" customFormat="1" ht="12.75" thickBot="1">
      <c r="A8" s="10"/>
      <c r="B8" s="10"/>
      <c r="C8" s="11"/>
      <c r="D8" s="11"/>
      <c r="E8" s="11"/>
      <c r="F8" s="12"/>
      <c r="G8" s="10"/>
      <c r="H8" s="2"/>
      <c r="I8" s="2"/>
      <c r="J8" s="2"/>
      <c r="K8" s="2"/>
      <c r="L8" s="2"/>
      <c r="M8" s="2"/>
    </row>
    <row r="9" spans="1:13" s="18" customFormat="1" ht="12">
      <c r="A9" s="13"/>
      <c r="B9" s="14" t="s">
        <v>7</v>
      </c>
      <c r="C9" s="16">
        <f>+B9-1</f>
        <v>-2</v>
      </c>
      <c r="D9" s="16">
        <f>C9-1</f>
        <v>-3</v>
      </c>
      <c r="E9" s="16">
        <f>D9-1</f>
        <v>-4</v>
      </c>
      <c r="F9" s="16">
        <f>E9-1</f>
        <v>-5</v>
      </c>
      <c r="G9" s="16">
        <f>F9-1</f>
        <v>-6</v>
      </c>
      <c r="H9" s="17"/>
      <c r="I9" s="17"/>
      <c r="J9" s="17"/>
      <c r="K9" s="17"/>
      <c r="L9" s="17"/>
      <c r="M9" s="17"/>
    </row>
    <row r="10" spans="1:13" s="4" customFormat="1" ht="12">
      <c r="A10" s="484" t="s">
        <v>91</v>
      </c>
      <c r="B10" s="19"/>
      <c r="C10" s="20" t="s">
        <v>9</v>
      </c>
      <c r="D10" s="21" t="s">
        <v>660</v>
      </c>
      <c r="E10" s="21" t="s">
        <v>10</v>
      </c>
      <c r="F10" s="22" t="s">
        <v>11</v>
      </c>
      <c r="G10" s="21" t="s">
        <v>11</v>
      </c>
      <c r="H10" s="2"/>
      <c r="I10" s="2"/>
      <c r="J10" s="2"/>
      <c r="K10" s="2"/>
      <c r="L10" s="2"/>
      <c r="M10" s="2"/>
    </row>
    <row r="11" spans="1:13" s="4" customFormat="1" ht="12.75" thickBot="1">
      <c r="A11" s="103" t="s">
        <v>94</v>
      </c>
      <c r="B11" s="24" t="s">
        <v>12</v>
      </c>
      <c r="C11" s="25" t="s">
        <v>13</v>
      </c>
      <c r="D11" s="25" t="s">
        <v>661</v>
      </c>
      <c r="E11" s="26" t="s">
        <v>14</v>
      </c>
      <c r="F11" s="27" t="s">
        <v>15</v>
      </c>
      <c r="G11" s="25" t="s">
        <v>16</v>
      </c>
      <c r="H11" s="2"/>
      <c r="I11" s="2"/>
      <c r="J11" s="2"/>
      <c r="K11" s="2"/>
      <c r="L11" s="2"/>
      <c r="M11" s="2"/>
    </row>
    <row r="12" spans="1:13" s="4" customFormat="1" ht="12">
      <c r="A12" s="28">
        <v>1</v>
      </c>
      <c r="B12" s="1" t="s">
        <v>17</v>
      </c>
      <c r="C12" s="29"/>
      <c r="D12" s="29"/>
      <c r="E12" s="29"/>
      <c r="F12" s="30"/>
      <c r="G12" s="29"/>
      <c r="H12" s="2"/>
      <c r="I12" s="2"/>
      <c r="J12" s="2"/>
      <c r="K12" s="2"/>
      <c r="L12" s="2"/>
      <c r="M12" s="2"/>
    </row>
    <row r="13" spans="1:13" s="4" customFormat="1" ht="12">
      <c r="A13" s="31">
        <f>A12+1</f>
        <v>2</v>
      </c>
      <c r="B13" s="2" t="s">
        <v>18</v>
      </c>
      <c r="C13" s="33"/>
      <c r="D13" s="33"/>
      <c r="E13" s="33"/>
      <c r="F13" s="30"/>
      <c r="G13" s="33"/>
      <c r="H13" s="2"/>
      <c r="I13" s="2"/>
      <c r="J13" s="2"/>
      <c r="K13" s="2"/>
      <c r="L13" s="2"/>
      <c r="M13" s="2"/>
    </row>
    <row r="14" spans="1:13" s="4" customFormat="1" ht="12">
      <c r="A14" s="31">
        <f t="shared" si="0" ref="A14:A77">A13+1</f>
        <v>3</v>
      </c>
      <c r="B14" s="2" t="s">
        <v>19</v>
      </c>
      <c r="C14" s="29"/>
      <c r="D14" s="29"/>
      <c r="E14" s="29"/>
      <c r="F14" s="30"/>
      <c r="G14" s="29"/>
      <c r="H14" s="2"/>
      <c r="I14" s="2"/>
      <c r="J14" s="2"/>
      <c r="K14" s="2"/>
      <c r="L14" s="2"/>
      <c r="M14" s="2"/>
    </row>
    <row r="15" spans="1:13" s="4" customFormat="1" ht="12">
      <c r="A15" s="31">
        <f t="shared" si="0"/>
        <v>4</v>
      </c>
      <c r="B15" s="2" t="s">
        <v>20</v>
      </c>
      <c r="C15" s="29"/>
      <c r="D15" s="29"/>
      <c r="E15" s="29"/>
      <c r="F15" s="30"/>
      <c r="G15" s="29"/>
      <c r="H15" s="2"/>
      <c r="I15" s="34"/>
      <c r="J15" s="2"/>
      <c r="K15" s="2"/>
      <c r="L15" s="2"/>
      <c r="M15" s="2"/>
    </row>
    <row r="16" spans="1:13" s="4" customFormat="1" ht="12">
      <c r="A16" s="31">
        <f t="shared" si="0"/>
        <v>5</v>
      </c>
      <c r="B16" s="1" t="s">
        <v>21</v>
      </c>
      <c r="C16" s="29"/>
      <c r="D16" s="29"/>
      <c r="E16" s="29"/>
      <c r="F16" s="30"/>
      <c r="G16" s="29"/>
      <c r="H16" s="2"/>
      <c r="I16" s="2"/>
      <c r="J16" s="35"/>
      <c r="K16" s="2"/>
      <c r="L16" s="2"/>
      <c r="M16" s="2"/>
    </row>
    <row r="17" spans="1:13" s="4" customFormat="1" ht="12">
      <c r="A17" s="31">
        <f t="shared" si="0"/>
        <v>6</v>
      </c>
      <c r="B17" s="2" t="s">
        <v>22</v>
      </c>
      <c r="C17" s="29"/>
      <c r="D17" s="29"/>
      <c r="E17" s="29"/>
      <c r="F17" s="30"/>
      <c r="G17" s="29"/>
      <c r="H17" s="29"/>
      <c r="I17" s="29"/>
      <c r="J17" s="2"/>
      <c r="K17" s="2"/>
      <c r="L17" s="2"/>
      <c r="M17" s="2"/>
    </row>
    <row r="18" spans="1:13" s="4" customFormat="1" ht="12">
      <c r="A18" s="31">
        <f t="shared" si="0"/>
        <v>7</v>
      </c>
      <c r="B18" s="2" t="s">
        <v>23</v>
      </c>
      <c r="C18" s="29"/>
      <c r="D18" s="33"/>
      <c r="E18" s="29"/>
      <c r="F18" s="30"/>
      <c r="G18" s="29"/>
      <c r="H18" s="29"/>
      <c r="I18" s="29"/>
      <c r="J18" s="29"/>
      <c r="K18" s="29"/>
      <c r="L18" s="2"/>
      <c r="M18" s="2"/>
    </row>
    <row r="19" spans="1:13" s="4" customFormat="1" ht="12">
      <c r="A19" s="31">
        <f t="shared" si="0"/>
        <v>8</v>
      </c>
      <c r="B19" s="36" t="s">
        <v>24</v>
      </c>
      <c r="C19" s="29"/>
      <c r="D19" s="33"/>
      <c r="E19" s="29"/>
      <c r="F19" s="30"/>
      <c r="G19" s="29"/>
      <c r="H19" s="29"/>
      <c r="I19" s="2"/>
      <c r="J19" s="2"/>
      <c r="K19" s="2"/>
      <c r="L19" s="2"/>
      <c r="M19" s="2"/>
    </row>
    <row r="20" spans="1:13" s="4" customFormat="1" ht="12">
      <c r="A20" s="31">
        <f t="shared" si="0"/>
        <v>9</v>
      </c>
      <c r="B20" s="2" t="s">
        <v>25</v>
      </c>
      <c r="C20" s="29"/>
      <c r="D20" s="29"/>
      <c r="E20" s="29"/>
      <c r="F20" s="30"/>
      <c r="G20" s="29"/>
      <c r="H20" s="29"/>
      <c r="I20" s="34"/>
      <c r="J20" s="29"/>
      <c r="K20" s="29"/>
      <c r="L20" s="2"/>
      <c r="M20" s="2"/>
    </row>
    <row r="21" spans="1:13" s="4" customFormat="1" ht="12">
      <c r="A21" s="31">
        <f t="shared" si="0"/>
        <v>10</v>
      </c>
      <c r="B21" s="2" t="s">
        <v>26</v>
      </c>
      <c r="C21" s="29"/>
      <c r="D21" s="29"/>
      <c r="E21" s="29"/>
      <c r="F21" s="30"/>
      <c r="G21" s="29"/>
      <c r="H21" s="29"/>
      <c r="I21" s="34"/>
      <c r="J21" s="29"/>
      <c r="K21" s="29"/>
      <c r="L21" s="2"/>
      <c r="M21" s="2"/>
    </row>
    <row r="22" spans="1:13" s="4" customFormat="1" ht="12">
      <c r="A22" s="31">
        <f t="shared" si="0"/>
        <v>11</v>
      </c>
      <c r="B22" s="2" t="s">
        <v>27</v>
      </c>
      <c r="C22" s="29"/>
      <c r="D22" s="29"/>
      <c r="E22" s="29"/>
      <c r="F22" s="30"/>
      <c r="G22" s="29"/>
      <c r="H22" s="29"/>
      <c r="I22" s="2"/>
      <c r="J22" s="29"/>
      <c r="K22" s="2"/>
      <c r="L22" s="2"/>
      <c r="M22" s="2"/>
    </row>
    <row r="23" spans="1:13" s="4" customFormat="1" ht="12">
      <c r="A23" s="31">
        <f t="shared" si="0"/>
        <v>12</v>
      </c>
      <c r="B23" s="2" t="s">
        <v>28</v>
      </c>
      <c r="C23" s="29"/>
      <c r="D23" s="29"/>
      <c r="E23" s="29"/>
      <c r="F23" s="30"/>
      <c r="G23" s="29"/>
      <c r="H23" s="29"/>
      <c r="I23" s="2"/>
      <c r="J23" s="29"/>
      <c r="K23" s="2"/>
      <c r="L23" s="2"/>
      <c r="M23" s="2"/>
    </row>
    <row r="24" spans="1:13" s="4" customFormat="1" ht="12">
      <c r="A24" s="31">
        <f t="shared" si="0"/>
        <v>13</v>
      </c>
      <c r="B24" s="2" t="s">
        <v>29</v>
      </c>
      <c r="C24" s="29"/>
      <c r="D24" s="29"/>
      <c r="E24" s="29"/>
      <c r="F24" s="30"/>
      <c r="G24" s="29"/>
      <c r="H24" s="29"/>
      <c r="I24" s="2"/>
      <c r="J24" s="29"/>
      <c r="K24" s="2"/>
      <c r="L24" s="2"/>
      <c r="M24" s="2"/>
    </row>
    <row r="25" spans="1:13" s="4" customFormat="1" ht="12">
      <c r="A25" s="31">
        <f t="shared" si="0"/>
        <v>14</v>
      </c>
      <c r="B25" s="2" t="s">
        <v>30</v>
      </c>
      <c r="C25" s="29"/>
      <c r="D25" s="29"/>
      <c r="E25" s="29"/>
      <c r="F25" s="30"/>
      <c r="G25" s="29"/>
      <c r="H25" s="29"/>
      <c r="I25" s="2"/>
      <c r="J25" s="29"/>
      <c r="K25" s="2"/>
      <c r="L25" s="2"/>
      <c r="M25" s="2"/>
    </row>
    <row r="26" spans="1:13" s="4" customFormat="1" ht="12">
      <c r="A26" s="31">
        <f t="shared" si="0"/>
        <v>15</v>
      </c>
      <c r="B26" s="2" t="s">
        <v>31</v>
      </c>
      <c r="C26" s="29"/>
      <c r="D26" s="29"/>
      <c r="E26" s="29"/>
      <c r="F26" s="30"/>
      <c r="G26" s="29"/>
      <c r="H26" s="29"/>
      <c r="I26" s="2"/>
      <c r="J26" s="29"/>
      <c r="K26" s="2"/>
      <c r="L26" s="2"/>
      <c r="M26" s="2"/>
    </row>
    <row r="27" spans="1:13" s="4" customFormat="1" ht="12">
      <c r="A27" s="31">
        <f t="shared" si="0"/>
        <v>16</v>
      </c>
      <c r="B27" s="1" t="s">
        <v>32</v>
      </c>
      <c r="C27" s="29"/>
      <c r="D27" s="29"/>
      <c r="E27" s="29"/>
      <c r="F27" s="30"/>
      <c r="G27" s="29"/>
      <c r="H27" s="2"/>
      <c r="I27" s="2"/>
      <c r="J27" s="29"/>
      <c r="K27" s="2"/>
      <c r="L27" s="2"/>
      <c r="M27" s="2"/>
    </row>
    <row r="28" spans="1:13" s="4" customFormat="1" ht="12">
      <c r="A28" s="31">
        <f t="shared" si="0"/>
        <v>17</v>
      </c>
      <c r="B28" s="2" t="s">
        <v>33</v>
      </c>
      <c r="C28" s="29"/>
      <c r="D28" s="29"/>
      <c r="E28" s="29"/>
      <c r="F28" s="30"/>
      <c r="G28" s="29"/>
      <c r="H28" s="2"/>
      <c r="I28" s="2"/>
      <c r="J28" s="29"/>
      <c r="K28" s="2"/>
      <c r="L28" s="2"/>
      <c r="M28" s="2"/>
    </row>
    <row r="29" spans="1:13" s="4" customFormat="1" ht="12">
      <c r="A29" s="31">
        <f t="shared" si="0"/>
        <v>18</v>
      </c>
      <c r="B29" s="2" t="s">
        <v>34</v>
      </c>
      <c r="C29" s="29"/>
      <c r="D29" s="29"/>
      <c r="E29" s="29"/>
      <c r="F29" s="30"/>
      <c r="G29" s="29"/>
      <c r="H29" s="2"/>
      <c r="I29" s="2"/>
      <c r="J29" s="29"/>
      <c r="K29" s="2"/>
      <c r="L29" s="2"/>
      <c r="M29" s="2"/>
    </row>
    <row r="30" spans="1:13" s="4" customFormat="1" ht="12">
      <c r="A30" s="31">
        <f t="shared" si="0"/>
        <v>19</v>
      </c>
      <c r="B30" s="2" t="s">
        <v>35</v>
      </c>
      <c r="C30" s="29"/>
      <c r="D30" s="29"/>
      <c r="E30" s="29"/>
      <c r="F30" s="30"/>
      <c r="G30" s="29"/>
      <c r="H30" s="2"/>
      <c r="I30" s="2"/>
      <c r="J30" s="29"/>
      <c r="K30" s="2"/>
      <c r="L30" s="2"/>
      <c r="M30" s="2"/>
    </row>
    <row r="31" spans="1:13" s="4" customFormat="1" ht="12">
      <c r="A31" s="31">
        <f t="shared" si="0"/>
        <v>20</v>
      </c>
      <c r="B31" s="2" t="s">
        <v>36</v>
      </c>
      <c r="C31" s="29"/>
      <c r="D31" s="29"/>
      <c r="E31" s="29"/>
      <c r="F31" s="30"/>
      <c r="G31" s="29"/>
      <c r="H31" s="2"/>
      <c r="I31" s="34"/>
      <c r="J31" s="29"/>
      <c r="K31" s="2"/>
      <c r="L31" s="2"/>
      <c r="M31" s="2"/>
    </row>
    <row r="32" spans="1:13" s="4" customFormat="1" ht="12">
      <c r="A32" s="31">
        <f t="shared" si="0"/>
        <v>21</v>
      </c>
      <c r="B32" s="2" t="s">
        <v>37</v>
      </c>
      <c r="C32" s="29"/>
      <c r="D32" s="29"/>
      <c r="E32" s="29"/>
      <c r="F32" s="30"/>
      <c r="G32" s="29"/>
      <c r="H32" s="2"/>
      <c r="I32" s="2"/>
      <c r="J32" s="29"/>
      <c r="K32" s="2"/>
      <c r="L32" s="2"/>
      <c r="M32" s="2"/>
    </row>
    <row r="33" spans="1:13" s="4" customFormat="1" ht="12">
      <c r="A33" s="31">
        <f t="shared" si="0"/>
        <v>22</v>
      </c>
      <c r="B33" s="1" t="s">
        <v>38</v>
      </c>
      <c r="C33" s="29"/>
      <c r="D33" s="29"/>
      <c r="E33" s="29"/>
      <c r="F33" s="30"/>
      <c r="G33" s="29" t="str">
        <f>IF(F33=0,"",ROUND(#REF!*F33,0))</f>
        <v/>
      </c>
      <c r="H33" s="2"/>
      <c r="I33" s="2"/>
      <c r="J33" s="29"/>
      <c r="K33" s="2"/>
      <c r="L33" s="2"/>
      <c r="M33" s="2"/>
    </row>
    <row r="34" spans="1:13" s="4" customFormat="1" ht="12">
      <c r="A34" s="31">
        <f t="shared" si="0"/>
        <v>23</v>
      </c>
      <c r="B34" s="2" t="s">
        <v>39</v>
      </c>
      <c r="C34" s="39">
        <f>+'LUSI TB'!P4</f>
        <v>19458.88</v>
      </c>
      <c r="D34" s="39"/>
      <c r="E34" s="39">
        <f t="shared" si="1" ref="E34:E40">SUM(C34:D34)</f>
        <v>19458.88</v>
      </c>
      <c r="F34" s="30">
        <f>1-72%</f>
        <v>0.28000000000000003</v>
      </c>
      <c r="G34" s="39">
        <f>IF(F34=0,0,ROUND(E34*F34,0))</f>
        <v>5448</v>
      </c>
      <c r="H34" s="29"/>
      <c r="I34" s="39">
        <v>19459</v>
      </c>
      <c r="J34" s="29">
        <f>+F34*I34</f>
        <v>5448.52</v>
      </c>
      <c r="K34" s="2"/>
      <c r="L34" s="2"/>
      <c r="M34" s="2"/>
    </row>
    <row r="35" spans="1:13" s="4" customFormat="1" ht="12">
      <c r="A35" s="31">
        <f t="shared" si="0"/>
        <v>24</v>
      </c>
      <c r="B35" s="2" t="s">
        <v>40</v>
      </c>
      <c r="C35" s="39">
        <f>+'LUSI TB'!P5</f>
        <v>3206215.84</v>
      </c>
      <c r="D35" s="39"/>
      <c r="E35" s="39">
        <f t="shared" si="1"/>
        <v>3206215.84</v>
      </c>
      <c r="F35" s="30">
        <f t="shared" si="2" ref="F35:F40">F34</f>
        <v>0.28000000000000003</v>
      </c>
      <c r="G35" s="39">
        <f t="shared" si="3" ref="G35:G40">IF(F35=0,0,ROUND(E35*F35,0))</f>
        <v>897740</v>
      </c>
      <c r="H35" s="29"/>
      <c r="I35" s="39">
        <v>2962735</v>
      </c>
      <c r="J35" s="29">
        <f t="shared" si="4" ref="J35:J39">+F35*I35</f>
        <v>829565.80</v>
      </c>
      <c r="K35" s="2"/>
      <c r="L35" s="2"/>
      <c r="M35" s="2"/>
    </row>
    <row r="36" spans="1:13" s="4" customFormat="1" ht="12">
      <c r="A36" s="31">
        <f t="shared" si="0"/>
        <v>25</v>
      </c>
      <c r="B36" s="36" t="s">
        <v>41</v>
      </c>
      <c r="C36" s="39">
        <f>+'LUSI TB'!P6</f>
        <v>906.94</v>
      </c>
      <c r="D36" s="39"/>
      <c r="E36" s="39">
        <f t="shared" si="1"/>
        <v>906.94</v>
      </c>
      <c r="F36" s="30">
        <f t="shared" si="2"/>
        <v>0.28000000000000003</v>
      </c>
      <c r="G36" s="39">
        <f t="shared" si="3"/>
        <v>254</v>
      </c>
      <c r="H36" s="29"/>
      <c r="I36" s="39">
        <v>907</v>
      </c>
      <c r="J36" s="29">
        <f t="shared" si="4"/>
        <v>253.96000000000004</v>
      </c>
      <c r="K36" s="2"/>
      <c r="L36" s="2"/>
      <c r="M36" s="2"/>
    </row>
    <row r="37" spans="1:13" s="4" customFormat="1" ht="12">
      <c r="A37" s="31">
        <f>A36+1</f>
        <v>26</v>
      </c>
      <c r="B37" s="2" t="s">
        <v>42</v>
      </c>
      <c r="C37" s="39">
        <f>+'LUSI TB'!P7+'LUSI TB'!P8</f>
        <v>4447608.75</v>
      </c>
      <c r="D37" s="39"/>
      <c r="E37" s="39">
        <f t="shared" si="1"/>
        <v>4447608.75</v>
      </c>
      <c r="F37" s="30">
        <f t="shared" si="2"/>
        <v>0.28000000000000003</v>
      </c>
      <c r="G37" s="39">
        <f t="shared" si="3"/>
        <v>1245330</v>
      </c>
      <c r="H37" s="29"/>
      <c r="I37" s="39">
        <v>4472387</v>
      </c>
      <c r="J37" s="29">
        <f t="shared" si="4"/>
        <v>1252268.3600000001</v>
      </c>
      <c r="K37" s="2"/>
      <c r="L37" s="2"/>
      <c r="M37" s="2"/>
    </row>
    <row r="38" spans="1:13" s="4" customFormat="1" ht="12">
      <c r="A38" s="31">
        <f t="shared" si="0"/>
        <v>27</v>
      </c>
      <c r="B38" s="2" t="s">
        <v>43</v>
      </c>
      <c r="C38" s="39">
        <f>+'LUSI TB'!P9</f>
        <v>474095.26</v>
      </c>
      <c r="D38" s="39"/>
      <c r="E38" s="39">
        <f t="shared" si="1"/>
        <v>474095.26</v>
      </c>
      <c r="F38" s="30">
        <f t="shared" si="2"/>
        <v>0.28000000000000003</v>
      </c>
      <c r="G38" s="39">
        <f t="shared" si="3"/>
        <v>132747</v>
      </c>
      <c r="H38" s="29"/>
      <c r="I38" s="39">
        <v>70530</v>
      </c>
      <c r="J38" s="29">
        <f t="shared" si="4"/>
        <v>19748.40</v>
      </c>
      <c r="K38" s="2"/>
      <c r="L38" s="2"/>
      <c r="M38" s="2"/>
    </row>
    <row r="39" spans="1:13" s="4" customFormat="1" ht="12">
      <c r="A39" s="31">
        <f t="shared" si="0"/>
        <v>28</v>
      </c>
      <c r="B39" s="2" t="s">
        <v>44</v>
      </c>
      <c r="C39" s="39">
        <f>+'LUSI TB'!P10</f>
        <v>2048.54</v>
      </c>
      <c r="D39" s="39"/>
      <c r="E39" s="39">
        <f t="shared" si="1"/>
        <v>2048.54</v>
      </c>
      <c r="F39" s="30">
        <f t="shared" si="2"/>
        <v>0.28000000000000003</v>
      </c>
      <c r="G39" s="39">
        <f t="shared" si="3"/>
        <v>574</v>
      </c>
      <c r="H39" s="29"/>
      <c r="I39" s="39">
        <v>2049</v>
      </c>
      <c r="J39" s="29">
        <f t="shared" si="4"/>
        <v>573.72</v>
      </c>
      <c r="K39" s="2"/>
      <c r="L39" s="2"/>
      <c r="M39" s="2"/>
    </row>
    <row r="40" spans="1:13" s="4" customFormat="1" ht="12">
      <c r="A40" s="31">
        <f t="shared" si="0"/>
        <v>29</v>
      </c>
      <c r="B40" s="2" t="s">
        <v>45</v>
      </c>
      <c r="C40" s="39">
        <v>0</v>
      </c>
      <c r="D40" s="39"/>
      <c r="E40" s="39">
        <f t="shared" si="1"/>
        <v>0</v>
      </c>
      <c r="F40" s="30">
        <f t="shared" si="2"/>
        <v>0.28000000000000003</v>
      </c>
      <c r="G40" s="39">
        <f t="shared" si="3"/>
        <v>0</v>
      </c>
      <c r="H40" s="29"/>
      <c r="I40" s="2"/>
      <c r="J40" s="2"/>
      <c r="K40" s="2"/>
      <c r="L40" s="2"/>
      <c r="M40" s="2"/>
    </row>
    <row r="41" spans="1:13" s="4" customFormat="1" ht="12">
      <c r="A41" s="31">
        <f t="shared" si="0"/>
        <v>30</v>
      </c>
      <c r="B41" s="1" t="s">
        <v>46</v>
      </c>
      <c r="C41" s="29"/>
      <c r="D41" s="29"/>
      <c r="E41" s="29"/>
      <c r="F41" s="30"/>
      <c r="G41" s="29"/>
      <c r="H41" s="2"/>
      <c r="I41" s="2"/>
      <c r="J41" s="2"/>
      <c r="K41" s="2"/>
      <c r="L41" s="2"/>
      <c r="M41" s="2"/>
    </row>
    <row r="42" spans="1:13" s="4" customFormat="1" ht="12">
      <c r="A42" s="31">
        <f t="shared" si="0"/>
        <v>31</v>
      </c>
      <c r="B42" s="37" t="s">
        <v>47</v>
      </c>
      <c r="C42" s="29"/>
      <c r="D42" s="29"/>
      <c r="E42" s="29"/>
      <c r="F42" s="30"/>
      <c r="G42" s="29"/>
      <c r="H42" s="2"/>
      <c r="I42" s="2"/>
      <c r="J42" s="2"/>
      <c r="K42" s="2"/>
      <c r="L42" s="2"/>
      <c r="M42" s="2"/>
    </row>
    <row r="43" spans="1:13" s="4" customFormat="1" ht="12">
      <c r="A43" s="31">
        <f t="shared" si="0"/>
        <v>32</v>
      </c>
      <c r="B43" s="37" t="s">
        <v>48</v>
      </c>
      <c r="C43" s="29"/>
      <c r="D43" s="29"/>
      <c r="E43" s="29"/>
      <c r="F43" s="30"/>
      <c r="G43" s="29"/>
      <c r="H43" s="2"/>
      <c r="I43" s="2"/>
      <c r="J43" s="2"/>
      <c r="K43" s="2"/>
      <c r="L43" s="2"/>
      <c r="M43" s="2"/>
    </row>
    <row r="44" spans="1:13" s="4" customFormat="1" ht="12">
      <c r="A44" s="31">
        <f t="shared" si="0"/>
        <v>33</v>
      </c>
      <c r="B44" s="36" t="s">
        <v>49</v>
      </c>
      <c r="C44" s="29"/>
      <c r="D44" s="29"/>
      <c r="E44" s="29"/>
      <c r="F44" s="30"/>
      <c r="G44" s="29"/>
      <c r="H44" s="2"/>
      <c r="I44" s="2"/>
      <c r="J44" s="2"/>
      <c r="K44" s="2"/>
      <c r="L44" s="2"/>
      <c r="M44" s="2"/>
    </row>
    <row r="45" spans="1:13" s="4" customFormat="1" ht="12">
      <c r="A45" s="31">
        <f t="shared" si="0"/>
        <v>34</v>
      </c>
      <c r="B45" s="36" t="s">
        <v>50</v>
      </c>
      <c r="C45" s="29"/>
      <c r="D45" s="29"/>
      <c r="E45" s="29"/>
      <c r="F45" s="30"/>
      <c r="G45" s="29"/>
      <c r="H45" s="2"/>
      <c r="I45" s="2"/>
      <c r="J45" s="2"/>
      <c r="K45" s="2"/>
      <c r="L45" s="2"/>
      <c r="M45" s="2"/>
    </row>
    <row r="46" spans="1:13" s="4" customFormat="1" ht="12">
      <c r="A46" s="31">
        <f t="shared" si="0"/>
        <v>35</v>
      </c>
      <c r="B46" s="37" t="s">
        <v>51</v>
      </c>
      <c r="C46" s="29"/>
      <c r="D46" s="29"/>
      <c r="E46" s="29"/>
      <c r="F46" s="30"/>
      <c r="G46" s="29"/>
      <c r="H46" s="2"/>
      <c r="I46" s="2"/>
      <c r="J46" s="2"/>
      <c r="K46" s="2"/>
      <c r="L46" s="2"/>
      <c r="M46" s="2"/>
    </row>
    <row r="47" spans="1:13" s="4" customFormat="1" ht="12">
      <c r="A47" s="31">
        <f t="shared" si="0"/>
        <v>36</v>
      </c>
      <c r="B47" s="37" t="s">
        <v>52</v>
      </c>
      <c r="C47" s="29"/>
      <c r="D47" s="29"/>
      <c r="E47" s="29"/>
      <c r="F47" s="30"/>
      <c r="G47" s="29"/>
      <c r="H47" s="2"/>
      <c r="I47" s="2"/>
      <c r="J47" s="2"/>
      <c r="K47" s="2"/>
      <c r="L47" s="2"/>
      <c r="M47" s="2"/>
    </row>
    <row r="48" spans="1:13" s="4" customFormat="1" ht="12">
      <c r="A48" s="31">
        <f t="shared" si="0"/>
        <v>37</v>
      </c>
      <c r="B48" s="37" t="s">
        <v>53</v>
      </c>
      <c r="C48" s="29"/>
      <c r="D48" s="29"/>
      <c r="E48" s="29"/>
      <c r="F48" s="30"/>
      <c r="G48" s="29"/>
      <c r="H48" s="2"/>
      <c r="I48" s="2"/>
      <c r="J48" s="2"/>
      <c r="K48" s="2"/>
      <c r="L48" s="2"/>
      <c r="M48" s="2"/>
    </row>
    <row r="49" spans="1:13" s="4" customFormat="1" ht="12">
      <c r="A49" s="31">
        <f t="shared" si="0"/>
        <v>38</v>
      </c>
      <c r="B49" s="36" t="s">
        <v>54</v>
      </c>
      <c r="C49" s="29"/>
      <c r="D49" s="29"/>
      <c r="E49" s="29"/>
      <c r="F49" s="30"/>
      <c r="G49" s="29"/>
      <c r="H49" s="2"/>
      <c r="I49" s="2"/>
      <c r="J49" s="2"/>
      <c r="K49" s="2"/>
      <c r="L49" s="2"/>
      <c r="M49" s="2"/>
    </row>
    <row r="50" spans="1:13" s="4" customFormat="1" ht="12">
      <c r="A50" s="31">
        <f t="shared" si="0"/>
        <v>39</v>
      </c>
      <c r="B50" s="37" t="s">
        <v>55</v>
      </c>
      <c r="C50" s="29"/>
      <c r="D50" s="29"/>
      <c r="E50" s="29"/>
      <c r="F50" s="30"/>
      <c r="G50" s="29"/>
      <c r="H50" s="2"/>
      <c r="I50" s="2"/>
      <c r="J50" s="2"/>
      <c r="K50" s="2"/>
      <c r="L50" s="2"/>
      <c r="M50" s="2"/>
    </row>
    <row r="51" spans="1:13" s="4" customFormat="1" ht="12">
      <c r="A51" s="31">
        <f t="shared" si="0"/>
        <v>40</v>
      </c>
      <c r="B51" s="37" t="s">
        <v>56</v>
      </c>
      <c r="C51" s="29"/>
      <c r="D51" s="29"/>
      <c r="E51" s="29"/>
      <c r="F51" s="30"/>
      <c r="G51" s="29"/>
      <c r="H51" s="2"/>
      <c r="I51" s="2"/>
      <c r="J51" s="2"/>
      <c r="K51" s="2"/>
      <c r="L51" s="2"/>
      <c r="M51" s="2"/>
    </row>
    <row r="52" spans="1:13" s="4" customFormat="1" ht="12">
      <c r="A52" s="31">
        <f t="shared" si="0"/>
        <v>41</v>
      </c>
      <c r="B52" s="37" t="s">
        <v>57</v>
      </c>
      <c r="C52" s="29"/>
      <c r="D52" s="29"/>
      <c r="E52" s="29"/>
      <c r="F52" s="30"/>
      <c r="G52" s="29"/>
      <c r="H52" s="2"/>
      <c r="I52" s="2"/>
      <c r="J52" s="2"/>
      <c r="K52" s="2"/>
      <c r="L52" s="2"/>
      <c r="M52" s="2"/>
    </row>
    <row r="53" spans="1:13" s="4" customFormat="1" ht="12">
      <c r="A53" s="31">
        <f t="shared" si="0"/>
        <v>42</v>
      </c>
      <c r="B53" s="1" t="s">
        <v>58</v>
      </c>
      <c r="C53" s="29"/>
      <c r="D53" s="29"/>
      <c r="E53" s="29"/>
      <c r="F53" s="30"/>
      <c r="G53" s="29"/>
      <c r="H53" s="2"/>
      <c r="I53" s="2"/>
      <c r="J53" s="2"/>
      <c r="K53" s="2"/>
      <c r="L53" s="2"/>
      <c r="M53" s="2"/>
    </row>
    <row r="54" spans="1:13" s="4" customFormat="1" ht="12">
      <c r="A54" s="31">
        <f t="shared" si="0"/>
        <v>43</v>
      </c>
      <c r="B54" s="37" t="s">
        <v>59</v>
      </c>
      <c r="C54" s="29"/>
      <c r="D54" s="29"/>
      <c r="E54" s="29"/>
      <c r="F54" s="30"/>
      <c r="G54" s="29"/>
      <c r="H54" s="2"/>
      <c r="I54" s="2"/>
      <c r="J54" s="2"/>
      <c r="K54" s="2"/>
      <c r="L54" s="2"/>
      <c r="M54" s="2"/>
    </row>
    <row r="55" spans="1:13" s="4" customFormat="1" ht="12">
      <c r="A55" s="31">
        <f t="shared" si="0"/>
        <v>44</v>
      </c>
      <c r="B55" s="37" t="s">
        <v>60</v>
      </c>
      <c r="C55" s="29"/>
      <c r="D55" s="38"/>
      <c r="E55" s="29"/>
      <c r="F55" s="30"/>
      <c r="G55" s="29"/>
      <c r="H55" s="2"/>
      <c r="I55" s="2"/>
      <c r="J55" s="2"/>
      <c r="K55" s="2"/>
      <c r="L55" s="2"/>
      <c r="M55" s="2"/>
    </row>
    <row r="56" spans="1:13" s="4" customFormat="1" ht="12">
      <c r="A56" s="31">
        <f t="shared" si="0"/>
        <v>45</v>
      </c>
      <c r="B56" s="37" t="s">
        <v>61</v>
      </c>
      <c r="C56" s="29"/>
      <c r="D56" s="38"/>
      <c r="E56" s="29"/>
      <c r="F56" s="30"/>
      <c r="G56" s="29"/>
      <c r="H56" s="2"/>
      <c r="I56" s="2"/>
      <c r="J56" s="2"/>
      <c r="K56" s="2"/>
      <c r="L56" s="2"/>
      <c r="M56" s="2"/>
    </row>
    <row r="57" spans="1:13" s="4" customFormat="1" ht="12">
      <c r="A57" s="31">
        <f t="shared" si="0"/>
        <v>46</v>
      </c>
      <c r="B57" s="37" t="s">
        <v>62</v>
      </c>
      <c r="C57" s="29"/>
      <c r="D57" s="29"/>
      <c r="E57" s="29"/>
      <c r="F57" s="30"/>
      <c r="G57" s="29"/>
      <c r="H57" s="2"/>
      <c r="I57" s="2"/>
      <c r="J57" s="2"/>
      <c r="K57" s="2"/>
      <c r="L57" s="2"/>
      <c r="M57" s="2"/>
    </row>
    <row r="58" spans="1:13" s="4" customFormat="1" ht="12">
      <c r="A58" s="31">
        <f t="shared" si="0"/>
        <v>47</v>
      </c>
      <c r="B58" s="37" t="s">
        <v>63</v>
      </c>
      <c r="C58" s="29"/>
      <c r="D58" s="39"/>
      <c r="E58" s="29"/>
      <c r="F58" s="30"/>
      <c r="G58" s="29"/>
      <c r="H58" s="2"/>
      <c r="I58" s="2"/>
      <c r="J58" s="2"/>
      <c r="K58" s="2"/>
      <c r="L58" s="2"/>
      <c r="M58" s="2"/>
    </row>
    <row r="59" spans="1:13" s="4" customFormat="1" ht="12">
      <c r="A59" s="31">
        <f t="shared" si="0"/>
        <v>48</v>
      </c>
      <c r="B59" s="37" t="s">
        <v>64</v>
      </c>
      <c r="C59" s="29"/>
      <c r="D59" s="29"/>
      <c r="E59" s="29"/>
      <c r="F59" s="30"/>
      <c r="G59" s="29"/>
      <c r="H59" s="2"/>
      <c r="I59" s="2"/>
      <c r="J59" s="2"/>
      <c r="K59" s="2"/>
      <c r="L59" s="2"/>
      <c r="M59" s="2"/>
    </row>
    <row r="60" spans="1:13" s="4" customFormat="1" ht="12">
      <c r="A60" s="31">
        <f t="shared" si="0"/>
        <v>49</v>
      </c>
      <c r="B60" s="37" t="s">
        <v>65</v>
      </c>
      <c r="C60" s="29"/>
      <c r="D60" s="29"/>
      <c r="E60" s="29"/>
      <c r="F60" s="30"/>
      <c r="G60" s="29"/>
      <c r="H60" s="2"/>
      <c r="I60" s="2"/>
      <c r="J60" s="2"/>
      <c r="K60" s="2"/>
      <c r="L60" s="2"/>
      <c r="M60" s="2"/>
    </row>
    <row r="61" spans="1:247" s="4" customFormat="1" ht="12">
      <c r="A61" s="31">
        <f t="shared" si="0"/>
        <v>50</v>
      </c>
      <c r="B61" s="37" t="s">
        <v>66</v>
      </c>
      <c r="C61" s="29"/>
      <c r="D61" s="29"/>
      <c r="E61" s="29"/>
      <c r="F61" s="30"/>
      <c r="G61" s="29"/>
      <c r="H61" s="19"/>
      <c r="I61" s="8"/>
      <c r="J61" s="2"/>
      <c r="K61" s="29"/>
      <c r="L61" s="29"/>
      <c r="M61" s="29"/>
      <c r="N61" s="40"/>
      <c r="O61" s="41"/>
      <c r="P61" s="40"/>
      <c r="Q61" s="42"/>
      <c r="R61" s="43"/>
      <c r="T61" s="40"/>
      <c r="U61" s="40"/>
      <c r="V61" s="40"/>
      <c r="W61" s="40"/>
      <c r="X61" s="41"/>
      <c r="Y61" s="40"/>
      <c r="Z61" s="42"/>
      <c r="AA61" s="43"/>
      <c r="AC61" s="40"/>
      <c r="AD61" s="40"/>
      <c r="AE61" s="40"/>
      <c r="AF61" s="40"/>
      <c r="AG61" s="41"/>
      <c r="AH61" s="40"/>
      <c r="AI61" s="42"/>
      <c r="AJ61" s="43"/>
      <c r="AL61" s="40"/>
      <c r="AM61" s="40"/>
      <c r="AN61" s="40"/>
      <c r="AO61" s="40"/>
      <c r="AP61" s="41"/>
      <c r="AQ61" s="40"/>
      <c r="AR61" s="42"/>
      <c r="AS61" s="43"/>
      <c r="AU61" s="40"/>
      <c r="AV61" s="40"/>
      <c r="AW61" s="40"/>
      <c r="AX61" s="40"/>
      <c r="AY61" s="41"/>
      <c r="AZ61" s="40"/>
      <c r="BA61" s="42"/>
      <c r="BB61" s="43"/>
      <c r="BD61" s="40"/>
      <c r="BE61" s="40"/>
      <c r="BF61" s="40"/>
      <c r="BG61" s="40"/>
      <c r="BH61" s="41"/>
      <c r="BI61" s="40"/>
      <c r="BJ61" s="42"/>
      <c r="BK61" s="43"/>
      <c r="BM61" s="40"/>
      <c r="BN61" s="40"/>
      <c r="BO61" s="40"/>
      <c r="BP61" s="40"/>
      <c r="BQ61" s="41"/>
      <c r="BR61" s="40"/>
      <c r="BS61" s="42"/>
      <c r="BT61" s="43"/>
      <c r="BV61" s="40"/>
      <c r="BW61" s="40"/>
      <c r="BX61" s="40"/>
      <c r="BY61" s="40"/>
      <c r="BZ61" s="41"/>
      <c r="CA61" s="40"/>
      <c r="CB61" s="42"/>
      <c r="CC61" s="43"/>
      <c r="CE61" s="40"/>
      <c r="CF61" s="40"/>
      <c r="CG61" s="40"/>
      <c r="CH61" s="40"/>
      <c r="CI61" s="41"/>
      <c r="CJ61" s="40"/>
      <c r="CK61" s="42"/>
      <c r="CL61" s="43"/>
      <c r="CN61" s="40"/>
      <c r="CO61" s="40"/>
      <c r="CP61" s="40"/>
      <c r="CQ61" s="40"/>
      <c r="CR61" s="41"/>
      <c r="CS61" s="40"/>
      <c r="CT61" s="42"/>
      <c r="CU61" s="43"/>
      <c r="CW61" s="40"/>
      <c r="CX61" s="40"/>
      <c r="CY61" s="40"/>
      <c r="CZ61" s="40"/>
      <c r="DA61" s="41"/>
      <c r="DB61" s="40"/>
      <c r="DC61" s="42"/>
      <c r="DD61" s="43"/>
      <c r="DF61" s="40"/>
      <c r="DG61" s="40"/>
      <c r="DH61" s="40"/>
      <c r="DI61" s="40"/>
      <c r="DJ61" s="41"/>
      <c r="DK61" s="40"/>
      <c r="DL61" s="42"/>
      <c r="DM61" s="43"/>
      <c r="DO61" s="40"/>
      <c r="DP61" s="40"/>
      <c r="DQ61" s="40"/>
      <c r="DR61" s="40"/>
      <c r="DS61" s="41"/>
      <c r="DT61" s="40"/>
      <c r="DU61" s="42"/>
      <c r="DV61" s="43"/>
      <c r="DX61" s="40"/>
      <c r="DY61" s="40"/>
      <c r="DZ61" s="40"/>
      <c r="EA61" s="40"/>
      <c r="EB61" s="41"/>
      <c r="EC61" s="40"/>
      <c r="ED61" s="42"/>
      <c r="EE61" s="43"/>
      <c r="EG61" s="40"/>
      <c r="EH61" s="40"/>
      <c r="EI61" s="40"/>
      <c r="EJ61" s="40"/>
      <c r="EK61" s="41"/>
      <c r="EL61" s="40"/>
      <c r="EM61" s="42"/>
      <c r="EN61" s="43"/>
      <c r="EP61" s="40"/>
      <c r="EQ61" s="40"/>
      <c r="ER61" s="40"/>
      <c r="ES61" s="40"/>
      <c r="ET61" s="41"/>
      <c r="EU61" s="40"/>
      <c r="EV61" s="42"/>
      <c r="EW61" s="43"/>
      <c r="EY61" s="40"/>
      <c r="EZ61" s="40"/>
      <c r="FA61" s="40"/>
      <c r="FB61" s="40"/>
      <c r="FC61" s="41"/>
      <c r="FD61" s="40"/>
      <c r="FE61" s="42"/>
      <c r="FF61" s="43"/>
      <c r="FH61" s="40"/>
      <c r="FI61" s="40"/>
      <c r="FJ61" s="40"/>
      <c r="FK61" s="40"/>
      <c r="FL61" s="41"/>
      <c r="FM61" s="40"/>
      <c r="FN61" s="42"/>
      <c r="FO61" s="43"/>
      <c r="FQ61" s="40"/>
      <c r="FR61" s="40"/>
      <c r="FS61" s="40"/>
      <c r="FT61" s="40"/>
      <c r="FU61" s="41"/>
      <c r="FV61" s="40"/>
      <c r="FW61" s="42"/>
      <c r="FX61" s="43"/>
      <c r="FZ61" s="40"/>
      <c r="GA61" s="40"/>
      <c r="GB61" s="40"/>
      <c r="GC61" s="40"/>
      <c r="GD61" s="41"/>
      <c r="GE61" s="40"/>
      <c r="GF61" s="42"/>
      <c r="GG61" s="43"/>
      <c r="GI61" s="40"/>
      <c r="GJ61" s="40"/>
      <c r="GK61" s="40"/>
      <c r="GL61" s="40"/>
      <c r="GM61" s="41"/>
      <c r="GN61" s="40"/>
      <c r="GO61" s="42"/>
      <c r="GP61" s="43"/>
      <c r="GR61" s="40"/>
      <c r="GS61" s="40"/>
      <c r="GT61" s="40"/>
      <c r="GU61" s="40"/>
      <c r="GV61" s="41"/>
      <c r="GW61" s="40"/>
      <c r="GX61" s="42"/>
      <c r="GY61" s="43"/>
      <c r="HA61" s="40"/>
      <c r="HB61" s="40"/>
      <c r="HC61" s="40"/>
      <c r="HD61" s="40"/>
      <c r="HE61" s="41"/>
      <c r="HF61" s="40"/>
      <c r="HG61" s="42"/>
      <c r="HH61" s="43"/>
      <c r="HJ61" s="40"/>
      <c r="HK61" s="40"/>
      <c r="HL61" s="40"/>
      <c r="HM61" s="40"/>
      <c r="HN61" s="41"/>
      <c r="HO61" s="40"/>
      <c r="HP61" s="42"/>
      <c r="HQ61" s="43"/>
      <c r="HS61" s="40"/>
      <c r="HT61" s="40"/>
      <c r="HU61" s="40"/>
      <c r="HV61" s="40"/>
      <c r="HW61" s="41"/>
      <c r="HX61" s="40"/>
      <c r="HY61" s="42"/>
      <c r="HZ61" s="43"/>
      <c r="IB61" s="40"/>
      <c r="IC61" s="40"/>
      <c r="ID61" s="40"/>
      <c r="IE61" s="40"/>
      <c r="IF61" s="41"/>
      <c r="IG61" s="40"/>
      <c r="IH61" s="42"/>
      <c r="II61" s="43"/>
      <c r="IK61" s="40"/>
      <c r="IL61" s="40"/>
      <c r="IM61" s="40"/>
    </row>
    <row r="62" spans="1:247" s="4" customFormat="1" ht="12">
      <c r="A62" s="31">
        <f t="shared" si="0"/>
        <v>51</v>
      </c>
      <c r="B62" s="36" t="s">
        <v>67</v>
      </c>
      <c r="C62" s="29"/>
      <c r="D62" s="38"/>
      <c r="E62" s="29"/>
      <c r="F62" s="30"/>
      <c r="G62" s="29"/>
      <c r="H62" s="19"/>
      <c r="I62" s="8"/>
      <c r="J62" s="2"/>
      <c r="K62" s="29"/>
      <c r="L62" s="29"/>
      <c r="M62" s="29"/>
      <c r="N62" s="40"/>
      <c r="O62" s="41"/>
      <c r="P62" s="40"/>
      <c r="Q62" s="42"/>
      <c r="R62" s="43"/>
      <c r="T62" s="40"/>
      <c r="U62" s="40"/>
      <c r="V62" s="40"/>
      <c r="W62" s="40"/>
      <c r="X62" s="41"/>
      <c r="Y62" s="40"/>
      <c r="Z62" s="42"/>
      <c r="AA62" s="43"/>
      <c r="AC62" s="40"/>
      <c r="AD62" s="40"/>
      <c r="AE62" s="40"/>
      <c r="AF62" s="40"/>
      <c r="AG62" s="41"/>
      <c r="AH62" s="40"/>
      <c r="AI62" s="42"/>
      <c r="AJ62" s="43"/>
      <c r="AL62" s="40"/>
      <c r="AM62" s="40"/>
      <c r="AN62" s="40"/>
      <c r="AO62" s="40"/>
      <c r="AP62" s="41"/>
      <c r="AQ62" s="40"/>
      <c r="AR62" s="42"/>
      <c r="AS62" s="43"/>
      <c r="AU62" s="40"/>
      <c r="AV62" s="40"/>
      <c r="AW62" s="40"/>
      <c r="AX62" s="40"/>
      <c r="AY62" s="41"/>
      <c r="AZ62" s="40"/>
      <c r="BA62" s="42"/>
      <c r="BB62" s="43"/>
      <c r="BD62" s="40"/>
      <c r="BE62" s="40"/>
      <c r="BF62" s="40"/>
      <c r="BG62" s="40"/>
      <c r="BH62" s="41"/>
      <c r="BI62" s="40"/>
      <c r="BJ62" s="42"/>
      <c r="BK62" s="43"/>
      <c r="BM62" s="40"/>
      <c r="BN62" s="40"/>
      <c r="BO62" s="40"/>
      <c r="BP62" s="40"/>
      <c r="BQ62" s="41"/>
      <c r="BR62" s="40"/>
      <c r="BS62" s="42"/>
      <c r="BT62" s="43"/>
      <c r="BV62" s="40"/>
      <c r="BW62" s="40"/>
      <c r="BX62" s="40"/>
      <c r="BY62" s="40"/>
      <c r="BZ62" s="41"/>
      <c r="CA62" s="40"/>
      <c r="CB62" s="42"/>
      <c r="CC62" s="43"/>
      <c r="CE62" s="40"/>
      <c r="CF62" s="40"/>
      <c r="CG62" s="40"/>
      <c r="CH62" s="40"/>
      <c r="CI62" s="41"/>
      <c r="CJ62" s="40"/>
      <c r="CK62" s="42"/>
      <c r="CL62" s="43"/>
      <c r="CN62" s="40"/>
      <c r="CO62" s="40"/>
      <c r="CP62" s="40"/>
      <c r="CQ62" s="40"/>
      <c r="CR62" s="41"/>
      <c r="CS62" s="40"/>
      <c r="CT62" s="42"/>
      <c r="CU62" s="43"/>
      <c r="CW62" s="40"/>
      <c r="CX62" s="40"/>
      <c r="CY62" s="40"/>
      <c r="CZ62" s="40"/>
      <c r="DA62" s="41"/>
      <c r="DB62" s="40"/>
      <c r="DC62" s="42"/>
      <c r="DD62" s="43"/>
      <c r="DF62" s="40"/>
      <c r="DG62" s="40"/>
      <c r="DH62" s="40"/>
      <c r="DI62" s="40"/>
      <c r="DJ62" s="41"/>
      <c r="DK62" s="40"/>
      <c r="DL62" s="42"/>
      <c r="DM62" s="43"/>
      <c r="DO62" s="40"/>
      <c r="DP62" s="40"/>
      <c r="DQ62" s="40"/>
      <c r="DR62" s="40"/>
      <c r="DS62" s="41"/>
      <c r="DT62" s="40"/>
      <c r="DU62" s="42"/>
      <c r="DV62" s="43"/>
      <c r="DX62" s="40"/>
      <c r="DY62" s="40"/>
      <c r="DZ62" s="40"/>
      <c r="EA62" s="40"/>
      <c r="EB62" s="41"/>
      <c r="EC62" s="40"/>
      <c r="ED62" s="42"/>
      <c r="EE62" s="43"/>
      <c r="EG62" s="40"/>
      <c r="EH62" s="40"/>
      <c r="EI62" s="40"/>
      <c r="EJ62" s="40"/>
      <c r="EK62" s="41"/>
      <c r="EL62" s="40"/>
      <c r="EM62" s="42"/>
      <c r="EN62" s="43"/>
      <c r="EP62" s="40"/>
      <c r="EQ62" s="40"/>
      <c r="ER62" s="40"/>
      <c r="ES62" s="40"/>
      <c r="ET62" s="41"/>
      <c r="EU62" s="40"/>
      <c r="EV62" s="42"/>
      <c r="EW62" s="43"/>
      <c r="EY62" s="40"/>
      <c r="EZ62" s="40"/>
      <c r="FA62" s="40"/>
      <c r="FB62" s="40"/>
      <c r="FC62" s="41"/>
      <c r="FD62" s="40"/>
      <c r="FE62" s="42"/>
      <c r="FF62" s="43"/>
      <c r="FH62" s="40"/>
      <c r="FI62" s="40"/>
      <c r="FJ62" s="40"/>
      <c r="FK62" s="40"/>
      <c r="FL62" s="41"/>
      <c r="FM62" s="40"/>
      <c r="FN62" s="42"/>
      <c r="FO62" s="43"/>
      <c r="FQ62" s="40"/>
      <c r="FR62" s="40"/>
      <c r="FS62" s="40"/>
      <c r="FT62" s="40"/>
      <c r="FU62" s="41"/>
      <c r="FV62" s="40"/>
      <c r="FW62" s="42"/>
      <c r="FX62" s="43"/>
      <c r="FZ62" s="40"/>
      <c r="GA62" s="40"/>
      <c r="GB62" s="40"/>
      <c r="GC62" s="40"/>
      <c r="GD62" s="41"/>
      <c r="GE62" s="40"/>
      <c r="GF62" s="42"/>
      <c r="GG62" s="43"/>
      <c r="GI62" s="40"/>
      <c r="GJ62" s="40"/>
      <c r="GK62" s="40"/>
      <c r="GL62" s="40"/>
      <c r="GM62" s="41"/>
      <c r="GN62" s="40"/>
      <c r="GO62" s="42"/>
      <c r="GP62" s="43"/>
      <c r="GR62" s="40"/>
      <c r="GS62" s="40"/>
      <c r="GT62" s="40"/>
      <c r="GU62" s="40"/>
      <c r="GV62" s="41"/>
      <c r="GW62" s="40"/>
      <c r="GX62" s="42"/>
      <c r="GY62" s="43"/>
      <c r="HA62" s="40"/>
      <c r="HB62" s="40"/>
      <c r="HC62" s="40"/>
      <c r="HD62" s="40"/>
      <c r="HE62" s="41"/>
      <c r="HF62" s="40"/>
      <c r="HG62" s="42"/>
      <c r="HH62" s="43"/>
      <c r="HJ62" s="40"/>
      <c r="HK62" s="40"/>
      <c r="HL62" s="40"/>
      <c r="HM62" s="40"/>
      <c r="HN62" s="41"/>
      <c r="HO62" s="40"/>
      <c r="HP62" s="42"/>
      <c r="HQ62" s="43"/>
      <c r="HS62" s="40"/>
      <c r="HT62" s="40"/>
      <c r="HU62" s="40"/>
      <c r="HV62" s="40"/>
      <c r="HW62" s="41"/>
      <c r="HX62" s="40"/>
      <c r="HY62" s="42"/>
      <c r="HZ62" s="43"/>
      <c r="IB62" s="40"/>
      <c r="IC62" s="40"/>
      <c r="ID62" s="40"/>
      <c r="IE62" s="40"/>
      <c r="IF62" s="41"/>
      <c r="IG62" s="40"/>
      <c r="IH62" s="42"/>
      <c r="II62" s="43"/>
      <c r="IK62" s="40"/>
      <c r="IL62" s="40"/>
      <c r="IM62" s="40"/>
    </row>
    <row r="63" spans="1:247" s="4" customFormat="1" ht="12">
      <c r="A63" s="31">
        <f t="shared" si="0"/>
        <v>52</v>
      </c>
      <c r="B63" s="37" t="s">
        <v>68</v>
      </c>
      <c r="C63" s="29"/>
      <c r="D63" s="29"/>
      <c r="E63" s="29"/>
      <c r="F63" s="30"/>
      <c r="G63" s="29"/>
      <c r="H63" s="19"/>
      <c r="I63" s="8"/>
      <c r="J63" s="2"/>
      <c r="K63" s="29"/>
      <c r="L63" s="29"/>
      <c r="M63" s="29"/>
      <c r="N63" s="40"/>
      <c r="O63" s="41"/>
      <c r="P63" s="40"/>
      <c r="Q63" s="42"/>
      <c r="R63" s="43"/>
      <c r="T63" s="40"/>
      <c r="U63" s="40"/>
      <c r="V63" s="40"/>
      <c r="W63" s="40"/>
      <c r="X63" s="41"/>
      <c r="Y63" s="40"/>
      <c r="Z63" s="42"/>
      <c r="AA63" s="43"/>
      <c r="AC63" s="40"/>
      <c r="AD63" s="40"/>
      <c r="AE63" s="40"/>
      <c r="AF63" s="40"/>
      <c r="AG63" s="41"/>
      <c r="AH63" s="40"/>
      <c r="AI63" s="42"/>
      <c r="AJ63" s="43"/>
      <c r="AL63" s="40"/>
      <c r="AM63" s="40"/>
      <c r="AN63" s="40"/>
      <c r="AO63" s="40"/>
      <c r="AP63" s="41"/>
      <c r="AQ63" s="40"/>
      <c r="AR63" s="42"/>
      <c r="AS63" s="43"/>
      <c r="AU63" s="40"/>
      <c r="AV63" s="40"/>
      <c r="AW63" s="40"/>
      <c r="AX63" s="40"/>
      <c r="AY63" s="41"/>
      <c r="AZ63" s="40"/>
      <c r="BA63" s="42"/>
      <c r="BB63" s="43"/>
      <c r="BD63" s="40"/>
      <c r="BE63" s="40"/>
      <c r="BF63" s="40"/>
      <c r="BG63" s="40"/>
      <c r="BH63" s="41"/>
      <c r="BI63" s="40"/>
      <c r="BJ63" s="42"/>
      <c r="BK63" s="43"/>
      <c r="BM63" s="40"/>
      <c r="BN63" s="40"/>
      <c r="BO63" s="40"/>
      <c r="BP63" s="40"/>
      <c r="BQ63" s="41"/>
      <c r="BR63" s="40"/>
      <c r="BS63" s="42"/>
      <c r="BT63" s="43"/>
      <c r="BV63" s="40"/>
      <c r="BW63" s="40"/>
      <c r="BX63" s="40"/>
      <c r="BY63" s="40"/>
      <c r="BZ63" s="41"/>
      <c r="CA63" s="40"/>
      <c r="CB63" s="42"/>
      <c r="CC63" s="43"/>
      <c r="CE63" s="40"/>
      <c r="CF63" s="40"/>
      <c r="CG63" s="40"/>
      <c r="CH63" s="40"/>
      <c r="CI63" s="41"/>
      <c r="CJ63" s="40"/>
      <c r="CK63" s="42"/>
      <c r="CL63" s="43"/>
      <c r="CN63" s="40"/>
      <c r="CO63" s="40"/>
      <c r="CP63" s="40"/>
      <c r="CQ63" s="40"/>
      <c r="CR63" s="41"/>
      <c r="CS63" s="40"/>
      <c r="CT63" s="42"/>
      <c r="CU63" s="43"/>
      <c r="CW63" s="40"/>
      <c r="CX63" s="40"/>
      <c r="CY63" s="40"/>
      <c r="CZ63" s="40"/>
      <c r="DA63" s="41"/>
      <c r="DB63" s="40"/>
      <c r="DC63" s="42"/>
      <c r="DD63" s="43"/>
      <c r="DF63" s="40"/>
      <c r="DG63" s="40"/>
      <c r="DH63" s="40"/>
      <c r="DI63" s="40"/>
      <c r="DJ63" s="41"/>
      <c r="DK63" s="40"/>
      <c r="DL63" s="42"/>
      <c r="DM63" s="43"/>
      <c r="DO63" s="40"/>
      <c r="DP63" s="40"/>
      <c r="DQ63" s="40"/>
      <c r="DR63" s="40"/>
      <c r="DS63" s="41"/>
      <c r="DT63" s="40"/>
      <c r="DU63" s="42"/>
      <c r="DV63" s="43"/>
      <c r="DX63" s="40"/>
      <c r="DY63" s="40"/>
      <c r="DZ63" s="40"/>
      <c r="EA63" s="40"/>
      <c r="EB63" s="41"/>
      <c r="EC63" s="40"/>
      <c r="ED63" s="42"/>
      <c r="EE63" s="43"/>
      <c r="EG63" s="40"/>
      <c r="EH63" s="40"/>
      <c r="EI63" s="40"/>
      <c r="EJ63" s="40"/>
      <c r="EK63" s="41"/>
      <c r="EL63" s="40"/>
      <c r="EM63" s="42"/>
      <c r="EN63" s="43"/>
      <c r="EP63" s="40"/>
      <c r="EQ63" s="40"/>
      <c r="ER63" s="40"/>
      <c r="ES63" s="40"/>
      <c r="ET63" s="41"/>
      <c r="EU63" s="40"/>
      <c r="EV63" s="42"/>
      <c r="EW63" s="43"/>
      <c r="EY63" s="40"/>
      <c r="EZ63" s="40"/>
      <c r="FA63" s="40"/>
      <c r="FB63" s="40"/>
      <c r="FC63" s="41"/>
      <c r="FD63" s="40"/>
      <c r="FE63" s="42"/>
      <c r="FF63" s="43"/>
      <c r="FH63" s="40"/>
      <c r="FI63" s="40"/>
      <c r="FJ63" s="40"/>
      <c r="FK63" s="40"/>
      <c r="FL63" s="41"/>
      <c r="FM63" s="40"/>
      <c r="FN63" s="42"/>
      <c r="FO63" s="43"/>
      <c r="FQ63" s="40"/>
      <c r="FR63" s="40"/>
      <c r="FS63" s="40"/>
      <c r="FT63" s="40"/>
      <c r="FU63" s="41"/>
      <c r="FV63" s="40"/>
      <c r="FW63" s="42"/>
      <c r="FX63" s="43"/>
      <c r="FZ63" s="40"/>
      <c r="GA63" s="40"/>
      <c r="GB63" s="40"/>
      <c r="GC63" s="40"/>
      <c r="GD63" s="41"/>
      <c r="GE63" s="40"/>
      <c r="GF63" s="42"/>
      <c r="GG63" s="43"/>
      <c r="GI63" s="40"/>
      <c r="GJ63" s="40"/>
      <c r="GK63" s="40"/>
      <c r="GL63" s="40"/>
      <c r="GM63" s="41"/>
      <c r="GN63" s="40"/>
      <c r="GO63" s="42"/>
      <c r="GP63" s="43"/>
      <c r="GR63" s="40"/>
      <c r="GS63" s="40"/>
      <c r="GT63" s="40"/>
      <c r="GU63" s="40"/>
      <c r="GV63" s="41"/>
      <c r="GW63" s="40"/>
      <c r="GX63" s="42"/>
      <c r="GY63" s="43"/>
      <c r="HA63" s="40"/>
      <c r="HB63" s="40"/>
      <c r="HC63" s="40"/>
      <c r="HD63" s="40"/>
      <c r="HE63" s="41"/>
      <c r="HF63" s="40"/>
      <c r="HG63" s="42"/>
      <c r="HH63" s="43"/>
      <c r="HJ63" s="40"/>
      <c r="HK63" s="40"/>
      <c r="HL63" s="40"/>
      <c r="HM63" s="40"/>
      <c r="HN63" s="41"/>
      <c r="HO63" s="40"/>
      <c r="HP63" s="42"/>
      <c r="HQ63" s="43"/>
      <c r="HS63" s="40"/>
      <c r="HT63" s="40"/>
      <c r="HU63" s="40"/>
      <c r="HV63" s="40"/>
      <c r="HW63" s="41"/>
      <c r="HX63" s="40"/>
      <c r="HY63" s="42"/>
      <c r="HZ63" s="43"/>
      <c r="IB63" s="40"/>
      <c r="IC63" s="40"/>
      <c r="ID63" s="40"/>
      <c r="IE63" s="40"/>
      <c r="IF63" s="41"/>
      <c r="IG63" s="40"/>
      <c r="IH63" s="42"/>
      <c r="II63" s="43"/>
      <c r="IK63" s="40"/>
      <c r="IL63" s="40"/>
      <c r="IM63" s="40"/>
    </row>
    <row r="64" spans="1:247" s="4" customFormat="1" ht="12">
      <c r="A64" s="31">
        <f t="shared" si="0"/>
        <v>53</v>
      </c>
      <c r="B64" s="37" t="s">
        <v>69</v>
      </c>
      <c r="C64" s="29"/>
      <c r="D64" s="29"/>
      <c r="E64" s="29"/>
      <c r="F64" s="30"/>
      <c r="G64" s="29"/>
      <c r="H64" s="19"/>
      <c r="I64" s="8"/>
      <c r="J64" s="2"/>
      <c r="K64" s="29"/>
      <c r="L64" s="29"/>
      <c r="M64" s="29"/>
      <c r="N64" s="40"/>
      <c r="O64" s="41"/>
      <c r="P64" s="40"/>
      <c r="Q64" s="42"/>
      <c r="R64" s="43"/>
      <c r="T64" s="40"/>
      <c r="U64" s="40"/>
      <c r="V64" s="40"/>
      <c r="W64" s="40"/>
      <c r="X64" s="41"/>
      <c r="Y64" s="40"/>
      <c r="Z64" s="42"/>
      <c r="AA64" s="43"/>
      <c r="AC64" s="40"/>
      <c r="AD64" s="40"/>
      <c r="AE64" s="40"/>
      <c r="AF64" s="40"/>
      <c r="AG64" s="41"/>
      <c r="AH64" s="40"/>
      <c r="AI64" s="42"/>
      <c r="AJ64" s="43"/>
      <c r="AL64" s="40"/>
      <c r="AM64" s="40"/>
      <c r="AN64" s="40"/>
      <c r="AO64" s="40"/>
      <c r="AP64" s="41"/>
      <c r="AQ64" s="40"/>
      <c r="AR64" s="42"/>
      <c r="AS64" s="43"/>
      <c r="AU64" s="40"/>
      <c r="AV64" s="40"/>
      <c r="AW64" s="40"/>
      <c r="AX64" s="40"/>
      <c r="AY64" s="41"/>
      <c r="AZ64" s="40"/>
      <c r="BA64" s="42"/>
      <c r="BB64" s="43"/>
      <c r="BD64" s="40"/>
      <c r="BE64" s="40"/>
      <c r="BF64" s="40"/>
      <c r="BG64" s="40"/>
      <c r="BH64" s="41"/>
      <c r="BI64" s="40"/>
      <c r="BJ64" s="42"/>
      <c r="BK64" s="43"/>
      <c r="BM64" s="40"/>
      <c r="BN64" s="40"/>
      <c r="BO64" s="40"/>
      <c r="BP64" s="40"/>
      <c r="BQ64" s="41"/>
      <c r="BR64" s="40"/>
      <c r="BS64" s="42"/>
      <c r="BT64" s="43"/>
      <c r="BV64" s="40"/>
      <c r="BW64" s="40"/>
      <c r="BX64" s="40"/>
      <c r="BY64" s="40"/>
      <c r="BZ64" s="41"/>
      <c r="CA64" s="40"/>
      <c r="CB64" s="42"/>
      <c r="CC64" s="43"/>
      <c r="CE64" s="40"/>
      <c r="CF64" s="40"/>
      <c r="CG64" s="40"/>
      <c r="CH64" s="40"/>
      <c r="CI64" s="41"/>
      <c r="CJ64" s="40"/>
      <c r="CK64" s="42"/>
      <c r="CL64" s="43"/>
      <c r="CN64" s="40"/>
      <c r="CO64" s="40"/>
      <c r="CP64" s="40"/>
      <c r="CQ64" s="40"/>
      <c r="CR64" s="41"/>
      <c r="CS64" s="40"/>
      <c r="CT64" s="42"/>
      <c r="CU64" s="43"/>
      <c r="CW64" s="40"/>
      <c r="CX64" s="40"/>
      <c r="CY64" s="40"/>
      <c r="CZ64" s="40"/>
      <c r="DA64" s="41"/>
      <c r="DB64" s="40"/>
      <c r="DC64" s="42"/>
      <c r="DD64" s="43"/>
      <c r="DF64" s="40"/>
      <c r="DG64" s="40"/>
      <c r="DH64" s="40"/>
      <c r="DI64" s="40"/>
      <c r="DJ64" s="41"/>
      <c r="DK64" s="40"/>
      <c r="DL64" s="42"/>
      <c r="DM64" s="43"/>
      <c r="DO64" s="40"/>
      <c r="DP64" s="40"/>
      <c r="DQ64" s="40"/>
      <c r="DR64" s="40"/>
      <c r="DS64" s="41"/>
      <c r="DT64" s="40"/>
      <c r="DU64" s="42"/>
      <c r="DV64" s="43"/>
      <c r="DX64" s="40"/>
      <c r="DY64" s="40"/>
      <c r="DZ64" s="40"/>
      <c r="EA64" s="40"/>
      <c r="EB64" s="41"/>
      <c r="EC64" s="40"/>
      <c r="ED64" s="42"/>
      <c r="EE64" s="43"/>
      <c r="EG64" s="40"/>
      <c r="EH64" s="40"/>
      <c r="EI64" s="40"/>
      <c r="EJ64" s="40"/>
      <c r="EK64" s="41"/>
      <c r="EL64" s="40"/>
      <c r="EM64" s="42"/>
      <c r="EN64" s="43"/>
      <c r="EP64" s="40"/>
      <c r="EQ64" s="40"/>
      <c r="ER64" s="40"/>
      <c r="ES64" s="40"/>
      <c r="ET64" s="41"/>
      <c r="EU64" s="40"/>
      <c r="EV64" s="42"/>
      <c r="EW64" s="43"/>
      <c r="EY64" s="40"/>
      <c r="EZ64" s="40"/>
      <c r="FA64" s="40"/>
      <c r="FB64" s="40"/>
      <c r="FC64" s="41"/>
      <c r="FD64" s="40"/>
      <c r="FE64" s="42"/>
      <c r="FF64" s="43"/>
      <c r="FH64" s="40"/>
      <c r="FI64" s="40"/>
      <c r="FJ64" s="40"/>
      <c r="FK64" s="40"/>
      <c r="FL64" s="41"/>
      <c r="FM64" s="40"/>
      <c r="FN64" s="42"/>
      <c r="FO64" s="43"/>
      <c r="FQ64" s="40"/>
      <c r="FR64" s="40"/>
      <c r="FS64" s="40"/>
      <c r="FT64" s="40"/>
      <c r="FU64" s="41"/>
      <c r="FV64" s="40"/>
      <c r="FW64" s="42"/>
      <c r="FX64" s="43"/>
      <c r="FZ64" s="40"/>
      <c r="GA64" s="40"/>
      <c r="GB64" s="40"/>
      <c r="GC64" s="40"/>
      <c r="GD64" s="41"/>
      <c r="GE64" s="40"/>
      <c r="GF64" s="42"/>
      <c r="GG64" s="43"/>
      <c r="GI64" s="40"/>
      <c r="GJ64" s="40"/>
      <c r="GK64" s="40"/>
      <c r="GL64" s="40"/>
      <c r="GM64" s="41"/>
      <c r="GN64" s="40"/>
      <c r="GO64" s="42"/>
      <c r="GP64" s="43"/>
      <c r="GR64" s="40"/>
      <c r="GS64" s="40"/>
      <c r="GT64" s="40"/>
      <c r="GU64" s="40"/>
      <c r="GV64" s="41"/>
      <c r="GW64" s="40"/>
      <c r="GX64" s="42"/>
      <c r="GY64" s="43"/>
      <c r="HA64" s="40"/>
      <c r="HB64" s="40"/>
      <c r="HC64" s="40"/>
      <c r="HD64" s="40"/>
      <c r="HE64" s="41"/>
      <c r="HF64" s="40"/>
      <c r="HG64" s="42"/>
      <c r="HH64" s="43"/>
      <c r="HJ64" s="40"/>
      <c r="HK64" s="40"/>
      <c r="HL64" s="40"/>
      <c r="HM64" s="40"/>
      <c r="HN64" s="41"/>
      <c r="HO64" s="40"/>
      <c r="HP64" s="42"/>
      <c r="HQ64" s="43"/>
      <c r="HS64" s="40"/>
      <c r="HT64" s="40"/>
      <c r="HU64" s="40"/>
      <c r="HV64" s="40"/>
      <c r="HW64" s="41"/>
      <c r="HX64" s="40"/>
      <c r="HY64" s="42"/>
      <c r="HZ64" s="43"/>
      <c r="IB64" s="40"/>
      <c r="IC64" s="40"/>
      <c r="ID64" s="40"/>
      <c r="IE64" s="40"/>
      <c r="IF64" s="41"/>
      <c r="IG64" s="40"/>
      <c r="IH64" s="42"/>
      <c r="II64" s="43"/>
      <c r="IK64" s="40"/>
      <c r="IL64" s="40"/>
      <c r="IM64" s="40"/>
    </row>
    <row r="65" spans="1:247" s="4" customFormat="1" ht="12">
      <c r="A65" s="31">
        <f t="shared" si="0"/>
        <v>54</v>
      </c>
      <c r="B65" s="37" t="s">
        <v>70</v>
      </c>
      <c r="C65" s="29"/>
      <c r="D65" s="29"/>
      <c r="E65" s="29"/>
      <c r="F65" s="30"/>
      <c r="G65" s="29"/>
      <c r="H65" s="19"/>
      <c r="I65" s="8"/>
      <c r="J65" s="2"/>
      <c r="K65" s="29"/>
      <c r="L65" s="29"/>
      <c r="M65" s="29"/>
      <c r="N65" s="40"/>
      <c r="O65" s="41"/>
      <c r="P65" s="40"/>
      <c r="Q65" s="42"/>
      <c r="R65" s="43"/>
      <c r="T65" s="40"/>
      <c r="U65" s="40"/>
      <c r="V65" s="40"/>
      <c r="W65" s="40"/>
      <c r="X65" s="41"/>
      <c r="Y65" s="40"/>
      <c r="Z65" s="42"/>
      <c r="AA65" s="43"/>
      <c r="AC65" s="40"/>
      <c r="AD65" s="40"/>
      <c r="AE65" s="40"/>
      <c r="AF65" s="40"/>
      <c r="AG65" s="41"/>
      <c r="AH65" s="40"/>
      <c r="AI65" s="42"/>
      <c r="AJ65" s="43"/>
      <c r="AL65" s="40"/>
      <c r="AM65" s="40"/>
      <c r="AN65" s="40"/>
      <c r="AO65" s="40"/>
      <c r="AP65" s="41"/>
      <c r="AQ65" s="40"/>
      <c r="AR65" s="42"/>
      <c r="AS65" s="43"/>
      <c r="AU65" s="40"/>
      <c r="AV65" s="40"/>
      <c r="AW65" s="40"/>
      <c r="AX65" s="40"/>
      <c r="AY65" s="41"/>
      <c r="AZ65" s="40"/>
      <c r="BA65" s="42"/>
      <c r="BB65" s="43"/>
      <c r="BD65" s="40"/>
      <c r="BE65" s="40"/>
      <c r="BF65" s="40"/>
      <c r="BG65" s="40"/>
      <c r="BH65" s="41"/>
      <c r="BI65" s="40"/>
      <c r="BJ65" s="42"/>
      <c r="BK65" s="43"/>
      <c r="BM65" s="40"/>
      <c r="BN65" s="40"/>
      <c r="BO65" s="40"/>
      <c r="BP65" s="40"/>
      <c r="BQ65" s="41"/>
      <c r="BR65" s="40"/>
      <c r="BS65" s="42"/>
      <c r="BT65" s="43"/>
      <c r="BV65" s="40"/>
      <c r="BW65" s="40"/>
      <c r="BX65" s="40"/>
      <c r="BY65" s="40"/>
      <c r="BZ65" s="41"/>
      <c r="CA65" s="40"/>
      <c r="CB65" s="42"/>
      <c r="CC65" s="43"/>
      <c r="CE65" s="40"/>
      <c r="CF65" s="40"/>
      <c r="CG65" s="40"/>
      <c r="CH65" s="40"/>
      <c r="CI65" s="41"/>
      <c r="CJ65" s="40"/>
      <c r="CK65" s="42"/>
      <c r="CL65" s="43"/>
      <c r="CN65" s="40"/>
      <c r="CO65" s="40"/>
      <c r="CP65" s="40"/>
      <c r="CQ65" s="40"/>
      <c r="CR65" s="41"/>
      <c r="CS65" s="40"/>
      <c r="CT65" s="42"/>
      <c r="CU65" s="43"/>
      <c r="CW65" s="40"/>
      <c r="CX65" s="40"/>
      <c r="CY65" s="40"/>
      <c r="CZ65" s="40"/>
      <c r="DA65" s="41"/>
      <c r="DB65" s="40"/>
      <c r="DC65" s="42"/>
      <c r="DD65" s="43"/>
      <c r="DF65" s="40"/>
      <c r="DG65" s="40"/>
      <c r="DH65" s="40"/>
      <c r="DI65" s="40"/>
      <c r="DJ65" s="41"/>
      <c r="DK65" s="40"/>
      <c r="DL65" s="42"/>
      <c r="DM65" s="43"/>
      <c r="DO65" s="40"/>
      <c r="DP65" s="40"/>
      <c r="DQ65" s="40"/>
      <c r="DR65" s="40"/>
      <c r="DS65" s="41"/>
      <c r="DT65" s="40"/>
      <c r="DU65" s="42"/>
      <c r="DV65" s="43"/>
      <c r="DX65" s="40"/>
      <c r="DY65" s="40"/>
      <c r="DZ65" s="40"/>
      <c r="EA65" s="40"/>
      <c r="EB65" s="41"/>
      <c r="EC65" s="40"/>
      <c r="ED65" s="42"/>
      <c r="EE65" s="43"/>
      <c r="EG65" s="40"/>
      <c r="EH65" s="40"/>
      <c r="EI65" s="40"/>
      <c r="EJ65" s="40"/>
      <c r="EK65" s="41"/>
      <c r="EL65" s="40"/>
      <c r="EM65" s="42"/>
      <c r="EN65" s="43"/>
      <c r="EP65" s="40"/>
      <c r="EQ65" s="40"/>
      <c r="ER65" s="40"/>
      <c r="ES65" s="40"/>
      <c r="ET65" s="41"/>
      <c r="EU65" s="40"/>
      <c r="EV65" s="42"/>
      <c r="EW65" s="43"/>
      <c r="EY65" s="40"/>
      <c r="EZ65" s="40"/>
      <c r="FA65" s="40"/>
      <c r="FB65" s="40"/>
      <c r="FC65" s="41"/>
      <c r="FD65" s="40"/>
      <c r="FE65" s="42"/>
      <c r="FF65" s="43"/>
      <c r="FH65" s="40"/>
      <c r="FI65" s="40"/>
      <c r="FJ65" s="40"/>
      <c r="FK65" s="40"/>
      <c r="FL65" s="41"/>
      <c r="FM65" s="40"/>
      <c r="FN65" s="42"/>
      <c r="FO65" s="43"/>
      <c r="FQ65" s="40"/>
      <c r="FR65" s="40"/>
      <c r="FS65" s="40"/>
      <c r="FT65" s="40"/>
      <c r="FU65" s="41"/>
      <c r="FV65" s="40"/>
      <c r="FW65" s="42"/>
      <c r="FX65" s="43"/>
      <c r="FZ65" s="40"/>
      <c r="GA65" s="40"/>
      <c r="GB65" s="40"/>
      <c r="GC65" s="40"/>
      <c r="GD65" s="41"/>
      <c r="GE65" s="40"/>
      <c r="GF65" s="42"/>
      <c r="GG65" s="43"/>
      <c r="GI65" s="40"/>
      <c r="GJ65" s="40"/>
      <c r="GK65" s="40"/>
      <c r="GL65" s="40"/>
      <c r="GM65" s="41"/>
      <c r="GN65" s="40"/>
      <c r="GO65" s="42"/>
      <c r="GP65" s="43"/>
      <c r="GR65" s="40"/>
      <c r="GS65" s="40"/>
      <c r="GT65" s="40"/>
      <c r="GU65" s="40"/>
      <c r="GV65" s="41"/>
      <c r="GW65" s="40"/>
      <c r="GX65" s="42"/>
      <c r="GY65" s="43"/>
      <c r="HA65" s="40"/>
      <c r="HB65" s="40"/>
      <c r="HC65" s="40"/>
      <c r="HD65" s="40"/>
      <c r="HE65" s="41"/>
      <c r="HF65" s="40"/>
      <c r="HG65" s="42"/>
      <c r="HH65" s="43"/>
      <c r="HJ65" s="40"/>
      <c r="HK65" s="40"/>
      <c r="HL65" s="40"/>
      <c r="HM65" s="40"/>
      <c r="HN65" s="41"/>
      <c r="HO65" s="40"/>
      <c r="HP65" s="42"/>
      <c r="HQ65" s="43"/>
      <c r="HS65" s="40"/>
      <c r="HT65" s="40"/>
      <c r="HU65" s="40"/>
      <c r="HV65" s="40"/>
      <c r="HW65" s="41"/>
      <c r="HX65" s="40"/>
      <c r="HY65" s="42"/>
      <c r="HZ65" s="43"/>
      <c r="IB65" s="40"/>
      <c r="IC65" s="40"/>
      <c r="ID65" s="40"/>
      <c r="IE65" s="40"/>
      <c r="IF65" s="41"/>
      <c r="IG65" s="40"/>
      <c r="IH65" s="42"/>
      <c r="II65" s="43"/>
      <c r="IK65" s="40"/>
      <c r="IL65" s="40"/>
      <c r="IM65" s="40"/>
    </row>
    <row r="66" spans="1:13" s="4" customFormat="1" ht="12.75" thickBot="1">
      <c r="A66" s="31">
        <f t="shared" si="0"/>
        <v>55</v>
      </c>
      <c r="B66" s="35" t="s">
        <v>71</v>
      </c>
      <c r="C66" s="694">
        <f>SUM(C13:C65)</f>
        <v>8150334.21</v>
      </c>
      <c r="D66" s="694">
        <f>SUM(D13:D65)</f>
        <v>0</v>
      </c>
      <c r="E66" s="694">
        <f>SUM(E13:E65)</f>
        <v>8150334.21</v>
      </c>
      <c r="F66" s="695"/>
      <c r="G66" s="694">
        <f>SUM(G13:G65)</f>
        <v>2282093</v>
      </c>
      <c r="H66" s="695"/>
      <c r="I66" s="695"/>
      <c r="J66" s="694">
        <f>SUM(J13:J65)</f>
        <v>2107858.7600000002</v>
      </c>
      <c r="K66" s="2"/>
      <c r="L66" s="2"/>
      <c r="M66" s="2"/>
    </row>
    <row r="67" spans="1:13" s="4" customFormat="1" ht="12.75" thickTop="1">
      <c r="A67" s="31">
        <f t="shared" si="0"/>
        <v>56</v>
      </c>
      <c r="B67" s="45" t="s">
        <v>72</v>
      </c>
      <c r="C67" s="46"/>
      <c r="D67" s="2"/>
      <c r="E67" s="2"/>
      <c r="F67" s="30"/>
      <c r="G67" s="2"/>
      <c r="H67" s="2"/>
      <c r="I67" s="2"/>
      <c r="J67" s="2"/>
      <c r="K67" s="2"/>
      <c r="L67" s="2"/>
      <c r="M67" s="2"/>
    </row>
    <row r="68" spans="1:13" s="4" customFormat="1" ht="12">
      <c r="A68" s="31">
        <f t="shared" si="0"/>
        <v>57</v>
      </c>
      <c r="B68" s="47" t="s">
        <v>73</v>
      </c>
      <c r="C68" s="48">
        <v>0</v>
      </c>
      <c r="D68" s="2"/>
      <c r="E68" s="34"/>
      <c r="F68" s="30"/>
      <c r="G68" s="2"/>
      <c r="H68" s="2"/>
      <c r="I68" s="2"/>
      <c r="J68" s="2"/>
      <c r="K68" s="2"/>
      <c r="L68" s="2"/>
      <c r="M68" s="2"/>
    </row>
    <row r="69" spans="1:13" s="4" customFormat="1" ht="12">
      <c r="A69" s="31">
        <f t="shared" si="0"/>
        <v>58</v>
      </c>
      <c r="B69" s="47" t="s">
        <v>74</v>
      </c>
      <c r="C69" s="48">
        <v>414990</v>
      </c>
      <c r="D69" s="2"/>
      <c r="E69" s="34"/>
      <c r="F69" s="30"/>
      <c r="G69" s="2"/>
      <c r="H69" s="2"/>
      <c r="I69" s="2"/>
      <c r="J69" s="2"/>
      <c r="K69" s="2"/>
      <c r="L69" s="2"/>
      <c r="M69" s="2"/>
    </row>
    <row r="70" spans="1:13" s="4" customFormat="1" ht="12">
      <c r="A70" s="31">
        <f t="shared" si="0"/>
        <v>59</v>
      </c>
      <c r="B70" s="47" t="s">
        <v>75</v>
      </c>
      <c r="C70" s="48">
        <v>164146</v>
      </c>
      <c r="D70" s="2"/>
      <c r="E70" s="34"/>
      <c r="F70" s="30"/>
      <c r="G70" s="2"/>
      <c r="H70" s="2"/>
      <c r="I70" s="2"/>
      <c r="J70" s="2"/>
      <c r="K70" s="2"/>
      <c r="L70" s="2"/>
      <c r="M70" s="2"/>
    </row>
    <row r="71" spans="1:13" s="4" customFormat="1" ht="12">
      <c r="A71" s="31">
        <f t="shared" si="0"/>
        <v>60</v>
      </c>
      <c r="B71" s="47" t="s">
        <v>76</v>
      </c>
      <c r="C71" s="48">
        <v>0</v>
      </c>
      <c r="D71" s="2"/>
      <c r="E71" s="2"/>
      <c r="F71" s="30"/>
      <c r="G71" s="2"/>
      <c r="H71" s="2"/>
      <c r="I71" s="2"/>
      <c r="J71" s="2"/>
      <c r="K71" s="2"/>
      <c r="L71" s="2"/>
      <c r="M71" s="2"/>
    </row>
    <row r="72" spans="1:13" s="4" customFormat="1" ht="12">
      <c r="A72" s="31">
        <f t="shared" si="0"/>
        <v>61</v>
      </c>
      <c r="B72" s="47" t="s">
        <v>77</v>
      </c>
      <c r="C72" s="48">
        <v>0</v>
      </c>
      <c r="D72" s="2"/>
      <c r="E72" s="2"/>
      <c r="F72" s="30"/>
      <c r="G72" s="2"/>
      <c r="H72" s="2"/>
      <c r="I72" s="2"/>
      <c r="J72" s="2"/>
      <c r="K72" s="2"/>
      <c r="L72" s="2"/>
      <c r="M72" s="2"/>
    </row>
    <row r="73" spans="1:13" s="4" customFormat="1" ht="12">
      <c r="A73" s="31">
        <f t="shared" si="0"/>
        <v>62</v>
      </c>
      <c r="B73" s="47" t="s">
        <v>78</v>
      </c>
      <c r="C73" s="48">
        <v>0</v>
      </c>
      <c r="D73" s="2"/>
      <c r="E73" s="2"/>
      <c r="F73" s="30"/>
      <c r="G73" s="2"/>
      <c r="H73" s="2"/>
      <c r="I73" s="2"/>
      <c r="J73" s="2"/>
      <c r="K73" s="2"/>
      <c r="L73" s="2"/>
      <c r="M73" s="2"/>
    </row>
    <row r="74" spans="1:13" s="4" customFormat="1" ht="12">
      <c r="A74" s="31">
        <f t="shared" si="0"/>
        <v>63</v>
      </c>
      <c r="B74" s="47" t="s">
        <v>79</v>
      </c>
      <c r="C74" s="48">
        <v>0</v>
      </c>
      <c r="D74" s="2"/>
      <c r="E74" s="2"/>
      <c r="F74" s="30"/>
      <c r="G74" s="2"/>
      <c r="H74" s="2"/>
      <c r="I74" s="2"/>
      <c r="J74" s="2"/>
      <c r="K74" s="2"/>
      <c r="L74" s="2"/>
      <c r="M74" s="2"/>
    </row>
    <row r="75" spans="1:13" s="4" customFormat="1" ht="12">
      <c r="A75" s="31">
        <f t="shared" si="0"/>
        <v>64</v>
      </c>
      <c r="B75" s="49" t="s">
        <v>80</v>
      </c>
      <c r="C75" s="48">
        <v>0</v>
      </c>
      <c r="D75" s="2"/>
      <c r="E75" s="2"/>
      <c r="F75" s="30"/>
      <c r="G75" s="2"/>
      <c r="H75" s="2"/>
      <c r="I75" s="2"/>
      <c r="J75" s="2"/>
      <c r="K75" s="2"/>
      <c r="L75" s="2"/>
      <c r="M75" s="2"/>
    </row>
    <row r="76" spans="1:13" s="4" customFormat="1" ht="12">
      <c r="A76" s="31">
        <f t="shared" si="0"/>
        <v>65</v>
      </c>
      <c r="B76" s="50" t="s">
        <v>81</v>
      </c>
      <c r="C76" s="48">
        <v>0</v>
      </c>
      <c r="D76" s="2"/>
      <c r="E76" s="2"/>
      <c r="F76" s="30"/>
      <c r="G76" s="2"/>
      <c r="H76" s="2"/>
      <c r="I76" s="2"/>
      <c r="J76" s="2"/>
      <c r="K76" s="2"/>
      <c r="L76" s="2"/>
      <c r="M76" s="2"/>
    </row>
    <row r="77" spans="1:13" s="4" customFormat="1" ht="12">
      <c r="A77" s="31">
        <f t="shared" si="0"/>
        <v>66</v>
      </c>
      <c r="B77" s="51" t="s">
        <v>82</v>
      </c>
      <c r="C77" s="52">
        <f>SUM(C66:C76)</f>
        <v>8729470.2100000009</v>
      </c>
      <c r="D77" s="34"/>
      <c r="E77" s="2"/>
      <c r="F77" s="30"/>
      <c r="G77" s="2"/>
      <c r="H77" s="2"/>
      <c r="I77" s="2"/>
      <c r="J77" s="2"/>
      <c r="K77" s="2"/>
      <c r="L77" s="2"/>
      <c r="M77" s="2"/>
    </row>
    <row r="78" spans="1:9" s="4" customFormat="1" ht="12">
      <c r="A78" s="28">
        <f>A77+1</f>
        <v>67</v>
      </c>
      <c r="B78" s="2"/>
      <c r="C78" s="2"/>
      <c r="D78" s="2"/>
      <c r="E78" s="2"/>
      <c r="F78" s="30"/>
      <c r="G78" s="2"/>
      <c r="H78" s="2"/>
      <c r="I78" s="2"/>
    </row>
    <row r="79" spans="1:9" s="4" customFormat="1" ht="12">
      <c r="A79" s="28">
        <f>A78+1</f>
        <v>68</v>
      </c>
      <c r="B79" s="36" t="s">
        <v>83</v>
      </c>
      <c r="C79" s="2"/>
      <c r="D79" s="2"/>
      <c r="E79" s="2"/>
      <c r="F79" s="30"/>
      <c r="G79" s="2"/>
      <c r="H79" s="2"/>
      <c r="I79" s="2"/>
    </row>
    <row r="80" spans="1:13" s="4" customFormat="1" ht="12">
      <c r="A80" s="2"/>
      <c r="B80" s="2"/>
      <c r="C80" s="2"/>
      <c r="D80" s="2"/>
      <c r="E80" s="2"/>
      <c r="F80" s="30"/>
      <c r="G80" s="2"/>
      <c r="H80" s="2"/>
      <c r="I80" s="2"/>
      <c r="J80" s="2"/>
      <c r="K80" s="2"/>
      <c r="L80" s="2"/>
      <c r="M80" s="2"/>
    </row>
    <row r="81" spans="1:13" s="4" customFormat="1" ht="12">
      <c r="A81" s="2"/>
      <c r="B81" s="2"/>
      <c r="C81" s="2"/>
      <c r="D81" s="2"/>
      <c r="E81" s="2"/>
      <c r="F81" s="30"/>
      <c r="G81" s="2"/>
      <c r="H81" s="2"/>
      <c r="I81" s="2"/>
      <c r="J81" s="2"/>
      <c r="K81" s="2"/>
      <c r="L81" s="2"/>
      <c r="M81" s="2"/>
    </row>
    <row r="82" spans="1:13" s="4" customFormat="1" ht="12">
      <c r="A82" s="2"/>
      <c r="B82" s="2"/>
      <c r="C82" s="2"/>
      <c r="D82" s="2"/>
      <c r="E82" s="2"/>
      <c r="F82" s="30"/>
      <c r="G82" s="2"/>
      <c r="H82" s="2"/>
      <c r="I82" s="2"/>
      <c r="J82" s="2"/>
      <c r="K82" s="2"/>
      <c r="L82" s="2"/>
      <c r="M82" s="2"/>
    </row>
    <row r="83" spans="1:13" s="4" customFormat="1" ht="12">
      <c r="A83" s="2"/>
      <c r="B83" s="1" t="s">
        <v>121</v>
      </c>
      <c r="C83" s="2"/>
      <c r="D83" s="2"/>
      <c r="E83" s="2"/>
      <c r="F83" s="30"/>
      <c r="G83" s="2"/>
      <c r="H83" s="2"/>
      <c r="I83" s="2"/>
      <c r="J83" s="2"/>
      <c r="K83" s="2"/>
      <c r="L83" s="2"/>
      <c r="M83" s="2"/>
    </row>
    <row r="84" spans="1:13" s="4" customFormat="1" ht="12">
      <c r="A84" s="2"/>
      <c r="B84" s="2"/>
      <c r="C84" s="34"/>
      <c r="D84" s="2"/>
      <c r="E84" s="2"/>
      <c r="F84" s="30"/>
      <c r="G84" s="2"/>
      <c r="H84" s="2"/>
      <c r="I84" s="2"/>
      <c r="J84" s="2"/>
      <c r="K84" s="2"/>
      <c r="L84" s="2"/>
      <c r="M84" s="2"/>
    </row>
    <row r="85" spans="1:13" s="4" customFormat="1" ht="12">
      <c r="A85" s="2"/>
      <c r="B85" s="4" t="s">
        <v>201</v>
      </c>
      <c r="C85" s="2"/>
      <c r="D85" s="2"/>
      <c r="E85" s="2"/>
      <c r="F85" s="30"/>
      <c r="G85" s="2"/>
      <c r="H85" s="2"/>
      <c r="I85" s="2"/>
      <c r="J85" s="2"/>
      <c r="K85" s="2"/>
      <c r="L85" s="2"/>
      <c r="M85" s="2"/>
    </row>
    <row r="86" spans="1:13" s="4" customFormat="1" ht="12">
      <c r="A86" s="2"/>
      <c r="B86" s="4" t="s">
        <v>202</v>
      </c>
      <c r="C86" s="2"/>
      <c r="D86" s="2"/>
      <c r="E86" s="2"/>
      <c r="F86" s="30"/>
      <c r="G86" s="2"/>
      <c r="H86" s="2"/>
      <c r="I86" s="2"/>
      <c r="J86" s="2"/>
      <c r="K86" s="2"/>
      <c r="L86" s="2"/>
      <c r="M86" s="2"/>
    </row>
    <row r="87" spans="1:13" s="4" customFormat="1" ht="12">
      <c r="A87" s="2"/>
      <c r="B87" s="4" t="s">
        <v>179</v>
      </c>
      <c r="C87" s="2"/>
      <c r="D87" s="2"/>
      <c r="E87" s="2"/>
      <c r="F87" s="30"/>
      <c r="G87" s="2"/>
      <c r="H87" s="2"/>
      <c r="I87" s="2"/>
      <c r="J87" s="2"/>
      <c r="K87" s="2"/>
      <c r="L87" s="2"/>
      <c r="M87" s="2"/>
    </row>
    <row r="88" spans="1:13" s="4" customFormat="1" ht="12">
      <c r="A88" s="2"/>
      <c r="B88" s="4" t="s">
        <v>195</v>
      </c>
      <c r="C88" s="2"/>
      <c r="D88" s="2"/>
      <c r="E88" s="2"/>
      <c r="F88" s="30"/>
      <c r="G88" s="2"/>
      <c r="H88" s="2"/>
      <c r="I88" s="2"/>
      <c r="J88" s="2"/>
      <c r="K88" s="2"/>
      <c r="L88" s="2"/>
      <c r="M88" s="2"/>
    </row>
    <row r="89" spans="1:13" s="4" customFormat="1" ht="12">
      <c r="A89" s="2"/>
      <c r="B89" s="4" t="s">
        <v>71</v>
      </c>
      <c r="C89" s="2"/>
      <c r="D89" s="2"/>
      <c r="E89" s="2"/>
      <c r="F89" s="30"/>
      <c r="G89" s="2"/>
      <c r="H89" s="2"/>
      <c r="I89" s="2"/>
      <c r="J89" s="2"/>
      <c r="K89" s="2"/>
      <c r="L89" s="2"/>
      <c r="M89" s="2"/>
    </row>
    <row r="90" spans="1:13" s="4" customFormat="1" ht="12">
      <c r="A90" s="2"/>
      <c r="B90" s="4" t="s">
        <v>203</v>
      </c>
      <c r="C90" s="2"/>
      <c r="D90" s="2"/>
      <c r="E90" s="2"/>
      <c r="F90" s="30"/>
      <c r="G90" s="2"/>
      <c r="H90" s="2"/>
      <c r="I90" s="2"/>
      <c r="J90" s="2"/>
      <c r="K90" s="2"/>
      <c r="L90" s="2"/>
      <c r="M90" s="2"/>
    </row>
    <row r="91" spans="1:13" s="4" customFormat="1" ht="12">
      <c r="A91" s="2"/>
      <c r="B91" s="2"/>
      <c r="C91" s="2"/>
      <c r="D91" s="2"/>
      <c r="E91" s="2"/>
      <c r="F91" s="30"/>
      <c r="G91" s="2"/>
      <c r="H91" s="2"/>
      <c r="I91" s="2"/>
      <c r="J91" s="2"/>
      <c r="K91" s="2"/>
      <c r="L91" s="2"/>
      <c r="M91" s="2"/>
    </row>
    <row r="92" spans="1:13" s="4" customFormat="1" ht="12">
      <c r="A92" s="2"/>
      <c r="B92" s="2"/>
      <c r="C92" s="2"/>
      <c r="D92" s="2"/>
      <c r="E92" s="2"/>
      <c r="F92" s="30"/>
      <c r="G92" s="2"/>
      <c r="H92" s="2"/>
      <c r="I92" s="2"/>
      <c r="J92" s="2"/>
      <c r="K92" s="2"/>
      <c r="L92" s="2"/>
      <c r="M92" s="2"/>
    </row>
    <row r="93" spans="1:28" s="4" customFormat="1" ht="12">
      <c r="A93" s="2"/>
      <c r="B93" s="255" t="s">
        <v>164</v>
      </c>
      <c r="C93" s="256"/>
      <c r="D93" s="256"/>
      <c r="E93" s="257"/>
      <c r="F93" s="256" t="s">
        <v>165</v>
      </c>
      <c r="G93" s="256"/>
      <c r="H93" s="256"/>
      <c r="I93" s="256"/>
      <c r="J93" s="257"/>
      <c r="K93" s="257"/>
      <c r="L93" s="257"/>
      <c r="M93" s="256" t="s">
        <v>8</v>
      </c>
      <c r="N93" s="257"/>
      <c r="O93" s="257"/>
      <c r="P93" s="256"/>
      <c r="Q93" s="54"/>
      <c r="R93" s="54"/>
      <c r="S93" s="54"/>
      <c r="T93" s="54"/>
      <c r="U93" s="54"/>
      <c r="V93" s="54"/>
      <c r="W93" s="54"/>
      <c r="X93" s="54"/>
      <c r="Y93" s="54"/>
      <c r="Z93" s="54"/>
      <c r="AA93" s="54"/>
      <c r="AB93" s="54"/>
    </row>
    <row r="94" spans="1:28" s="4" customFormat="1" ht="12">
      <c r="A94" s="2"/>
      <c r="B94" s="258"/>
      <c r="C94" s="256" t="s">
        <v>167</v>
      </c>
      <c r="D94" s="256"/>
      <c r="E94" s="257"/>
      <c r="F94" s="256" t="s">
        <v>168</v>
      </c>
      <c r="G94" s="256" t="s">
        <v>169</v>
      </c>
      <c r="H94" s="256" t="s">
        <v>167</v>
      </c>
      <c r="I94" s="256" t="s">
        <v>167</v>
      </c>
      <c r="J94" s="257"/>
      <c r="K94" s="257"/>
      <c r="L94" s="257"/>
      <c r="M94" s="256" t="s">
        <v>190</v>
      </c>
      <c r="N94" s="256" t="s">
        <v>167</v>
      </c>
      <c r="O94" s="256" t="s">
        <v>167</v>
      </c>
      <c r="P94" s="256"/>
      <c r="Q94" s="54"/>
      <c r="R94" s="54"/>
      <c r="S94" s="54"/>
      <c r="T94" s="54"/>
      <c r="U94" s="54"/>
      <c r="V94" s="54"/>
      <c r="W94" s="54"/>
      <c r="X94" s="54"/>
      <c r="Y94" s="54"/>
      <c r="Z94" s="54"/>
      <c r="AA94" s="54"/>
      <c r="AB94" s="54"/>
    </row>
    <row r="95" spans="1:28" s="4" customFormat="1" ht="12">
      <c r="A95" s="2"/>
      <c r="B95" s="255" t="s">
        <v>170</v>
      </c>
      <c r="C95" s="256" t="s">
        <v>10</v>
      </c>
      <c r="D95" s="256" t="s">
        <v>205</v>
      </c>
      <c r="E95" s="256" t="s">
        <v>173</v>
      </c>
      <c r="F95" s="256" t="s">
        <v>174</v>
      </c>
      <c r="G95" s="256" t="s">
        <v>175</v>
      </c>
      <c r="H95" s="256" t="s">
        <v>172</v>
      </c>
      <c r="I95" s="256" t="s">
        <v>10</v>
      </c>
      <c r="J95" s="256" t="s">
        <v>173</v>
      </c>
      <c r="K95" s="256" t="s">
        <v>173</v>
      </c>
      <c r="L95" s="256"/>
      <c r="M95" s="256" t="s">
        <v>191</v>
      </c>
      <c r="N95" s="256" t="s">
        <v>172</v>
      </c>
      <c r="O95" s="256" t="s">
        <v>10</v>
      </c>
      <c r="P95" s="256" t="s">
        <v>173</v>
      </c>
      <c r="Q95" s="256" t="s">
        <v>173</v>
      </c>
      <c r="R95" s="54"/>
      <c r="S95" s="54"/>
      <c r="T95" s="54"/>
      <c r="U95" s="54"/>
      <c r="V95" s="54"/>
      <c r="W95" s="54"/>
      <c r="X95" s="54"/>
      <c r="Y95" s="54"/>
      <c r="Z95" s="54"/>
      <c r="AA95" s="54"/>
      <c r="AB95" s="54"/>
    </row>
    <row r="96" spans="1:28" s="4" customFormat="1" ht="12">
      <c r="A96" s="2"/>
      <c r="B96" s="258"/>
      <c r="C96" s="259" t="s">
        <v>177</v>
      </c>
      <c r="D96" s="259" t="s">
        <v>179</v>
      </c>
      <c r="E96" s="259" t="s">
        <v>179</v>
      </c>
      <c r="F96" s="259" t="s">
        <v>180</v>
      </c>
      <c r="G96" s="259" t="s">
        <v>181</v>
      </c>
      <c r="H96" s="260" t="s">
        <v>105</v>
      </c>
      <c r="I96" s="259" t="s">
        <v>177</v>
      </c>
      <c r="J96" s="259" t="s">
        <v>182</v>
      </c>
      <c r="K96" s="259" t="s">
        <v>183</v>
      </c>
      <c r="L96" s="259"/>
      <c r="M96" s="259" t="s">
        <v>180</v>
      </c>
      <c r="N96" s="259" t="s">
        <v>105</v>
      </c>
      <c r="O96" s="259" t="s">
        <v>177</v>
      </c>
      <c r="P96" s="259" t="s">
        <v>206</v>
      </c>
      <c r="Q96" s="259" t="s">
        <v>190</v>
      </c>
      <c r="R96" s="54"/>
      <c r="S96" s="54"/>
      <c r="T96" s="54"/>
      <c r="U96" s="54"/>
      <c r="V96" s="54"/>
      <c r="W96" s="54"/>
      <c r="X96" s="54"/>
      <c r="Y96" s="54"/>
      <c r="Z96" s="54"/>
      <c r="AA96" s="54"/>
      <c r="AB96" s="54"/>
    </row>
    <row r="97" spans="1:28" s="4" customFormat="1" ht="12">
      <c r="A97" s="2"/>
      <c r="B97" s="258"/>
      <c r="C97" s="257"/>
      <c r="D97" s="257"/>
      <c r="E97" s="257"/>
      <c r="F97" s="257"/>
      <c r="G97" s="257"/>
      <c r="H97" s="257"/>
      <c r="I97" s="257"/>
      <c r="J97" s="257"/>
      <c r="K97" s="257"/>
      <c r="L97" s="257"/>
      <c r="M97" s="257"/>
      <c r="N97" s="257"/>
      <c r="O97" s="257"/>
      <c r="P97" s="257"/>
      <c r="Q97" s="54"/>
      <c r="R97" s="54"/>
      <c r="S97" s="54"/>
      <c r="T97" s="54"/>
      <c r="U97" s="54"/>
      <c r="V97" s="54"/>
      <c r="W97" s="54"/>
      <c r="X97" s="54"/>
      <c r="Y97" s="54"/>
      <c r="Z97" s="54"/>
      <c r="AA97" s="54"/>
      <c r="AB97" s="54"/>
    </row>
    <row r="98" spans="1:28" s="4" customFormat="1" ht="12">
      <c r="A98" s="2"/>
      <c r="B98" s="258" t="s">
        <v>184</v>
      </c>
      <c r="C98" s="263" t="e">
        <f>(#REF!+#REF!)</f>
        <v>#REF!</v>
      </c>
      <c r="D98" s="263"/>
      <c r="E98" s="263" t="e">
        <f>#REF!*C98</f>
        <v>#REF!</v>
      </c>
      <c r="F98" s="265">
        <v>0</v>
      </c>
      <c r="G98" s="261">
        <f>328774+412246</f>
        <v>741020</v>
      </c>
      <c r="H98" s="262">
        <v>0</v>
      </c>
      <c r="I98" s="263">
        <f>(H98+G98)</f>
        <v>741020</v>
      </c>
      <c r="J98" s="264">
        <v>0.46460000000000001</v>
      </c>
      <c r="K98" s="263">
        <f>J98*I98</f>
        <v>344277.89199999999</v>
      </c>
      <c r="L98" s="263"/>
      <c r="M98" s="262">
        <f>348752-308795</f>
        <v>39957</v>
      </c>
      <c r="N98" s="262">
        <v>0</v>
      </c>
      <c r="O98" s="266">
        <f>(N98+M98)</f>
        <v>39957</v>
      </c>
      <c r="P98" s="264">
        <f>+J98</f>
        <v>0.46460000000000001</v>
      </c>
      <c r="Q98" s="262">
        <f>P98*M98</f>
        <v>18564.022199999999</v>
      </c>
      <c r="R98" s="54"/>
      <c r="S98" s="54"/>
      <c r="T98" s="54"/>
      <c r="U98" s="54"/>
      <c r="V98" s="54"/>
      <c r="W98" s="54"/>
      <c r="X98" s="54"/>
      <c r="Y98" s="54"/>
      <c r="Z98" s="54"/>
      <c r="AA98" s="54"/>
      <c r="AB98" s="54"/>
    </row>
    <row r="99" spans="1:28" s="4" customFormat="1" ht="12">
      <c r="A99" s="2"/>
      <c r="B99" s="258" t="s">
        <v>207</v>
      </c>
      <c r="C99" s="267" t="e">
        <f>(#REF!+#REF!)</f>
        <v>#REF!</v>
      </c>
      <c r="D99" s="267"/>
      <c r="E99" s="263"/>
      <c r="F99" s="265">
        <v>0</v>
      </c>
      <c r="G99" s="261">
        <f>72519+584360</f>
        <v>656879</v>
      </c>
      <c r="H99" s="263">
        <v>0</v>
      </c>
      <c r="I99" s="267">
        <f>(H99+G99)</f>
        <v>656879</v>
      </c>
      <c r="J99" s="264"/>
      <c r="K99" s="267"/>
      <c r="L99" s="267"/>
      <c r="M99" s="266"/>
      <c r="N99" s="267"/>
      <c r="O99" s="267"/>
      <c r="P99" s="264"/>
      <c r="Q99" s="54"/>
      <c r="R99" s="54"/>
      <c r="S99" s="54"/>
      <c r="T99" s="54"/>
      <c r="U99" s="54"/>
      <c r="V99" s="54"/>
      <c r="W99" s="54"/>
      <c r="X99" s="54"/>
      <c r="Y99" s="54"/>
      <c r="Z99" s="54"/>
      <c r="AA99" s="54"/>
      <c r="AB99" s="54"/>
    </row>
    <row r="100" spans="1:28" s="4" customFormat="1" ht="12">
      <c r="A100" s="2"/>
      <c r="B100" s="258" t="s">
        <v>186</v>
      </c>
      <c r="C100" s="267" t="e">
        <f>(#REF!+#REF!)</f>
        <v>#REF!</v>
      </c>
      <c r="D100" s="267"/>
      <c r="E100" s="263"/>
      <c r="F100" s="265">
        <v>0</v>
      </c>
      <c r="G100" s="261">
        <f>1209254+48524</f>
        <v>1257778</v>
      </c>
      <c r="H100" s="267">
        <v>0</v>
      </c>
      <c r="I100" s="267">
        <f>(H100+G100)</f>
        <v>1257778</v>
      </c>
      <c r="J100" s="264"/>
      <c r="K100" s="267"/>
      <c r="L100" s="267"/>
      <c r="M100" s="266"/>
      <c r="N100" s="267"/>
      <c r="O100" s="267"/>
      <c r="P100" s="264"/>
      <c r="Q100" s="54"/>
      <c r="R100" s="54"/>
      <c r="S100" s="54"/>
      <c r="T100" s="54"/>
      <c r="U100" s="54"/>
      <c r="V100" s="54"/>
      <c r="W100" s="54"/>
      <c r="X100" s="54"/>
      <c r="Y100" s="54"/>
      <c r="Z100" s="54"/>
      <c r="AA100" s="54"/>
      <c r="AB100" s="54"/>
    </row>
    <row r="101" spans="1:28" s="4" customFormat="1" ht="12">
      <c r="A101" s="2"/>
      <c r="B101" s="258" t="s">
        <v>208</v>
      </c>
      <c r="C101" s="267" t="e">
        <f>(#REF!+#REF!)</f>
        <v>#REF!</v>
      </c>
      <c r="D101" s="267"/>
      <c r="E101" s="263"/>
      <c r="F101" s="268">
        <v>0</v>
      </c>
      <c r="G101" s="261">
        <f>1877298-741586</f>
        <v>1135712</v>
      </c>
      <c r="H101" s="267">
        <f>(N101/2)</f>
        <v>0</v>
      </c>
      <c r="I101" s="267">
        <f>(H101+G101)</f>
        <v>1135712</v>
      </c>
      <c r="J101" s="264"/>
      <c r="K101" s="267"/>
      <c r="L101" s="267"/>
      <c r="M101" s="266"/>
      <c r="N101" s="267"/>
      <c r="O101" s="267"/>
      <c r="P101" s="264"/>
      <c r="Q101" s="54"/>
      <c r="R101" s="54"/>
      <c r="S101" s="54"/>
      <c r="T101" s="54"/>
      <c r="U101" s="54"/>
      <c r="V101" s="54"/>
      <c r="W101" s="54"/>
      <c r="X101" s="54"/>
      <c r="Y101" s="54"/>
      <c r="Z101" s="54"/>
      <c r="AA101" s="54"/>
      <c r="AB101" s="54"/>
    </row>
    <row r="102" spans="1:28" s="4" customFormat="1" ht="12">
      <c r="A102" s="2"/>
      <c r="B102" s="258" t="s">
        <v>209</v>
      </c>
      <c r="C102" s="267" t="e">
        <f>(#REF!+#REF!)</f>
        <v>#REF!</v>
      </c>
      <c r="D102" s="269"/>
      <c r="E102" s="271"/>
      <c r="F102" s="272">
        <v>0</v>
      </c>
      <c r="G102" s="273">
        <f>190596-166069</f>
        <v>24527</v>
      </c>
      <c r="H102" s="269">
        <f>(N102/2)</f>
        <v>0</v>
      </c>
      <c r="I102" s="269">
        <f>(H102+G102)</f>
        <v>24527</v>
      </c>
      <c r="J102" s="270"/>
      <c r="K102" s="269"/>
      <c r="L102" s="267"/>
      <c r="M102" s="274"/>
      <c r="N102" s="269"/>
      <c r="O102" s="269"/>
      <c r="P102" s="270"/>
      <c r="Q102" s="275"/>
      <c r="R102" s="54"/>
      <c r="S102" s="54"/>
      <c r="T102" s="54"/>
      <c r="U102" s="54"/>
      <c r="V102" s="54"/>
      <c r="W102" s="54"/>
      <c r="X102" s="54"/>
      <c r="Y102" s="54"/>
      <c r="Z102" s="54"/>
      <c r="AA102" s="54"/>
      <c r="AB102" s="54"/>
    </row>
    <row r="103" spans="1:28" s="4" customFormat="1" ht="12">
      <c r="A103" s="2"/>
      <c r="B103" s="258"/>
      <c r="C103" s="276"/>
      <c r="D103" s="257"/>
      <c r="E103" s="263"/>
      <c r="F103" s="257"/>
      <c r="G103" s="257"/>
      <c r="H103" s="257"/>
      <c r="I103" s="257"/>
      <c r="J103" s="264"/>
      <c r="K103" s="257"/>
      <c r="L103" s="257"/>
      <c r="M103" s="257"/>
      <c r="N103" s="257"/>
      <c r="O103" s="257"/>
      <c r="P103" s="264"/>
      <c r="Q103" s="54"/>
      <c r="R103" s="54"/>
      <c r="S103" s="54"/>
      <c r="T103" s="54"/>
      <c r="U103" s="54"/>
      <c r="V103" s="54"/>
      <c r="W103" s="54"/>
      <c r="X103" s="54"/>
      <c r="Y103" s="54"/>
      <c r="Z103" s="54"/>
      <c r="AA103" s="54"/>
      <c r="AB103" s="54"/>
    </row>
    <row r="104" spans="1:28" s="4" customFormat="1" ht="12.75" thickBot="1">
      <c r="A104" s="2"/>
      <c r="B104" s="258" t="s">
        <v>71</v>
      </c>
      <c r="C104" s="277" t="e">
        <f>#REF!+#REF!</f>
        <v>#REF!</v>
      </c>
      <c r="D104" s="277">
        <v>104346</v>
      </c>
      <c r="E104" s="277" t="e">
        <f>SUM(E98:E102)</f>
        <v>#REF!</v>
      </c>
      <c r="F104" s="279"/>
      <c r="G104" s="277">
        <f>SUM(G98:G102)</f>
        <v>3815916</v>
      </c>
      <c r="H104" s="277">
        <v>-8642</v>
      </c>
      <c r="I104" s="277">
        <f>G104+H104</f>
        <v>3807274</v>
      </c>
      <c r="J104" s="278"/>
      <c r="K104" s="277">
        <f>SUM(K98:K102)</f>
        <v>344277.89199999999</v>
      </c>
      <c r="L104" s="263"/>
      <c r="M104" s="277">
        <f>SUM(M98:M102)</f>
        <v>39957</v>
      </c>
      <c r="N104" s="277">
        <f>SUM(N98:N102)</f>
        <v>0</v>
      </c>
      <c r="O104" s="277">
        <f>SUM(O98:O102)</f>
        <v>39957</v>
      </c>
      <c r="P104" s="278"/>
      <c r="Q104" s="277">
        <f>SUM(Q98:Q102)</f>
        <v>18564.022199999999</v>
      </c>
      <c r="R104" s="54"/>
      <c r="S104" s="54"/>
      <c r="T104" s="54"/>
      <c r="U104" s="54"/>
      <c r="V104" s="54"/>
      <c r="W104" s="54"/>
      <c r="X104" s="54"/>
      <c r="Y104" s="54"/>
      <c r="Z104" s="54"/>
      <c r="AA104" s="54"/>
      <c r="AB104" s="54"/>
    </row>
    <row r="105" spans="1:28" s="4" customFormat="1" ht="12.75" thickTop="1">
      <c r="A105" s="2"/>
      <c r="B105" s="2"/>
      <c r="C105" s="2"/>
      <c r="D105" s="2"/>
      <c r="E105" s="2"/>
      <c r="F105" s="30"/>
      <c r="G105" s="2"/>
      <c r="H105" s="2"/>
      <c r="I105" s="2"/>
      <c r="J105" s="2"/>
      <c r="K105" s="2"/>
      <c r="L105" s="2"/>
      <c r="M105" s="2"/>
      <c r="N105" s="54"/>
      <c r="O105" s="54"/>
      <c r="P105" s="54"/>
      <c r="Q105" s="54"/>
      <c r="R105" s="54"/>
      <c r="S105" s="54"/>
      <c r="T105" s="54"/>
      <c r="U105" s="54"/>
      <c r="V105" s="54"/>
      <c r="W105" s="54"/>
      <c r="X105" s="54"/>
      <c r="Y105" s="54"/>
      <c r="Z105" s="54"/>
      <c r="AA105" s="54"/>
      <c r="AB105" s="54"/>
    </row>
    <row r="106" spans="1:13" s="4" customFormat="1" ht="12">
      <c r="A106" s="2"/>
      <c r="B106" s="2"/>
      <c r="C106" s="2"/>
      <c r="D106" s="2"/>
      <c r="E106" s="2"/>
      <c r="F106" s="30"/>
      <c r="G106" s="2"/>
      <c r="H106" s="2"/>
      <c r="I106" s="2"/>
      <c r="J106" s="2"/>
      <c r="K106" s="2"/>
      <c r="L106" s="2"/>
      <c r="M106" s="2"/>
    </row>
    <row r="107" spans="1:13" s="4" customFormat="1" ht="12">
      <c r="A107" s="2"/>
      <c r="B107" s="2"/>
      <c r="C107" s="2"/>
      <c r="D107" s="2"/>
      <c r="E107" s="2"/>
      <c r="F107" s="30"/>
      <c r="G107" s="2"/>
      <c r="H107" s="2"/>
      <c r="I107" s="2"/>
      <c r="J107" s="2"/>
      <c r="K107" s="2"/>
      <c r="L107" s="2"/>
      <c r="M107" s="2"/>
    </row>
    <row r="108" spans="1:13" s="4" customFormat="1" ht="12">
      <c r="A108" s="2"/>
      <c r="B108" s="2"/>
      <c r="C108" s="2"/>
      <c r="D108" s="2"/>
      <c r="E108" s="2"/>
      <c r="F108" s="30"/>
      <c r="G108" s="2"/>
      <c r="H108" s="2"/>
      <c r="I108" s="2"/>
      <c r="J108" s="2"/>
      <c r="K108" s="2"/>
      <c r="L108" s="2"/>
      <c r="M108" s="2"/>
    </row>
    <row r="109" spans="1:13" s="4" customFormat="1" ht="12">
      <c r="A109" s="2"/>
      <c r="B109" s="2"/>
      <c r="C109" s="2"/>
      <c r="D109" s="2"/>
      <c r="E109" s="2"/>
      <c r="F109" s="30"/>
      <c r="G109" s="2"/>
      <c r="H109" s="2"/>
      <c r="I109" s="2"/>
      <c r="J109" s="2"/>
      <c r="K109" s="2"/>
      <c r="L109" s="2"/>
      <c r="M109" s="2"/>
    </row>
    <row r="110" spans="1:13" s="4" customFormat="1" ht="12">
      <c r="A110" s="2"/>
      <c r="B110" s="2"/>
      <c r="C110" s="2"/>
      <c r="D110" s="2"/>
      <c r="E110" s="2"/>
      <c r="F110" s="30"/>
      <c r="G110" s="2"/>
      <c r="H110" s="2"/>
      <c r="I110" s="2"/>
      <c r="J110" s="2"/>
      <c r="K110" s="2"/>
      <c r="L110" s="2"/>
      <c r="M110" s="2"/>
    </row>
    <row r="111" spans="1:13" s="4" customFormat="1" ht="12">
      <c r="A111" s="2"/>
      <c r="B111" s="2"/>
      <c r="C111" s="2"/>
      <c r="D111" s="2"/>
      <c r="E111" s="2"/>
      <c r="F111" s="30"/>
      <c r="G111" s="2"/>
      <c r="H111" s="2"/>
      <c r="I111" s="2"/>
      <c r="J111" s="2"/>
      <c r="K111" s="2"/>
      <c r="L111" s="2"/>
      <c r="M111" s="2"/>
    </row>
    <row r="112" spans="1:13" s="4" customFormat="1" ht="12">
      <c r="A112" s="2"/>
      <c r="B112" s="2"/>
      <c r="C112" s="2"/>
      <c r="D112" s="2"/>
      <c r="E112" s="2"/>
      <c r="F112" s="30"/>
      <c r="G112" s="2"/>
      <c r="H112" s="2"/>
      <c r="I112" s="2"/>
      <c r="J112" s="2"/>
      <c r="K112" s="2"/>
      <c r="L112" s="2"/>
      <c r="M112" s="2"/>
    </row>
    <row r="113" spans="1:13" s="4" customFormat="1" ht="12">
      <c r="A113" s="2"/>
      <c r="B113" s="2"/>
      <c r="C113" s="2"/>
      <c r="D113" s="2"/>
      <c r="E113" s="2"/>
      <c r="F113" s="30"/>
      <c r="G113" s="2"/>
      <c r="H113" s="2"/>
      <c r="I113" s="2"/>
      <c r="J113" s="2"/>
      <c r="K113" s="2"/>
      <c r="L113" s="2"/>
      <c r="M113" s="2"/>
    </row>
    <row r="114" spans="1:13" s="4" customFormat="1" ht="12">
      <c r="A114" s="2"/>
      <c r="B114" s="2"/>
      <c r="C114" s="2"/>
      <c r="D114" s="2"/>
      <c r="E114" s="2"/>
      <c r="F114" s="30"/>
      <c r="G114" s="2"/>
      <c r="H114" s="2"/>
      <c r="I114" s="2"/>
      <c r="J114" s="2"/>
      <c r="K114" s="2"/>
      <c r="L114" s="2"/>
      <c r="M114" s="2"/>
    </row>
    <row r="115" spans="1:13" s="4" customFormat="1" ht="12">
      <c r="A115" s="2"/>
      <c r="B115" s="2"/>
      <c r="C115" s="2"/>
      <c r="D115" s="2"/>
      <c r="E115" s="2"/>
      <c r="F115" s="30"/>
      <c r="G115" s="2"/>
      <c r="H115" s="2"/>
      <c r="I115" s="2"/>
      <c r="J115" s="2"/>
      <c r="K115" s="2"/>
      <c r="L115" s="2"/>
      <c r="M115" s="2"/>
    </row>
    <row r="116" spans="1:13" s="4" customFormat="1" ht="12">
      <c r="A116" s="2"/>
      <c r="B116" s="2"/>
      <c r="C116" s="2"/>
      <c r="D116" s="2"/>
      <c r="E116" s="2"/>
      <c r="F116" s="30"/>
      <c r="G116" s="2"/>
      <c r="H116" s="2"/>
      <c r="I116" s="2"/>
      <c r="J116" s="2"/>
      <c r="K116" s="2"/>
      <c r="L116" s="2"/>
      <c r="M116" s="2"/>
    </row>
    <row r="117" spans="1:13" s="4" customFormat="1" ht="12">
      <c r="A117" s="2"/>
      <c r="B117" s="2"/>
      <c r="C117" s="2"/>
      <c r="D117" s="2"/>
      <c r="E117" s="2"/>
      <c r="F117" s="30"/>
      <c r="G117" s="2"/>
      <c r="H117" s="2"/>
      <c r="I117" s="2"/>
      <c r="J117" s="2"/>
      <c r="K117" s="2"/>
      <c r="L117" s="2"/>
      <c r="M117" s="2"/>
    </row>
    <row r="118" spans="1:13" s="4" customFormat="1" ht="12">
      <c r="A118" s="2"/>
      <c r="B118" s="2"/>
      <c r="C118" s="2"/>
      <c r="D118" s="2"/>
      <c r="E118" s="2"/>
      <c r="F118" s="30"/>
      <c r="G118" s="2"/>
      <c r="H118" s="2"/>
      <c r="I118" s="2"/>
      <c r="J118" s="2"/>
      <c r="K118" s="2"/>
      <c r="L118" s="2"/>
      <c r="M118" s="2"/>
    </row>
    <row r="119" spans="1:13" s="4" customFormat="1" ht="12">
      <c r="A119" s="2"/>
      <c r="B119" s="2"/>
      <c r="C119" s="2"/>
      <c r="D119" s="2"/>
      <c r="E119" s="2"/>
      <c r="F119" s="30"/>
      <c r="G119" s="2"/>
      <c r="H119" s="2"/>
      <c r="I119" s="2"/>
      <c r="J119" s="2"/>
      <c r="K119" s="2"/>
      <c r="L119" s="2"/>
      <c r="M119" s="2"/>
    </row>
    <row r="120" spans="1:13" s="4" customFormat="1" ht="12">
      <c r="A120" s="2"/>
      <c r="B120" s="2"/>
      <c r="C120" s="2"/>
      <c r="D120" s="2"/>
      <c r="E120" s="2"/>
      <c r="F120" s="30"/>
      <c r="G120" s="2"/>
      <c r="H120" s="2"/>
      <c r="I120" s="2"/>
      <c r="J120" s="2"/>
      <c r="K120" s="2"/>
      <c r="L120" s="2"/>
      <c r="M120" s="2"/>
    </row>
    <row r="121" spans="1:13" s="4" customFormat="1" ht="12">
      <c r="A121" s="2"/>
      <c r="B121" s="2"/>
      <c r="C121" s="2"/>
      <c r="D121" s="2"/>
      <c r="E121" s="2"/>
      <c r="F121" s="30"/>
      <c r="G121" s="2"/>
      <c r="H121" s="2"/>
      <c r="I121" s="2"/>
      <c r="J121" s="2"/>
      <c r="K121" s="2"/>
      <c r="L121" s="2"/>
      <c r="M121" s="2"/>
    </row>
    <row r="122" spans="1:13" s="4" customFormat="1" ht="12">
      <c r="A122" s="2"/>
      <c r="B122" s="2"/>
      <c r="C122" s="2"/>
      <c r="D122" s="2"/>
      <c r="E122" s="2"/>
      <c r="F122" s="30"/>
      <c r="G122" s="2"/>
      <c r="H122" s="2"/>
      <c r="I122" s="2"/>
      <c r="J122" s="2"/>
      <c r="K122" s="2"/>
      <c r="L122" s="2"/>
      <c r="M122" s="2"/>
    </row>
    <row r="123" spans="1:13" s="4" customFormat="1" ht="12">
      <c r="A123" s="2"/>
      <c r="B123" s="2"/>
      <c r="C123" s="2"/>
      <c r="D123" s="2"/>
      <c r="E123" s="2"/>
      <c r="F123" s="30"/>
      <c r="G123" s="2"/>
      <c r="H123" s="2"/>
      <c r="I123" s="2"/>
      <c r="J123" s="2"/>
      <c r="K123" s="2"/>
      <c r="L123" s="2"/>
      <c r="M123" s="2"/>
    </row>
    <row r="124" spans="1:13" s="4" customFormat="1" ht="12">
      <c r="A124" s="2"/>
      <c r="B124" s="2"/>
      <c r="C124" s="2"/>
      <c r="D124" s="2"/>
      <c r="E124" s="2"/>
      <c r="F124" s="30"/>
      <c r="G124" s="2"/>
      <c r="H124" s="2"/>
      <c r="I124" s="2"/>
      <c r="J124" s="2"/>
      <c r="K124" s="2"/>
      <c r="L124" s="2"/>
      <c r="M124" s="2"/>
    </row>
    <row r="125" spans="1:13" s="4" customFormat="1" ht="12">
      <c r="A125" s="2"/>
      <c r="B125" s="2"/>
      <c r="C125" s="2"/>
      <c r="D125" s="2"/>
      <c r="E125" s="2"/>
      <c r="F125" s="30"/>
      <c r="G125" s="2"/>
      <c r="H125" s="2"/>
      <c r="I125" s="2"/>
      <c r="J125" s="2"/>
      <c r="K125" s="2"/>
      <c r="L125" s="2"/>
      <c r="M125" s="2"/>
    </row>
    <row r="126" spans="1:13" s="4" customFormat="1" ht="12">
      <c r="A126" s="2"/>
      <c r="B126" s="2"/>
      <c r="C126" s="2"/>
      <c r="D126" s="2"/>
      <c r="E126" s="2"/>
      <c r="F126" s="30"/>
      <c r="G126" s="2"/>
      <c r="H126" s="2"/>
      <c r="I126" s="2"/>
      <c r="J126" s="2"/>
      <c r="K126" s="2"/>
      <c r="L126" s="2"/>
      <c r="M126" s="2"/>
    </row>
    <row r="127" spans="1:13" s="4" customFormat="1" ht="12">
      <c r="A127" s="2"/>
      <c r="B127" s="2"/>
      <c r="C127" s="2"/>
      <c r="D127" s="2"/>
      <c r="E127" s="2"/>
      <c r="F127" s="30"/>
      <c r="G127" s="2"/>
      <c r="H127" s="2"/>
      <c r="I127" s="2"/>
      <c r="J127" s="2"/>
      <c r="K127" s="2"/>
      <c r="L127" s="2"/>
      <c r="M127" s="2"/>
    </row>
    <row r="128" spans="1:13" s="4" customFormat="1" ht="12">
      <c r="A128" s="2"/>
      <c r="B128" s="2"/>
      <c r="C128" s="2"/>
      <c r="D128" s="2"/>
      <c r="E128" s="2"/>
      <c r="F128" s="30"/>
      <c r="G128" s="2"/>
      <c r="H128" s="2"/>
      <c r="I128" s="2"/>
      <c r="J128" s="2"/>
      <c r="K128" s="2"/>
      <c r="L128" s="2"/>
      <c r="M128" s="2"/>
    </row>
    <row r="129" spans="1:13" s="4" customFormat="1" ht="12">
      <c r="A129" s="2"/>
      <c r="B129" s="2"/>
      <c r="C129" s="2"/>
      <c r="D129" s="2"/>
      <c r="E129" s="2"/>
      <c r="F129" s="30"/>
      <c r="G129" s="2"/>
      <c r="H129" s="2"/>
      <c r="I129" s="2"/>
      <c r="J129" s="2"/>
      <c r="K129" s="2"/>
      <c r="L129" s="2"/>
      <c r="M129" s="2"/>
    </row>
    <row r="130" spans="1:13" s="4" customFormat="1" ht="12">
      <c r="A130" s="2"/>
      <c r="B130" s="2"/>
      <c r="C130" s="2"/>
      <c r="D130" s="2"/>
      <c r="E130" s="2"/>
      <c r="F130" s="30"/>
      <c r="G130" s="2"/>
      <c r="H130" s="2"/>
      <c r="I130" s="2"/>
      <c r="J130" s="2"/>
      <c r="K130" s="2"/>
      <c r="L130" s="2"/>
      <c r="M130" s="2"/>
    </row>
    <row r="131" spans="1:13" s="4" customFormat="1" ht="12">
      <c r="A131" s="2"/>
      <c r="B131" s="2"/>
      <c r="C131" s="2"/>
      <c r="D131" s="2"/>
      <c r="E131" s="2"/>
      <c r="F131" s="30"/>
      <c r="G131" s="2"/>
      <c r="H131" s="2"/>
      <c r="I131" s="2"/>
      <c r="J131" s="2"/>
      <c r="K131" s="2"/>
      <c r="L131" s="2"/>
      <c r="M131" s="2"/>
    </row>
    <row r="132" spans="1:13" s="4" customFormat="1" ht="12">
      <c r="A132" s="2"/>
      <c r="B132" s="2"/>
      <c r="C132" s="2"/>
      <c r="D132" s="2"/>
      <c r="E132" s="2"/>
      <c r="F132" s="30"/>
      <c r="G132" s="2"/>
      <c r="H132" s="2"/>
      <c r="I132" s="2"/>
      <c r="J132" s="2"/>
      <c r="K132" s="2"/>
      <c r="L132" s="2"/>
      <c r="M132" s="2"/>
    </row>
    <row r="133" spans="1:13" s="4" customFormat="1" ht="12">
      <c r="A133" s="53"/>
      <c r="B133" s="53"/>
      <c r="C133" s="2"/>
      <c r="D133" s="2"/>
      <c r="E133" s="2"/>
      <c r="F133" s="30"/>
      <c r="G133" s="2"/>
      <c r="H133" s="2"/>
      <c r="I133" s="2"/>
      <c r="J133" s="2"/>
      <c r="K133" s="2"/>
      <c r="L133" s="2"/>
      <c r="M133" s="2"/>
    </row>
    <row r="134" spans="1:13" s="4" customFormat="1" ht="12">
      <c r="A134" s="53"/>
      <c r="B134" s="53"/>
      <c r="C134" s="2"/>
      <c r="D134" s="2"/>
      <c r="E134" s="2"/>
      <c r="F134" s="30"/>
      <c r="G134" s="2"/>
      <c r="H134" s="2"/>
      <c r="I134" s="2"/>
      <c r="J134" s="2"/>
      <c r="K134" s="2"/>
      <c r="L134" s="2"/>
      <c r="M134" s="2"/>
    </row>
    <row r="135" spans="1:13" s="4" customFormat="1" ht="12">
      <c r="A135" s="53"/>
      <c r="B135" s="53"/>
      <c r="C135" s="2"/>
      <c r="D135" s="2"/>
      <c r="E135" s="2"/>
      <c r="F135" s="30"/>
      <c r="G135" s="2"/>
      <c r="H135" s="2"/>
      <c r="I135" s="2"/>
      <c r="J135" s="2"/>
      <c r="K135" s="2"/>
      <c r="L135" s="2"/>
      <c r="M135" s="2"/>
    </row>
    <row r="136" spans="1:13" s="4" customFormat="1" ht="12">
      <c r="A136" s="53"/>
      <c r="B136" s="53"/>
      <c r="C136" s="2"/>
      <c r="D136" s="2"/>
      <c r="E136" s="2"/>
      <c r="F136" s="30"/>
      <c r="G136" s="2"/>
      <c r="H136" s="2"/>
      <c r="I136" s="2"/>
      <c r="J136" s="2"/>
      <c r="K136" s="2"/>
      <c r="L136" s="2"/>
      <c r="M136" s="2"/>
    </row>
    <row r="137" spans="1:13" s="4" customFormat="1" ht="12">
      <c r="A137" s="53"/>
      <c r="B137" s="53"/>
      <c r="C137" s="2"/>
      <c r="D137" s="2"/>
      <c r="E137" s="2"/>
      <c r="F137" s="30"/>
      <c r="G137" s="2"/>
      <c r="H137" s="2"/>
      <c r="I137" s="2"/>
      <c r="J137" s="2"/>
      <c r="K137" s="2"/>
      <c r="L137" s="2"/>
      <c r="M137" s="2"/>
    </row>
    <row r="138" spans="1:13" s="4" customFormat="1" ht="12">
      <c r="A138" s="2"/>
      <c r="B138" s="2"/>
      <c r="C138" s="2"/>
      <c r="D138" s="2"/>
      <c r="E138" s="2"/>
      <c r="F138" s="30"/>
      <c r="G138" s="2"/>
      <c r="H138" s="2"/>
      <c r="I138" s="2"/>
      <c r="J138" s="2"/>
      <c r="K138" s="2"/>
      <c r="L138" s="2"/>
      <c r="M138" s="2"/>
    </row>
    <row r="139" spans="1:13" s="4" customFormat="1" ht="12">
      <c r="A139" s="2"/>
      <c r="B139" s="2"/>
      <c r="C139" s="2"/>
      <c r="D139" s="2"/>
      <c r="E139" s="2"/>
      <c r="F139" s="30"/>
      <c r="G139" s="2"/>
      <c r="H139" s="2"/>
      <c r="I139" s="2"/>
      <c r="J139" s="2"/>
      <c r="K139" s="2"/>
      <c r="L139" s="2"/>
      <c r="M139" s="2"/>
    </row>
    <row r="140" spans="1:13" s="4" customFormat="1" ht="12">
      <c r="A140" s="2"/>
      <c r="B140" s="2"/>
      <c r="C140" s="2"/>
      <c r="D140" s="2"/>
      <c r="E140" s="2"/>
      <c r="F140" s="30"/>
      <c r="G140" s="2"/>
      <c r="H140" s="2"/>
      <c r="I140" s="2"/>
      <c r="J140" s="2"/>
      <c r="K140" s="2"/>
      <c r="L140" s="2"/>
      <c r="M140" s="2"/>
    </row>
    <row r="141" spans="1:13" s="4" customFormat="1" ht="12">
      <c r="A141" s="2"/>
      <c r="B141" s="2"/>
      <c r="C141" s="2"/>
      <c r="D141" s="2"/>
      <c r="E141" s="2"/>
      <c r="F141" s="30"/>
      <c r="G141" s="2"/>
      <c r="H141" s="2"/>
      <c r="I141" s="2"/>
      <c r="J141" s="2"/>
      <c r="K141" s="2"/>
      <c r="L141" s="2"/>
      <c r="M141" s="2"/>
    </row>
    <row r="142" spans="1:13" s="4" customFormat="1" ht="12">
      <c r="A142" s="2"/>
      <c r="B142" s="2"/>
      <c r="C142" s="2"/>
      <c r="D142" s="2"/>
      <c r="E142" s="2"/>
      <c r="F142" s="30"/>
      <c r="G142" s="2"/>
      <c r="H142" s="2"/>
      <c r="I142" s="2"/>
      <c r="J142" s="2"/>
      <c r="K142" s="2"/>
      <c r="L142" s="2"/>
      <c r="M142" s="2"/>
    </row>
    <row r="143" spans="1:13" s="4" customFormat="1" ht="12">
      <c r="A143" s="2"/>
      <c r="B143" s="2"/>
      <c r="C143" s="2"/>
      <c r="D143" s="2"/>
      <c r="E143" s="2"/>
      <c r="F143" s="30"/>
      <c r="G143" s="2"/>
      <c r="H143" s="2"/>
      <c r="I143" s="2"/>
      <c r="J143" s="2"/>
      <c r="K143" s="2"/>
      <c r="L143" s="2"/>
      <c r="M143" s="2"/>
    </row>
    <row r="144" spans="1:13" s="4" customFormat="1" ht="12">
      <c r="A144" s="2"/>
      <c r="B144" s="2"/>
      <c r="C144" s="2"/>
      <c r="D144" s="2"/>
      <c r="E144" s="2"/>
      <c r="F144" s="30"/>
      <c r="G144" s="2"/>
      <c r="H144" s="2"/>
      <c r="I144" s="2"/>
      <c r="J144" s="2"/>
      <c r="K144" s="2"/>
      <c r="L144" s="2"/>
      <c r="M144" s="2"/>
    </row>
    <row r="145" spans="1:13" s="4" customFormat="1" ht="12">
      <c r="A145" s="2"/>
      <c r="B145" s="2"/>
      <c r="C145" s="2"/>
      <c r="D145" s="2"/>
      <c r="E145" s="2"/>
      <c r="F145" s="30"/>
      <c r="G145" s="2"/>
      <c r="H145" s="2"/>
      <c r="I145" s="2"/>
      <c r="J145" s="2"/>
      <c r="K145" s="2"/>
      <c r="L145" s="2"/>
      <c r="M145" s="2"/>
    </row>
    <row r="146" spans="1:13" s="4" customFormat="1" ht="12">
      <c r="A146" s="2"/>
      <c r="B146" s="2"/>
      <c r="C146" s="2"/>
      <c r="D146" s="2"/>
      <c r="E146" s="2"/>
      <c r="F146" s="30"/>
      <c r="G146" s="2"/>
      <c r="H146" s="2"/>
      <c r="I146" s="2"/>
      <c r="J146" s="2"/>
      <c r="K146" s="2"/>
      <c r="L146" s="2"/>
      <c r="M146" s="2"/>
    </row>
    <row r="147" spans="1:13" s="4" customFormat="1" ht="12">
      <c r="A147" s="2"/>
      <c r="B147" s="2"/>
      <c r="C147" s="2"/>
      <c r="D147" s="2"/>
      <c r="E147" s="2"/>
      <c r="F147" s="30"/>
      <c r="G147" s="2"/>
      <c r="H147" s="2"/>
      <c r="I147" s="2"/>
      <c r="J147" s="2"/>
      <c r="K147" s="2"/>
      <c r="L147" s="2"/>
      <c r="M147" s="2"/>
    </row>
    <row r="148" spans="1:13" s="4" customFormat="1" ht="12">
      <c r="A148" s="2"/>
      <c r="B148" s="2"/>
      <c r="C148" s="2"/>
      <c r="D148" s="2"/>
      <c r="E148" s="2"/>
      <c r="F148" s="30"/>
      <c r="G148" s="2"/>
      <c r="H148" s="2"/>
      <c r="I148" s="2"/>
      <c r="J148" s="2"/>
      <c r="K148" s="2"/>
      <c r="L148" s="2"/>
      <c r="M148" s="2"/>
    </row>
    <row r="149" spans="1:13" s="4" customFormat="1" ht="12">
      <c r="A149" s="2"/>
      <c r="B149" s="2"/>
      <c r="C149" s="2"/>
      <c r="D149" s="2"/>
      <c r="E149" s="2"/>
      <c r="F149" s="30"/>
      <c r="G149" s="2"/>
      <c r="H149" s="2"/>
      <c r="I149" s="2"/>
      <c r="J149" s="2"/>
      <c r="K149" s="2"/>
      <c r="L149" s="2"/>
      <c r="M149" s="2"/>
    </row>
    <row r="150" spans="1:13" s="4" customFormat="1" ht="12">
      <c r="A150" s="2"/>
      <c r="B150" s="2"/>
      <c r="C150" s="2"/>
      <c r="D150" s="2"/>
      <c r="E150" s="2"/>
      <c r="F150" s="30"/>
      <c r="G150" s="2"/>
      <c r="H150" s="2"/>
      <c r="I150" s="2"/>
      <c r="J150" s="2"/>
      <c r="K150" s="2"/>
      <c r="L150" s="2"/>
      <c r="M150" s="2"/>
    </row>
    <row r="151" spans="1:13" s="4" customFormat="1" ht="12">
      <c r="A151" s="2"/>
      <c r="B151" s="2"/>
      <c r="C151" s="2"/>
      <c r="D151" s="2"/>
      <c r="E151" s="2"/>
      <c r="F151" s="30"/>
      <c r="G151" s="2"/>
      <c r="H151" s="2"/>
      <c r="I151" s="2"/>
      <c r="J151" s="2"/>
      <c r="K151" s="2"/>
      <c r="L151" s="2"/>
      <c r="M151" s="2"/>
    </row>
    <row r="152" spans="1:13" s="4" customFormat="1" ht="12">
      <c r="A152" s="2"/>
      <c r="B152" s="2"/>
      <c r="C152" s="2"/>
      <c r="D152" s="2"/>
      <c r="E152" s="2"/>
      <c r="F152" s="30"/>
      <c r="G152" s="2"/>
      <c r="H152" s="2"/>
      <c r="I152" s="2"/>
      <c r="J152" s="2"/>
      <c r="K152" s="2"/>
      <c r="L152" s="2"/>
      <c r="M152" s="2"/>
    </row>
    <row r="153" spans="1:13" s="4" customFormat="1" ht="12">
      <c r="A153" s="2"/>
      <c r="B153" s="2"/>
      <c r="C153" s="2"/>
      <c r="D153" s="2"/>
      <c r="E153" s="2"/>
      <c r="F153" s="30"/>
      <c r="G153" s="2"/>
      <c r="H153" s="2"/>
      <c r="I153" s="2"/>
      <c r="J153" s="2"/>
      <c r="K153" s="2"/>
      <c r="L153" s="2"/>
      <c r="M153" s="2"/>
    </row>
    <row r="154" spans="1:13" s="4" customFormat="1" ht="12">
      <c r="A154" s="2"/>
      <c r="B154" s="2"/>
      <c r="C154" s="2"/>
      <c r="D154" s="2"/>
      <c r="E154" s="2"/>
      <c r="F154" s="30"/>
      <c r="G154" s="2"/>
      <c r="H154" s="2"/>
      <c r="I154" s="2"/>
      <c r="J154" s="2"/>
      <c r="K154" s="2"/>
      <c r="L154" s="2"/>
      <c r="M154" s="2"/>
    </row>
    <row r="155" spans="1:13" s="4" customFormat="1" ht="12">
      <c r="A155" s="2"/>
      <c r="B155" s="2"/>
      <c r="C155" s="2"/>
      <c r="D155" s="2"/>
      <c r="E155" s="2"/>
      <c r="F155" s="30"/>
      <c r="G155" s="2"/>
      <c r="H155" s="2"/>
      <c r="I155" s="2"/>
      <c r="J155" s="2"/>
      <c r="K155" s="2"/>
      <c r="L155" s="2"/>
      <c r="M155" s="2"/>
    </row>
    <row r="156" spans="1:13" s="4" customFormat="1" ht="12">
      <c r="A156" s="2"/>
      <c r="B156" s="2"/>
      <c r="C156" s="2"/>
      <c r="D156" s="2"/>
      <c r="E156" s="2"/>
      <c r="F156" s="30"/>
      <c r="G156" s="2"/>
      <c r="H156" s="2"/>
      <c r="I156" s="2"/>
      <c r="J156" s="2"/>
      <c r="K156" s="2"/>
      <c r="L156" s="2"/>
      <c r="M156" s="2"/>
    </row>
    <row r="157" spans="1:13" s="4" customFormat="1" ht="12">
      <c r="A157" s="2"/>
      <c r="B157" s="2"/>
      <c r="C157" s="2"/>
      <c r="D157" s="2"/>
      <c r="E157" s="2"/>
      <c r="F157" s="30"/>
      <c r="G157" s="2"/>
      <c r="H157" s="2"/>
      <c r="I157" s="2"/>
      <c r="J157" s="2"/>
      <c r="K157" s="2"/>
      <c r="L157" s="2"/>
      <c r="M157" s="2"/>
    </row>
    <row r="158" spans="1:13" s="4" customFormat="1" ht="12">
      <c r="A158" s="2"/>
      <c r="B158" s="2"/>
      <c r="C158" s="2"/>
      <c r="D158" s="2"/>
      <c r="E158" s="2"/>
      <c r="F158" s="30"/>
      <c r="G158" s="2"/>
      <c r="H158" s="2"/>
      <c r="I158" s="2"/>
      <c r="J158" s="2"/>
      <c r="K158" s="2"/>
      <c r="L158" s="2"/>
      <c r="M158" s="2"/>
    </row>
    <row r="159" spans="1:13" s="4" customFormat="1" ht="12">
      <c r="A159" s="2"/>
      <c r="B159" s="2"/>
      <c r="C159" s="2"/>
      <c r="D159" s="2"/>
      <c r="E159" s="2"/>
      <c r="F159" s="30"/>
      <c r="G159" s="2"/>
      <c r="H159" s="2"/>
      <c r="I159" s="2"/>
      <c r="J159" s="2"/>
      <c r="K159" s="2"/>
      <c r="L159" s="2"/>
      <c r="M159" s="2"/>
    </row>
    <row r="160" spans="1:13" s="4" customFormat="1" ht="12">
      <c r="A160" s="2"/>
      <c r="B160" s="2"/>
      <c r="C160" s="2"/>
      <c r="D160" s="2"/>
      <c r="E160" s="2"/>
      <c r="F160" s="30"/>
      <c r="G160" s="2"/>
      <c r="H160" s="2"/>
      <c r="I160" s="2"/>
      <c r="J160" s="2"/>
      <c r="K160" s="2"/>
      <c r="L160" s="2"/>
      <c r="M160" s="2"/>
    </row>
    <row r="161" spans="1:13" s="4" customFormat="1" ht="12">
      <c r="A161" s="2"/>
      <c r="B161" s="2"/>
      <c r="C161" s="2"/>
      <c r="D161" s="2"/>
      <c r="E161" s="2"/>
      <c r="F161" s="30"/>
      <c r="G161" s="2"/>
      <c r="H161" s="2"/>
      <c r="I161" s="2"/>
      <c r="J161" s="2"/>
      <c r="K161" s="2"/>
      <c r="L161" s="2"/>
      <c r="M161" s="2"/>
    </row>
    <row r="162" spans="1:13" s="4" customFormat="1" ht="12">
      <c r="A162" s="2"/>
      <c r="B162" s="2"/>
      <c r="C162" s="2"/>
      <c r="D162" s="2"/>
      <c r="E162" s="2"/>
      <c r="F162" s="30"/>
      <c r="G162" s="2"/>
      <c r="H162" s="2"/>
      <c r="I162" s="2"/>
      <c r="J162" s="2"/>
      <c r="K162" s="2"/>
      <c r="L162" s="2"/>
      <c r="M162" s="2"/>
    </row>
    <row r="163" spans="1:13" s="4" customFormat="1" ht="12">
      <c r="A163" s="2"/>
      <c r="B163" s="2"/>
      <c r="C163" s="2"/>
      <c r="D163" s="2"/>
      <c r="E163" s="2"/>
      <c r="F163" s="30"/>
      <c r="G163" s="2"/>
      <c r="H163" s="2"/>
      <c r="I163" s="2"/>
      <c r="J163" s="2"/>
      <c r="K163" s="2"/>
      <c r="L163" s="2"/>
      <c r="M163" s="2"/>
    </row>
    <row r="164" spans="1:13" s="4" customFormat="1" ht="12">
      <c r="A164" s="2"/>
      <c r="B164" s="2"/>
      <c r="C164" s="2"/>
      <c r="D164" s="2"/>
      <c r="E164" s="2"/>
      <c r="F164" s="30"/>
      <c r="G164" s="2"/>
      <c r="H164" s="2"/>
      <c r="I164" s="2"/>
      <c r="J164" s="2"/>
      <c r="K164" s="2"/>
      <c r="L164" s="2"/>
      <c r="M164" s="2"/>
    </row>
    <row r="165" spans="1:13" s="4" customFormat="1" ht="12">
      <c r="A165" s="2"/>
      <c r="B165" s="2"/>
      <c r="C165" s="2"/>
      <c r="D165" s="2"/>
      <c r="E165" s="2"/>
      <c r="F165" s="30"/>
      <c r="G165" s="2"/>
      <c r="H165" s="2"/>
      <c r="I165" s="2"/>
      <c r="J165" s="2"/>
      <c r="K165" s="2"/>
      <c r="L165" s="2"/>
      <c r="M165" s="2"/>
    </row>
    <row r="166" spans="1:13" s="4" customFormat="1" ht="12">
      <c r="A166" s="2"/>
      <c r="B166" s="2"/>
      <c r="C166" s="2"/>
      <c r="D166" s="2"/>
      <c r="E166" s="2"/>
      <c r="F166" s="30"/>
      <c r="G166" s="2"/>
      <c r="H166" s="2"/>
      <c r="I166" s="2"/>
      <c r="J166" s="2"/>
      <c r="K166" s="2"/>
      <c r="L166" s="2"/>
      <c r="M166" s="2"/>
    </row>
    <row r="167" spans="1:13" s="4" customFormat="1" ht="12">
      <c r="A167" s="53"/>
      <c r="B167" s="53"/>
      <c r="C167" s="2"/>
      <c r="D167" s="2"/>
      <c r="E167" s="2"/>
      <c r="F167" s="30"/>
      <c r="G167" s="2"/>
      <c r="H167" s="2"/>
      <c r="I167" s="2"/>
      <c r="J167" s="2"/>
      <c r="K167" s="2"/>
      <c r="L167" s="2"/>
      <c r="M167" s="2"/>
    </row>
    <row r="168" spans="1:13" s="4" customFormat="1" ht="12">
      <c r="A168" s="2"/>
      <c r="B168" s="2"/>
      <c r="C168" s="2"/>
      <c r="D168" s="2"/>
      <c r="E168" s="2"/>
      <c r="F168" s="30"/>
      <c r="G168" s="2"/>
      <c r="H168" s="2"/>
      <c r="I168" s="2"/>
      <c r="J168" s="2"/>
      <c r="K168" s="2"/>
      <c r="L168" s="2"/>
      <c r="M168" s="2"/>
    </row>
    <row r="169" spans="1:13" s="4" customFormat="1" ht="12">
      <c r="A169" s="2"/>
      <c r="B169" s="2"/>
      <c r="C169" s="2"/>
      <c r="D169" s="2"/>
      <c r="E169" s="2"/>
      <c r="F169" s="30"/>
      <c r="G169" s="2"/>
      <c r="H169" s="2"/>
      <c r="I169" s="2"/>
      <c r="J169" s="2"/>
      <c r="K169" s="2"/>
      <c r="L169" s="2"/>
      <c r="M169" s="2"/>
    </row>
    <row r="170" spans="1:13" s="4" customFormat="1" ht="12">
      <c r="A170" s="2"/>
      <c r="B170" s="2"/>
      <c r="C170" s="2"/>
      <c r="D170" s="2"/>
      <c r="E170" s="2"/>
      <c r="F170" s="30"/>
      <c r="G170" s="2"/>
      <c r="H170" s="2"/>
      <c r="I170" s="2"/>
      <c r="J170" s="2"/>
      <c r="K170" s="2"/>
      <c r="L170" s="2"/>
      <c r="M170" s="2"/>
    </row>
    <row r="171" spans="1:13" s="4" customFormat="1" ht="12">
      <c r="A171" s="2"/>
      <c r="B171" s="2"/>
      <c r="C171" s="2"/>
      <c r="D171" s="2"/>
      <c r="E171" s="2"/>
      <c r="F171" s="30"/>
      <c r="G171" s="2"/>
      <c r="H171" s="2"/>
      <c r="I171" s="2"/>
      <c r="J171" s="2"/>
      <c r="K171" s="2"/>
      <c r="L171" s="2"/>
      <c r="M171" s="2"/>
    </row>
    <row r="172" spans="1:13" s="4" customFormat="1" ht="12">
      <c r="A172" s="2"/>
      <c r="B172" s="2"/>
      <c r="C172" s="2"/>
      <c r="D172" s="2"/>
      <c r="E172" s="2"/>
      <c r="F172" s="30"/>
      <c r="G172" s="2"/>
      <c r="H172" s="2"/>
      <c r="I172" s="2"/>
      <c r="J172" s="2"/>
      <c r="K172" s="2"/>
      <c r="L172" s="2"/>
      <c r="M172" s="2"/>
    </row>
    <row r="173" spans="1:13" s="4" customFormat="1" ht="12">
      <c r="A173" s="2"/>
      <c r="B173" s="2"/>
      <c r="C173" s="2"/>
      <c r="D173" s="2"/>
      <c r="E173" s="2"/>
      <c r="F173" s="30"/>
      <c r="G173" s="2"/>
      <c r="H173" s="2"/>
      <c r="I173" s="2"/>
      <c r="J173" s="2"/>
      <c r="K173" s="2"/>
      <c r="L173" s="2"/>
      <c r="M173" s="2"/>
    </row>
    <row r="174" spans="1:13" s="4" customFormat="1" ht="12">
      <c r="A174" s="2"/>
      <c r="B174" s="2"/>
      <c r="C174" s="2"/>
      <c r="D174" s="2"/>
      <c r="E174" s="2"/>
      <c r="F174" s="30"/>
      <c r="G174" s="2"/>
      <c r="H174" s="2"/>
      <c r="I174" s="2"/>
      <c r="J174" s="2"/>
      <c r="K174" s="2"/>
      <c r="L174" s="2"/>
      <c r="M174" s="2"/>
    </row>
    <row r="175" spans="1:13" s="4" customFormat="1" ht="12">
      <c r="A175" s="2"/>
      <c r="B175" s="2"/>
      <c r="C175" s="2"/>
      <c r="D175" s="2"/>
      <c r="E175" s="2"/>
      <c r="F175" s="30"/>
      <c r="G175" s="2"/>
      <c r="H175" s="2"/>
      <c r="I175" s="2"/>
      <c r="J175" s="2"/>
      <c r="K175" s="2"/>
      <c r="L175" s="2"/>
      <c r="M175" s="2"/>
    </row>
    <row r="176" spans="1:13" s="4" customFormat="1" ht="12">
      <c r="A176" s="2"/>
      <c r="B176" s="2"/>
      <c r="C176" s="2"/>
      <c r="D176" s="2"/>
      <c r="E176" s="2"/>
      <c r="F176" s="30"/>
      <c r="G176" s="2"/>
      <c r="H176" s="2"/>
      <c r="I176" s="2"/>
      <c r="J176" s="2"/>
      <c r="K176" s="2"/>
      <c r="L176" s="2"/>
      <c r="M176" s="2"/>
    </row>
    <row r="177" spans="1:13" s="4" customFormat="1" ht="12">
      <c r="A177" s="2"/>
      <c r="B177" s="2"/>
      <c r="C177" s="2"/>
      <c r="D177" s="2"/>
      <c r="E177" s="2"/>
      <c r="F177" s="30"/>
      <c r="G177" s="2"/>
      <c r="H177" s="2"/>
      <c r="I177" s="2"/>
      <c r="J177" s="2"/>
      <c r="K177" s="2"/>
      <c r="L177" s="2"/>
      <c r="M177" s="2"/>
    </row>
    <row r="178" spans="1:13" s="4" customFormat="1" ht="12">
      <c r="A178" s="2"/>
      <c r="B178" s="2"/>
      <c r="C178" s="2"/>
      <c r="D178" s="2"/>
      <c r="E178" s="2"/>
      <c r="F178" s="30"/>
      <c r="G178" s="2"/>
      <c r="H178" s="2"/>
      <c r="I178" s="2"/>
      <c r="J178" s="2"/>
      <c r="K178" s="2"/>
      <c r="L178" s="2"/>
      <c r="M178" s="2"/>
    </row>
    <row r="179" spans="1:13" s="4" customFormat="1" ht="12">
      <c r="A179" s="2"/>
      <c r="B179" s="2"/>
      <c r="C179" s="2"/>
      <c r="D179" s="2"/>
      <c r="E179" s="2"/>
      <c r="F179" s="30"/>
      <c r="G179" s="2"/>
      <c r="H179" s="2"/>
      <c r="I179" s="2"/>
      <c r="J179" s="2"/>
      <c r="K179" s="2"/>
      <c r="L179" s="2"/>
      <c r="M179" s="2"/>
    </row>
    <row r="180" spans="1:13" s="4" customFormat="1" ht="12">
      <c r="A180" s="2"/>
      <c r="B180" s="2"/>
      <c r="C180" s="2"/>
      <c r="D180" s="2"/>
      <c r="E180" s="2"/>
      <c r="F180" s="30"/>
      <c r="G180" s="2"/>
      <c r="H180" s="2"/>
      <c r="I180" s="2"/>
      <c r="J180" s="2"/>
      <c r="K180" s="2"/>
      <c r="L180" s="2"/>
      <c r="M180" s="2"/>
    </row>
    <row r="181" spans="1:13" s="4" customFormat="1" ht="12">
      <c r="A181" s="2"/>
      <c r="B181" s="2"/>
      <c r="C181" s="2"/>
      <c r="D181" s="2"/>
      <c r="E181" s="2"/>
      <c r="F181" s="30"/>
      <c r="G181" s="2"/>
      <c r="H181" s="2"/>
      <c r="I181" s="2"/>
      <c r="J181" s="2"/>
      <c r="K181" s="2"/>
      <c r="L181" s="2"/>
      <c r="M181" s="2"/>
    </row>
    <row r="182" spans="1:13" s="4" customFormat="1" ht="12">
      <c r="A182" s="2"/>
      <c r="B182" s="2"/>
      <c r="C182" s="2"/>
      <c r="D182" s="2"/>
      <c r="E182" s="2"/>
      <c r="F182" s="30"/>
      <c r="G182" s="2"/>
      <c r="H182" s="2"/>
      <c r="I182" s="2"/>
      <c r="J182" s="2"/>
      <c r="K182" s="2"/>
      <c r="L182" s="2"/>
      <c r="M182" s="2"/>
    </row>
    <row r="183" spans="1:13" s="4" customFormat="1" ht="12">
      <c r="A183" s="2"/>
      <c r="B183" s="2"/>
      <c r="C183" s="2"/>
      <c r="D183" s="2"/>
      <c r="E183" s="2"/>
      <c r="F183" s="30"/>
      <c r="G183" s="2"/>
      <c r="H183" s="2"/>
      <c r="I183" s="2"/>
      <c r="J183" s="2"/>
      <c r="K183" s="2"/>
      <c r="L183" s="2"/>
      <c r="M183" s="2"/>
    </row>
    <row r="184" spans="1:13" s="4" customFormat="1" ht="12">
      <c r="A184" s="2"/>
      <c r="B184" s="2"/>
      <c r="C184" s="2"/>
      <c r="D184" s="2"/>
      <c r="E184" s="2"/>
      <c r="F184" s="30"/>
      <c r="G184" s="2"/>
      <c r="H184" s="2"/>
      <c r="I184" s="2"/>
      <c r="J184" s="2"/>
      <c r="K184" s="2"/>
      <c r="L184" s="2"/>
      <c r="M184" s="2"/>
    </row>
    <row r="185" spans="1:13" s="4" customFormat="1" ht="12">
      <c r="A185" s="2"/>
      <c r="B185" s="2"/>
      <c r="C185" s="2"/>
      <c r="D185" s="2"/>
      <c r="E185" s="2"/>
      <c r="F185" s="30"/>
      <c r="G185" s="2"/>
      <c r="H185" s="2"/>
      <c r="I185" s="2"/>
      <c r="J185" s="2"/>
      <c r="K185" s="2"/>
      <c r="L185" s="2"/>
      <c r="M185" s="2"/>
    </row>
    <row r="186" spans="1:13" s="4" customFormat="1" ht="12">
      <c r="A186" s="2"/>
      <c r="B186" s="2"/>
      <c r="C186" s="2"/>
      <c r="D186" s="2"/>
      <c r="E186" s="2"/>
      <c r="F186" s="30"/>
      <c r="G186" s="2"/>
      <c r="H186" s="2"/>
      <c r="I186" s="2"/>
      <c r="J186" s="2"/>
      <c r="K186" s="2"/>
      <c r="L186" s="2"/>
      <c r="M186" s="2"/>
    </row>
    <row r="187" spans="1:13" s="4" customFormat="1" ht="12">
      <c r="A187" s="2"/>
      <c r="B187" s="2"/>
      <c r="C187" s="2"/>
      <c r="D187" s="2"/>
      <c r="E187" s="2"/>
      <c r="F187" s="30"/>
      <c r="G187" s="2"/>
      <c r="H187" s="2"/>
      <c r="I187" s="2"/>
      <c r="J187" s="2"/>
      <c r="K187" s="2"/>
      <c r="L187" s="2"/>
      <c r="M187" s="2"/>
    </row>
    <row r="188" spans="1:13" s="4" customFormat="1" ht="12">
      <c r="A188" s="2"/>
      <c r="B188" s="2"/>
      <c r="C188" s="2"/>
      <c r="D188" s="2"/>
      <c r="E188" s="2"/>
      <c r="F188" s="30"/>
      <c r="G188" s="2"/>
      <c r="H188" s="2"/>
      <c r="I188" s="2"/>
      <c r="J188" s="2"/>
      <c r="K188" s="2"/>
      <c r="L188" s="2"/>
      <c r="M188" s="2"/>
    </row>
    <row r="189" spans="1:13" s="4" customFormat="1" ht="12">
      <c r="A189" s="2"/>
      <c r="B189" s="2"/>
      <c r="C189" s="2"/>
      <c r="D189" s="2"/>
      <c r="E189" s="2"/>
      <c r="F189" s="30"/>
      <c r="G189" s="2"/>
      <c r="H189" s="2"/>
      <c r="I189" s="2"/>
      <c r="J189" s="2"/>
      <c r="K189" s="2"/>
      <c r="L189" s="2"/>
      <c r="M189" s="2"/>
    </row>
    <row r="190" spans="1:13" s="4" customFormat="1" ht="12">
      <c r="A190" s="2"/>
      <c r="B190" s="2"/>
      <c r="C190" s="2"/>
      <c r="D190" s="2"/>
      <c r="E190" s="2"/>
      <c r="F190" s="30"/>
      <c r="G190" s="2"/>
      <c r="H190" s="2"/>
      <c r="I190" s="2"/>
      <c r="J190" s="2"/>
      <c r="K190" s="2"/>
      <c r="L190" s="2"/>
      <c r="M190" s="2"/>
    </row>
    <row r="191" spans="1:13" s="4" customFormat="1" ht="12">
      <c r="A191" s="2"/>
      <c r="B191" s="2"/>
      <c r="C191" s="2"/>
      <c r="D191" s="2"/>
      <c r="E191" s="2"/>
      <c r="F191" s="30"/>
      <c r="G191" s="2"/>
      <c r="H191" s="2"/>
      <c r="I191" s="2"/>
      <c r="J191" s="2"/>
      <c r="K191" s="2"/>
      <c r="L191" s="2"/>
      <c r="M191" s="2"/>
    </row>
    <row r="192" spans="1:13" s="4" customFormat="1" ht="12">
      <c r="A192" s="2"/>
      <c r="B192" s="2"/>
      <c r="C192" s="2"/>
      <c r="D192" s="2"/>
      <c r="E192" s="2"/>
      <c r="F192" s="30"/>
      <c r="G192" s="2"/>
      <c r="H192" s="2"/>
      <c r="I192" s="2"/>
      <c r="J192" s="2"/>
      <c r="K192" s="2"/>
      <c r="L192" s="2"/>
      <c r="M192" s="2"/>
    </row>
    <row r="193" spans="1:13" s="4" customFormat="1" ht="12">
      <c r="A193" s="2"/>
      <c r="B193" s="2"/>
      <c r="C193" s="2"/>
      <c r="D193" s="2"/>
      <c r="E193" s="2"/>
      <c r="F193" s="30"/>
      <c r="G193" s="2"/>
      <c r="H193" s="2"/>
      <c r="I193" s="2"/>
      <c r="J193" s="2"/>
      <c r="K193" s="2"/>
      <c r="L193" s="2"/>
      <c r="M193" s="2"/>
    </row>
    <row r="194" spans="1:13" s="4" customFormat="1" ht="12">
      <c r="A194" s="2"/>
      <c r="B194" s="2"/>
      <c r="C194" s="2"/>
      <c r="D194" s="2"/>
      <c r="E194" s="2"/>
      <c r="F194" s="30"/>
      <c r="G194" s="2"/>
      <c r="H194" s="2"/>
      <c r="I194" s="2"/>
      <c r="J194" s="2"/>
      <c r="K194" s="2"/>
      <c r="L194" s="2"/>
      <c r="M194" s="2"/>
    </row>
    <row r="195" spans="1:13" s="4" customFormat="1" ht="12">
      <c r="A195" s="2"/>
      <c r="B195" s="2"/>
      <c r="C195" s="2"/>
      <c r="D195" s="2"/>
      <c r="E195" s="2"/>
      <c r="F195" s="30"/>
      <c r="G195" s="2"/>
      <c r="H195" s="2"/>
      <c r="I195" s="2"/>
      <c r="J195" s="2"/>
      <c r="K195" s="2"/>
      <c r="L195" s="2"/>
      <c r="M195" s="2"/>
    </row>
    <row r="196" spans="1:13" s="4" customFormat="1" ht="12">
      <c r="A196" s="2"/>
      <c r="B196" s="2"/>
      <c r="C196" s="2"/>
      <c r="D196" s="2"/>
      <c r="E196" s="2"/>
      <c r="F196" s="30"/>
      <c r="G196" s="2"/>
      <c r="H196" s="2"/>
      <c r="I196" s="2"/>
      <c r="J196" s="2"/>
      <c r="K196" s="2"/>
      <c r="L196" s="2"/>
      <c r="M196" s="2"/>
    </row>
    <row r="197" spans="1:13" s="4" customFormat="1" ht="12">
      <c r="A197" s="2"/>
      <c r="B197" s="2"/>
      <c r="C197" s="2"/>
      <c r="D197" s="2"/>
      <c r="E197" s="2"/>
      <c r="F197" s="30"/>
      <c r="G197" s="2"/>
      <c r="H197" s="2"/>
      <c r="I197" s="2"/>
      <c r="J197" s="2"/>
      <c r="K197" s="2"/>
      <c r="L197" s="2"/>
      <c r="M197" s="2"/>
    </row>
    <row r="198" spans="1:13" s="4" customFormat="1" ht="12">
      <c r="A198" s="2"/>
      <c r="B198" s="2"/>
      <c r="C198" s="2"/>
      <c r="D198" s="2"/>
      <c r="E198" s="2"/>
      <c r="F198" s="30"/>
      <c r="G198" s="2"/>
      <c r="H198" s="2"/>
      <c r="I198" s="2"/>
      <c r="J198" s="2"/>
      <c r="K198" s="2"/>
      <c r="L198" s="2"/>
      <c r="M198" s="2"/>
    </row>
    <row r="199" spans="1:13" s="4" customFormat="1" ht="12">
      <c r="A199" s="2"/>
      <c r="B199" s="2"/>
      <c r="C199" s="2"/>
      <c r="D199" s="2"/>
      <c r="E199" s="2"/>
      <c r="F199" s="30"/>
      <c r="G199" s="2"/>
      <c r="H199" s="2"/>
      <c r="I199" s="2"/>
      <c r="J199" s="2"/>
      <c r="K199" s="2"/>
      <c r="L199" s="2"/>
      <c r="M199" s="2"/>
    </row>
    <row r="200" spans="1:13" s="4" customFormat="1" ht="12">
      <c r="A200" s="2"/>
      <c r="B200" s="2"/>
      <c r="C200" s="2"/>
      <c r="D200" s="2"/>
      <c r="E200" s="2"/>
      <c r="F200" s="30"/>
      <c r="G200" s="2"/>
      <c r="H200" s="2"/>
      <c r="I200" s="2"/>
      <c r="J200" s="2"/>
      <c r="K200" s="2"/>
      <c r="L200" s="2"/>
      <c r="M200" s="2"/>
    </row>
    <row r="201" spans="1:13" s="4" customFormat="1" ht="12">
      <c r="A201" s="2"/>
      <c r="B201" s="2"/>
      <c r="C201" s="2"/>
      <c r="D201" s="2"/>
      <c r="E201" s="2"/>
      <c r="F201" s="30"/>
      <c r="G201" s="2"/>
      <c r="H201" s="2"/>
      <c r="I201" s="2"/>
      <c r="J201" s="2"/>
      <c r="K201" s="2"/>
      <c r="L201" s="2"/>
      <c r="M201" s="2"/>
    </row>
    <row r="202" spans="1:13" s="4" customFormat="1" ht="12">
      <c r="A202" s="2"/>
      <c r="B202" s="2"/>
      <c r="C202" s="2"/>
      <c r="D202" s="2"/>
      <c r="E202" s="2"/>
      <c r="F202" s="30"/>
      <c r="G202" s="2"/>
      <c r="H202" s="2"/>
      <c r="I202" s="2"/>
      <c r="J202" s="2"/>
      <c r="K202" s="2"/>
      <c r="L202" s="2"/>
      <c r="M202" s="2"/>
    </row>
    <row r="203" spans="1:13" s="4" customFormat="1" ht="12">
      <c r="A203" s="2"/>
      <c r="B203" s="2"/>
      <c r="C203" s="2"/>
      <c r="D203" s="2"/>
      <c r="E203" s="2"/>
      <c r="F203" s="30"/>
      <c r="G203" s="2"/>
      <c r="H203" s="2"/>
      <c r="I203" s="2"/>
      <c r="J203" s="2"/>
      <c r="K203" s="2"/>
      <c r="L203" s="2"/>
      <c r="M203" s="2"/>
    </row>
    <row r="204" spans="1:13" s="4" customFormat="1" ht="12">
      <c r="A204" s="2"/>
      <c r="B204" s="2"/>
      <c r="C204" s="2"/>
      <c r="D204" s="2"/>
      <c r="E204" s="2"/>
      <c r="F204" s="30"/>
      <c r="G204" s="2"/>
      <c r="H204" s="2"/>
      <c r="I204" s="2"/>
      <c r="J204" s="2"/>
      <c r="K204" s="2"/>
      <c r="L204" s="2"/>
      <c r="M204" s="2"/>
    </row>
    <row r="205" spans="1:13" s="4" customFormat="1" ht="12">
      <c r="A205" s="2"/>
      <c r="B205" s="2"/>
      <c r="C205" s="2"/>
      <c r="D205" s="2"/>
      <c r="E205" s="2"/>
      <c r="F205" s="30"/>
      <c r="G205" s="2"/>
      <c r="H205" s="2"/>
      <c r="I205" s="2"/>
      <c r="J205" s="2"/>
      <c r="K205" s="2"/>
      <c r="L205" s="2"/>
      <c r="M205" s="2"/>
    </row>
    <row r="206" spans="1:13" s="4" customFormat="1" ht="12">
      <c r="A206" s="2"/>
      <c r="B206" s="2"/>
      <c r="C206" s="2"/>
      <c r="D206" s="2"/>
      <c r="E206" s="2"/>
      <c r="F206" s="30"/>
      <c r="G206" s="2"/>
      <c r="H206" s="2"/>
      <c r="I206" s="2"/>
      <c r="J206" s="2"/>
      <c r="K206" s="2"/>
      <c r="L206" s="2"/>
      <c r="M206" s="2"/>
    </row>
    <row r="207" spans="1:13" s="4" customFormat="1" ht="12">
      <c r="A207" s="2"/>
      <c r="B207" s="2"/>
      <c r="C207" s="2"/>
      <c r="D207" s="2"/>
      <c r="E207" s="2"/>
      <c r="F207" s="30"/>
      <c r="G207" s="2"/>
      <c r="H207" s="2"/>
      <c r="I207" s="2"/>
      <c r="J207" s="2"/>
      <c r="K207" s="2"/>
      <c r="L207" s="2"/>
      <c r="M207" s="2"/>
    </row>
    <row r="208" spans="1:13" s="4" customFormat="1" ht="12">
      <c r="A208" s="2"/>
      <c r="B208" s="2"/>
      <c r="C208" s="2"/>
      <c r="D208" s="2"/>
      <c r="E208" s="2"/>
      <c r="F208" s="30"/>
      <c r="G208" s="2"/>
      <c r="H208" s="2"/>
      <c r="I208" s="2"/>
      <c r="J208" s="2"/>
      <c r="K208" s="2"/>
      <c r="L208" s="2"/>
      <c r="M208" s="2"/>
    </row>
    <row r="209" spans="1:13" s="4" customFormat="1" ht="12">
      <c r="A209" s="2"/>
      <c r="B209" s="2"/>
      <c r="C209" s="2"/>
      <c r="D209" s="2"/>
      <c r="E209" s="2"/>
      <c r="F209" s="30"/>
      <c r="G209" s="2"/>
      <c r="H209" s="2"/>
      <c r="I209" s="2"/>
      <c r="J209" s="2"/>
      <c r="K209" s="2"/>
      <c r="L209" s="2"/>
      <c r="M209" s="2"/>
    </row>
    <row r="210" spans="1:13" s="4" customFormat="1" ht="12">
      <c r="A210" s="2"/>
      <c r="B210" s="2"/>
      <c r="C210" s="2"/>
      <c r="D210" s="2"/>
      <c r="E210" s="2"/>
      <c r="F210" s="30"/>
      <c r="G210" s="2"/>
      <c r="H210" s="2"/>
      <c r="I210" s="2"/>
      <c r="J210" s="2"/>
      <c r="K210" s="2"/>
      <c r="L210" s="2"/>
      <c r="M210" s="2"/>
    </row>
    <row r="211" spans="1:13" s="4" customFormat="1" ht="12">
      <c r="A211" s="2"/>
      <c r="B211" s="2"/>
      <c r="C211" s="2"/>
      <c r="D211" s="2"/>
      <c r="E211" s="2"/>
      <c r="F211" s="30"/>
      <c r="G211" s="2"/>
      <c r="H211" s="2"/>
      <c r="I211" s="2"/>
      <c r="J211" s="2"/>
      <c r="K211" s="2"/>
      <c r="L211" s="2"/>
      <c r="M211" s="2"/>
    </row>
    <row r="212" spans="1:13" s="4" customFormat="1" ht="12">
      <c r="A212" s="2"/>
      <c r="B212" s="2"/>
      <c r="C212" s="2"/>
      <c r="D212" s="2"/>
      <c r="E212" s="2"/>
      <c r="F212" s="30"/>
      <c r="G212" s="2"/>
      <c r="H212" s="2"/>
      <c r="I212" s="2"/>
      <c r="J212" s="2"/>
      <c r="K212" s="2"/>
      <c r="L212" s="2"/>
      <c r="M212" s="2"/>
    </row>
    <row r="213" spans="1:13" s="4" customFormat="1" ht="12">
      <c r="A213" s="2"/>
      <c r="B213" s="2"/>
      <c r="C213" s="2"/>
      <c r="D213" s="2"/>
      <c r="E213" s="2"/>
      <c r="F213" s="30"/>
      <c r="G213" s="2"/>
      <c r="H213" s="2"/>
      <c r="I213" s="2"/>
      <c r="J213" s="2"/>
      <c r="K213" s="2"/>
      <c r="L213" s="2"/>
      <c r="M213" s="2"/>
    </row>
    <row r="214" spans="1:13" s="4" customFormat="1" ht="12">
      <c r="A214" s="2"/>
      <c r="B214" s="2"/>
      <c r="C214" s="2"/>
      <c r="D214" s="2"/>
      <c r="E214" s="2"/>
      <c r="F214" s="30"/>
      <c r="G214" s="2"/>
      <c r="H214" s="2"/>
      <c r="I214" s="2"/>
      <c r="J214" s="2"/>
      <c r="K214" s="2"/>
      <c r="L214" s="2"/>
      <c r="M214" s="2"/>
    </row>
    <row r="215" spans="1:13" s="4" customFormat="1" ht="12">
      <c r="A215" s="2"/>
      <c r="B215" s="2"/>
      <c r="C215" s="2"/>
      <c r="D215" s="2"/>
      <c r="E215" s="2"/>
      <c r="F215" s="30"/>
      <c r="G215" s="2"/>
      <c r="H215" s="2"/>
      <c r="I215" s="2"/>
      <c r="J215" s="2"/>
      <c r="K215" s="2"/>
      <c r="L215" s="2"/>
      <c r="M215" s="2"/>
    </row>
    <row r="216" spans="1:13" s="4" customFormat="1" ht="12">
      <c r="A216" s="2"/>
      <c r="B216" s="2"/>
      <c r="C216" s="2"/>
      <c r="D216" s="2"/>
      <c r="E216" s="2"/>
      <c r="F216" s="30"/>
      <c r="G216" s="2"/>
      <c r="H216" s="2"/>
      <c r="I216" s="2"/>
      <c r="J216" s="2"/>
      <c r="K216" s="2"/>
      <c r="L216" s="2"/>
      <c r="M216" s="2"/>
    </row>
    <row r="217" spans="1:13" s="4" customFormat="1" ht="12">
      <c r="A217" s="2"/>
      <c r="B217" s="2"/>
      <c r="C217" s="2"/>
      <c r="D217" s="2"/>
      <c r="E217" s="2"/>
      <c r="F217" s="30"/>
      <c r="G217" s="2"/>
      <c r="H217" s="2"/>
      <c r="I217" s="2"/>
      <c r="J217" s="2"/>
      <c r="K217" s="2"/>
      <c r="L217" s="2"/>
      <c r="M217" s="2"/>
    </row>
    <row r="218" spans="1:13" s="4" customFormat="1" ht="12">
      <c r="A218" s="2"/>
      <c r="B218" s="2"/>
      <c r="C218" s="2"/>
      <c r="D218" s="2"/>
      <c r="E218" s="2"/>
      <c r="F218" s="30"/>
      <c r="G218" s="2"/>
      <c r="H218" s="2"/>
      <c r="I218" s="2"/>
      <c r="J218" s="2"/>
      <c r="K218" s="2"/>
      <c r="L218" s="2"/>
      <c r="M218" s="2"/>
    </row>
    <row r="219" spans="1:13" s="4" customFormat="1" ht="12">
      <c r="A219" s="2"/>
      <c r="B219" s="2"/>
      <c r="C219" s="2"/>
      <c r="D219" s="2"/>
      <c r="E219" s="2"/>
      <c r="F219" s="30"/>
      <c r="G219" s="2"/>
      <c r="H219" s="2"/>
      <c r="I219" s="2"/>
      <c r="J219" s="2"/>
      <c r="K219" s="2"/>
      <c r="L219" s="2"/>
      <c r="M219" s="2"/>
    </row>
    <row r="220" spans="1:13" s="4" customFormat="1" ht="12">
      <c r="A220" s="2"/>
      <c r="B220" s="2"/>
      <c r="C220" s="2"/>
      <c r="D220" s="2"/>
      <c r="E220" s="2"/>
      <c r="F220" s="30"/>
      <c r="G220" s="2"/>
      <c r="H220" s="2"/>
      <c r="I220" s="2"/>
      <c r="J220" s="2"/>
      <c r="K220" s="2"/>
      <c r="L220" s="2"/>
      <c r="M220" s="2"/>
    </row>
    <row r="221" spans="1:13" s="4" customFormat="1" ht="12">
      <c r="A221" s="2"/>
      <c r="B221" s="2"/>
      <c r="C221" s="2"/>
      <c r="D221" s="2"/>
      <c r="E221" s="2"/>
      <c r="F221" s="30"/>
      <c r="G221" s="2"/>
      <c r="H221" s="2"/>
      <c r="I221" s="2"/>
      <c r="J221" s="2"/>
      <c r="K221" s="2"/>
      <c r="L221" s="2"/>
      <c r="M221" s="2"/>
    </row>
    <row r="222" spans="1:13" s="4" customFormat="1" ht="12">
      <c r="A222" s="2"/>
      <c r="B222" s="2"/>
      <c r="C222" s="2"/>
      <c r="D222" s="2"/>
      <c r="E222" s="2"/>
      <c r="F222" s="30"/>
      <c r="G222" s="2"/>
      <c r="H222" s="2"/>
      <c r="I222" s="2"/>
      <c r="J222" s="2"/>
      <c r="K222" s="2"/>
      <c r="L222" s="2"/>
      <c r="M222" s="2"/>
    </row>
    <row r="223" spans="1:13" s="4" customFormat="1" ht="12">
      <c r="A223" s="2"/>
      <c r="B223" s="2"/>
      <c r="C223" s="2"/>
      <c r="D223" s="2"/>
      <c r="E223" s="2"/>
      <c r="F223" s="30"/>
      <c r="G223" s="2"/>
      <c r="H223" s="2"/>
      <c r="I223" s="2"/>
      <c r="J223" s="2"/>
      <c r="K223" s="2"/>
      <c r="L223" s="2"/>
      <c r="M223" s="2"/>
    </row>
    <row r="224" spans="1:13" s="4" customFormat="1" ht="12">
      <c r="A224" s="2"/>
      <c r="B224" s="2"/>
      <c r="C224" s="2"/>
      <c r="D224" s="2"/>
      <c r="E224" s="2"/>
      <c r="F224" s="30"/>
      <c r="G224" s="2"/>
      <c r="H224" s="2"/>
      <c r="I224" s="2"/>
      <c r="J224" s="2"/>
      <c r="K224" s="2"/>
      <c r="L224" s="2"/>
      <c r="M224" s="2"/>
    </row>
    <row r="225" spans="1:13" s="4" customFormat="1" ht="12">
      <c r="A225" s="2"/>
      <c r="B225" s="2"/>
      <c r="C225" s="2"/>
      <c r="D225" s="2"/>
      <c r="E225" s="2"/>
      <c r="F225" s="30"/>
      <c r="G225" s="2"/>
      <c r="H225" s="2"/>
      <c r="I225" s="2"/>
      <c r="J225" s="2"/>
      <c r="K225" s="2"/>
      <c r="L225" s="2"/>
      <c r="M225" s="2"/>
    </row>
    <row r="226" spans="1:13" s="4" customFormat="1" ht="12">
      <c r="A226" s="2"/>
      <c r="B226" s="2"/>
      <c r="C226" s="2"/>
      <c r="D226" s="2"/>
      <c r="E226" s="2"/>
      <c r="F226" s="30"/>
      <c r="G226" s="2"/>
      <c r="H226" s="2"/>
      <c r="I226" s="2"/>
      <c r="J226" s="2"/>
      <c r="K226" s="2"/>
      <c r="L226" s="2"/>
      <c r="M226" s="2"/>
    </row>
    <row r="227" spans="1:13" s="4" customFormat="1" ht="12">
      <c r="A227" s="2"/>
      <c r="B227" s="2"/>
      <c r="C227" s="2"/>
      <c r="D227" s="2"/>
      <c r="E227" s="2"/>
      <c r="F227" s="30"/>
      <c r="G227" s="2"/>
      <c r="H227" s="2"/>
      <c r="I227" s="2"/>
      <c r="J227" s="2"/>
      <c r="K227" s="2"/>
      <c r="L227" s="2"/>
      <c r="M227" s="2"/>
    </row>
    <row r="228" spans="1:13" s="4" customFormat="1" ht="12">
      <c r="A228" s="2"/>
      <c r="B228" s="2"/>
      <c r="C228" s="2"/>
      <c r="D228" s="2"/>
      <c r="E228" s="2"/>
      <c r="F228" s="30"/>
      <c r="G228" s="2"/>
      <c r="H228" s="2"/>
      <c r="I228" s="2"/>
      <c r="J228" s="2"/>
      <c r="K228" s="2"/>
      <c r="L228" s="2"/>
      <c r="M228" s="2"/>
    </row>
    <row r="229" spans="1:13" s="4" customFormat="1" ht="12">
      <c r="A229" s="2"/>
      <c r="B229" s="2"/>
      <c r="C229" s="2"/>
      <c r="D229" s="2"/>
      <c r="E229" s="2"/>
      <c r="F229" s="30"/>
      <c r="G229" s="2"/>
      <c r="H229" s="2"/>
      <c r="I229" s="2"/>
      <c r="J229" s="2"/>
      <c r="K229" s="2"/>
      <c r="L229" s="2"/>
      <c r="M229" s="2"/>
    </row>
    <row r="230" spans="1:13" s="4" customFormat="1" ht="12">
      <c r="A230" s="2"/>
      <c r="B230" s="2"/>
      <c r="C230" s="2"/>
      <c r="D230" s="2"/>
      <c r="E230" s="2"/>
      <c r="F230" s="30"/>
      <c r="G230" s="2"/>
      <c r="H230" s="2"/>
      <c r="I230" s="2"/>
      <c r="J230" s="2"/>
      <c r="K230" s="2"/>
      <c r="L230" s="2"/>
      <c r="M230" s="2"/>
    </row>
    <row r="231" spans="1:13" s="4" customFormat="1" ht="12">
      <c r="A231" s="2"/>
      <c r="B231" s="2"/>
      <c r="C231" s="2"/>
      <c r="D231" s="2"/>
      <c r="E231" s="2"/>
      <c r="F231" s="30"/>
      <c r="G231" s="2"/>
      <c r="H231" s="2"/>
      <c r="I231" s="2"/>
      <c r="J231" s="2"/>
      <c r="K231" s="2"/>
      <c r="L231" s="2"/>
      <c r="M231" s="2"/>
    </row>
    <row r="232" spans="1:13" s="4" customFormat="1" ht="12">
      <c r="A232" s="2"/>
      <c r="B232" s="2"/>
      <c r="C232" s="2"/>
      <c r="D232" s="2"/>
      <c r="E232" s="2"/>
      <c r="F232" s="30"/>
      <c r="G232" s="2"/>
      <c r="H232" s="2"/>
      <c r="I232" s="2"/>
      <c r="J232" s="2"/>
      <c r="K232" s="2"/>
      <c r="L232" s="2"/>
      <c r="M232" s="2"/>
    </row>
    <row r="233" spans="1:13" s="4" customFormat="1" ht="12">
      <c r="A233" s="2"/>
      <c r="B233" s="2"/>
      <c r="C233" s="2"/>
      <c r="D233" s="2"/>
      <c r="E233" s="2"/>
      <c r="F233" s="30"/>
      <c r="G233" s="2"/>
      <c r="H233" s="2"/>
      <c r="I233" s="2"/>
      <c r="J233" s="2"/>
      <c r="K233" s="2"/>
      <c r="L233" s="2"/>
      <c r="M233" s="2"/>
    </row>
    <row r="234" spans="1:13" s="4" customFormat="1" ht="12">
      <c r="A234" s="2"/>
      <c r="B234" s="2"/>
      <c r="C234" s="2"/>
      <c r="D234" s="2"/>
      <c r="E234" s="2"/>
      <c r="F234" s="30"/>
      <c r="G234" s="2"/>
      <c r="H234" s="2"/>
      <c r="I234" s="2"/>
      <c r="J234" s="2"/>
      <c r="K234" s="2"/>
      <c r="L234" s="2"/>
      <c r="M234" s="2"/>
    </row>
    <row r="235" spans="1:13" s="4" customFormat="1" ht="12">
      <c r="A235" s="2"/>
      <c r="B235" s="2"/>
      <c r="C235" s="2"/>
      <c r="D235" s="2"/>
      <c r="E235" s="2"/>
      <c r="F235" s="30"/>
      <c r="G235" s="2"/>
      <c r="H235" s="2"/>
      <c r="I235" s="2"/>
      <c r="J235" s="2"/>
      <c r="K235" s="2"/>
      <c r="L235" s="2"/>
      <c r="M235" s="2"/>
    </row>
    <row r="236" spans="1:13" s="4" customFormat="1" ht="12">
      <c r="A236" s="1"/>
      <c r="B236" s="2"/>
      <c r="C236" s="2"/>
      <c r="D236" s="2"/>
      <c r="E236" s="2"/>
      <c r="F236" s="30"/>
      <c r="G236" s="2"/>
      <c r="H236" s="2"/>
      <c r="I236" s="2"/>
      <c r="J236" s="2"/>
      <c r="K236" s="2"/>
      <c r="L236" s="2"/>
      <c r="M236" s="2"/>
    </row>
    <row r="237" spans="1:13" s="4" customFormat="1" ht="12">
      <c r="A237" s="2"/>
      <c r="B237" s="2"/>
      <c r="C237" s="2"/>
      <c r="D237" s="2"/>
      <c r="E237" s="2"/>
      <c r="F237" s="30"/>
      <c r="G237" s="2"/>
      <c r="H237" s="2"/>
      <c r="I237" s="2"/>
      <c r="J237" s="2"/>
      <c r="K237" s="2"/>
      <c r="L237" s="2"/>
      <c r="M237" s="2"/>
    </row>
    <row r="238" spans="1:13" s="4" customFormat="1" ht="12">
      <c r="A238" s="2"/>
      <c r="B238" s="2"/>
      <c r="C238" s="2"/>
      <c r="D238" s="2"/>
      <c r="E238" s="2"/>
      <c r="F238" s="30"/>
      <c r="G238" s="2"/>
      <c r="H238" s="2"/>
      <c r="I238" s="2"/>
      <c r="J238" s="2"/>
      <c r="K238" s="2"/>
      <c r="L238" s="2"/>
      <c r="M238" s="2"/>
    </row>
    <row r="239" spans="1:13" s="4" customFormat="1" ht="12">
      <c r="A239" s="2"/>
      <c r="B239" s="2"/>
      <c r="C239" s="2"/>
      <c r="D239" s="2"/>
      <c r="E239" s="2"/>
      <c r="F239" s="30"/>
      <c r="G239" s="2"/>
      <c r="H239" s="2"/>
      <c r="I239" s="2"/>
      <c r="J239" s="2"/>
      <c r="K239" s="2"/>
      <c r="L239" s="2"/>
      <c r="M239" s="2"/>
    </row>
    <row r="240" spans="1:13" s="4" customFormat="1" ht="12">
      <c r="A240" s="2"/>
      <c r="B240" s="2"/>
      <c r="C240" s="2"/>
      <c r="D240" s="2"/>
      <c r="E240" s="2"/>
      <c r="F240" s="30"/>
      <c r="G240" s="2"/>
      <c r="H240" s="2"/>
      <c r="I240" s="2"/>
      <c r="J240" s="2"/>
      <c r="K240" s="2"/>
      <c r="L240" s="2"/>
      <c r="M240" s="2"/>
    </row>
    <row r="241" spans="1:13" s="4" customFormat="1" ht="12">
      <c r="A241" s="2"/>
      <c r="B241" s="2"/>
      <c r="C241" s="2"/>
      <c r="D241" s="2"/>
      <c r="E241" s="2"/>
      <c r="F241" s="30"/>
      <c r="G241" s="2"/>
      <c r="H241" s="2"/>
      <c r="I241" s="2"/>
      <c r="J241" s="2"/>
      <c r="K241" s="2"/>
      <c r="L241" s="2"/>
      <c r="M241" s="2"/>
    </row>
    <row r="242" spans="1:13" s="4" customFormat="1" ht="12">
      <c r="A242" s="2"/>
      <c r="B242" s="2"/>
      <c r="C242" s="2"/>
      <c r="D242" s="2"/>
      <c r="E242" s="2"/>
      <c r="F242" s="30"/>
      <c r="G242" s="2"/>
      <c r="H242" s="2"/>
      <c r="I242" s="2"/>
      <c r="J242" s="2"/>
      <c r="K242" s="2"/>
      <c r="L242" s="2"/>
      <c r="M242" s="2"/>
    </row>
    <row r="243" spans="1:13" s="4" customFormat="1" ht="12">
      <c r="A243" s="2"/>
      <c r="B243" s="2"/>
      <c r="C243" s="2"/>
      <c r="D243" s="2"/>
      <c r="E243" s="2"/>
      <c r="F243" s="30"/>
      <c r="G243" s="2"/>
      <c r="H243" s="2"/>
      <c r="I243" s="2"/>
      <c r="J243" s="2"/>
      <c r="K243" s="2"/>
      <c r="L243" s="2"/>
      <c r="M243" s="2"/>
    </row>
    <row r="244" spans="1:13" s="4" customFormat="1" ht="12">
      <c r="A244" s="2"/>
      <c r="B244" s="2"/>
      <c r="C244" s="2"/>
      <c r="D244" s="2"/>
      <c r="E244" s="2"/>
      <c r="F244" s="30"/>
      <c r="G244" s="2"/>
      <c r="H244" s="2"/>
      <c r="I244" s="2"/>
      <c r="J244" s="2"/>
      <c r="K244" s="2"/>
      <c r="L244" s="2"/>
      <c r="M244" s="2"/>
    </row>
    <row r="245" spans="1:13" s="4" customFormat="1" ht="12">
      <c r="A245" s="2"/>
      <c r="B245" s="2"/>
      <c r="C245" s="2"/>
      <c r="D245" s="2"/>
      <c r="E245" s="2"/>
      <c r="F245" s="30"/>
      <c r="G245" s="2"/>
      <c r="H245" s="2"/>
      <c r="I245" s="2"/>
      <c r="J245" s="2"/>
      <c r="K245" s="2"/>
      <c r="L245" s="2"/>
      <c r="M245" s="2"/>
    </row>
    <row r="246" spans="1:13" s="4" customFormat="1" ht="12">
      <c r="A246" s="2"/>
      <c r="B246" s="2"/>
      <c r="C246" s="2"/>
      <c r="D246" s="2"/>
      <c r="E246" s="2"/>
      <c r="F246" s="30"/>
      <c r="G246" s="2"/>
      <c r="H246" s="2"/>
      <c r="I246" s="2"/>
      <c r="J246" s="2"/>
      <c r="K246" s="2"/>
      <c r="L246" s="2"/>
      <c r="M246" s="2"/>
    </row>
    <row r="247" spans="1:13" s="4" customFormat="1" ht="12">
      <c r="A247" s="2"/>
      <c r="B247" s="2"/>
      <c r="C247" s="2"/>
      <c r="D247" s="2"/>
      <c r="E247" s="2"/>
      <c r="F247" s="30"/>
      <c r="G247" s="2"/>
      <c r="H247" s="2"/>
      <c r="I247" s="2"/>
      <c r="J247" s="2"/>
      <c r="K247" s="2"/>
      <c r="L247" s="2"/>
      <c r="M247" s="2"/>
    </row>
    <row r="248" spans="1:13" s="4" customFormat="1" ht="12">
      <c r="A248" s="2"/>
      <c r="B248" s="2"/>
      <c r="C248" s="2"/>
      <c r="D248" s="2"/>
      <c r="E248" s="2"/>
      <c r="F248" s="30"/>
      <c r="G248" s="2"/>
      <c r="H248" s="2"/>
      <c r="I248" s="2"/>
      <c r="J248" s="2"/>
      <c r="K248" s="2"/>
      <c r="L248" s="2"/>
      <c r="M248" s="2"/>
    </row>
    <row r="249" spans="1:13" s="4" customFormat="1" ht="12">
      <c r="A249" s="2"/>
      <c r="B249" s="2"/>
      <c r="C249" s="2"/>
      <c r="D249" s="2"/>
      <c r="E249" s="2"/>
      <c r="F249" s="30"/>
      <c r="G249" s="2"/>
      <c r="H249" s="2"/>
      <c r="I249" s="2"/>
      <c r="J249" s="2"/>
      <c r="K249" s="2"/>
      <c r="L249" s="2"/>
      <c r="M249" s="2"/>
    </row>
    <row r="250" spans="1:13" s="4" customFormat="1" ht="12">
      <c r="A250" s="2"/>
      <c r="B250" s="2"/>
      <c r="C250" s="2"/>
      <c r="D250" s="2"/>
      <c r="E250" s="2"/>
      <c r="F250" s="30"/>
      <c r="G250" s="2"/>
      <c r="H250" s="2"/>
      <c r="I250" s="2"/>
      <c r="J250" s="2"/>
      <c r="K250" s="2"/>
      <c r="L250" s="2"/>
      <c r="M250" s="2"/>
    </row>
    <row r="251" spans="1:13" s="4" customFormat="1" ht="12">
      <c r="A251" s="2"/>
      <c r="B251" s="2"/>
      <c r="C251" s="2"/>
      <c r="D251" s="2"/>
      <c r="E251" s="2"/>
      <c r="F251" s="30"/>
      <c r="G251" s="2"/>
      <c r="H251" s="2"/>
      <c r="I251" s="2"/>
      <c r="J251" s="2"/>
      <c r="K251" s="2"/>
      <c r="L251" s="2"/>
      <c r="M251" s="2"/>
    </row>
    <row r="252" spans="1:13" s="4" customFormat="1" ht="12">
      <c r="A252" s="2"/>
      <c r="B252" s="2"/>
      <c r="C252" s="2"/>
      <c r="D252" s="2"/>
      <c r="E252" s="2"/>
      <c r="F252" s="30"/>
      <c r="G252" s="2"/>
      <c r="H252" s="2"/>
      <c r="I252" s="2"/>
      <c r="J252" s="2"/>
      <c r="K252" s="2"/>
      <c r="L252" s="2"/>
      <c r="M252" s="2"/>
    </row>
    <row r="253" spans="1:13" s="4" customFormat="1" ht="12">
      <c r="A253" s="53"/>
      <c r="B253" s="2"/>
      <c r="C253" s="2"/>
      <c r="D253" s="2"/>
      <c r="E253" s="2"/>
      <c r="F253" s="30"/>
      <c r="G253" s="2"/>
      <c r="H253" s="2"/>
      <c r="I253" s="2"/>
      <c r="J253" s="2"/>
      <c r="K253" s="2"/>
      <c r="L253" s="2"/>
      <c r="M253" s="2"/>
    </row>
    <row r="254" spans="1:13" s="4" customFormat="1" ht="12">
      <c r="A254" s="53"/>
      <c r="B254" s="2"/>
      <c r="C254" s="2"/>
      <c r="D254" s="2"/>
      <c r="E254" s="2"/>
      <c r="F254" s="30"/>
      <c r="G254" s="2"/>
      <c r="H254" s="2"/>
      <c r="I254" s="2"/>
      <c r="J254" s="2"/>
      <c r="K254" s="2"/>
      <c r="L254" s="2"/>
      <c r="M254" s="2"/>
    </row>
    <row r="255" spans="1:13" s="4" customFormat="1" ht="12">
      <c r="A255" s="53"/>
      <c r="B255" s="2"/>
      <c r="C255" s="2"/>
      <c r="D255" s="2"/>
      <c r="E255" s="2"/>
      <c r="F255" s="30"/>
      <c r="G255" s="2"/>
      <c r="H255" s="2"/>
      <c r="I255" s="2"/>
      <c r="J255" s="2"/>
      <c r="K255" s="2"/>
      <c r="L255" s="2"/>
      <c r="M255" s="2"/>
    </row>
    <row r="256" spans="1:13" s="4" customFormat="1" ht="12">
      <c r="A256" s="53"/>
      <c r="B256" s="2"/>
      <c r="C256" s="2"/>
      <c r="D256" s="2"/>
      <c r="E256" s="2"/>
      <c r="F256" s="30"/>
      <c r="G256" s="2"/>
      <c r="H256" s="2"/>
      <c r="I256" s="2"/>
      <c r="J256" s="2"/>
      <c r="K256" s="2"/>
      <c r="L256" s="2"/>
      <c r="M256" s="2"/>
    </row>
    <row r="257" spans="1:13" s="4" customFormat="1" ht="12">
      <c r="A257" s="53"/>
      <c r="B257" s="2"/>
      <c r="C257" s="2"/>
      <c r="D257" s="2"/>
      <c r="E257" s="2"/>
      <c r="F257" s="30"/>
      <c r="G257" s="2"/>
      <c r="H257" s="2"/>
      <c r="I257" s="2"/>
      <c r="J257" s="2"/>
      <c r="K257" s="2"/>
      <c r="L257" s="2"/>
      <c r="M257" s="2"/>
    </row>
    <row r="258" spans="1:13" s="4" customFormat="1" ht="12">
      <c r="A258" s="53"/>
      <c r="B258" s="2"/>
      <c r="C258" s="2"/>
      <c r="D258" s="2"/>
      <c r="E258" s="2"/>
      <c r="F258" s="30"/>
      <c r="G258" s="2"/>
      <c r="H258" s="2"/>
      <c r="I258" s="2"/>
      <c r="J258" s="2"/>
      <c r="K258" s="2"/>
      <c r="L258" s="2"/>
      <c r="M258" s="2"/>
    </row>
    <row r="259" spans="1:13" s="4" customFormat="1" ht="12">
      <c r="A259" s="53"/>
      <c r="B259" s="2"/>
      <c r="C259" s="2"/>
      <c r="D259" s="2"/>
      <c r="E259" s="2"/>
      <c r="F259" s="30"/>
      <c r="G259" s="2"/>
      <c r="H259" s="2"/>
      <c r="I259" s="2"/>
      <c r="J259" s="2"/>
      <c r="K259" s="2"/>
      <c r="L259" s="2"/>
      <c r="M259" s="2"/>
    </row>
    <row r="260" spans="1:13" s="4" customFormat="1" ht="12">
      <c r="A260" s="53"/>
      <c r="B260" s="2"/>
      <c r="C260" s="2"/>
      <c r="D260" s="2"/>
      <c r="E260" s="2"/>
      <c r="F260" s="30"/>
      <c r="G260" s="2"/>
      <c r="H260" s="2"/>
      <c r="I260" s="2"/>
      <c r="J260" s="2"/>
      <c r="K260" s="2"/>
      <c r="L260" s="2"/>
      <c r="M260" s="2"/>
    </row>
    <row r="261" spans="1:13" s="4" customFormat="1" ht="12">
      <c r="A261" s="53"/>
      <c r="B261" s="2"/>
      <c r="C261" s="2"/>
      <c r="D261" s="2"/>
      <c r="E261" s="2"/>
      <c r="F261" s="30"/>
      <c r="G261" s="2"/>
      <c r="H261" s="2"/>
      <c r="I261" s="2"/>
      <c r="J261" s="2"/>
      <c r="K261" s="2"/>
      <c r="L261" s="2"/>
      <c r="M261" s="2"/>
    </row>
    <row r="262" spans="1:13" s="4" customFormat="1" ht="12">
      <c r="A262" s="53"/>
      <c r="B262" s="2"/>
      <c r="C262" s="2"/>
      <c r="D262" s="2"/>
      <c r="E262" s="2"/>
      <c r="F262" s="30"/>
      <c r="G262" s="2"/>
      <c r="H262" s="2"/>
      <c r="I262" s="2"/>
      <c r="J262" s="2"/>
      <c r="K262" s="2"/>
      <c r="L262" s="2"/>
      <c r="M262" s="2"/>
    </row>
    <row r="263" spans="1:13" s="4" customFormat="1" ht="12">
      <c r="A263" s="53"/>
      <c r="B263" s="2"/>
      <c r="C263" s="2"/>
      <c r="D263" s="2"/>
      <c r="E263" s="2"/>
      <c r="F263" s="30"/>
      <c r="G263" s="2"/>
      <c r="H263" s="2"/>
      <c r="I263" s="2"/>
      <c r="J263" s="2"/>
      <c r="K263" s="2"/>
      <c r="L263" s="2"/>
      <c r="M263" s="2"/>
    </row>
    <row r="264" spans="1:13" s="4" customFormat="1" ht="12">
      <c r="A264" s="53"/>
      <c r="B264" s="2"/>
      <c r="C264" s="2"/>
      <c r="D264" s="2"/>
      <c r="E264" s="2"/>
      <c r="F264" s="30"/>
      <c r="G264" s="2"/>
      <c r="H264" s="2"/>
      <c r="I264" s="2"/>
      <c r="J264" s="2"/>
      <c r="K264" s="2"/>
      <c r="L264" s="2"/>
      <c r="M264" s="2"/>
    </row>
    <row r="265" spans="1:13" s="4" customFormat="1" ht="12">
      <c r="A265" s="53"/>
      <c r="B265" s="2"/>
      <c r="C265" s="2"/>
      <c r="D265" s="2"/>
      <c r="E265" s="2"/>
      <c r="F265" s="30"/>
      <c r="G265" s="2"/>
      <c r="H265" s="2"/>
      <c r="I265" s="2"/>
      <c r="J265" s="2"/>
      <c r="K265" s="2"/>
      <c r="L265" s="2"/>
      <c r="M265" s="2"/>
    </row>
    <row r="266" spans="1:13" s="4" customFormat="1" ht="12">
      <c r="A266" s="53"/>
      <c r="B266" s="2"/>
      <c r="C266" s="2"/>
      <c r="D266" s="2"/>
      <c r="E266" s="2"/>
      <c r="F266" s="30"/>
      <c r="G266" s="2"/>
      <c r="H266" s="2"/>
      <c r="I266" s="2"/>
      <c r="J266" s="2"/>
      <c r="K266" s="2"/>
      <c r="L266" s="2"/>
      <c r="M266" s="2"/>
    </row>
    <row r="267" spans="1:13" s="4" customFormat="1" ht="12">
      <c r="A267" s="53"/>
      <c r="B267" s="2"/>
      <c r="C267" s="2"/>
      <c r="D267" s="2"/>
      <c r="E267" s="2"/>
      <c r="F267" s="30"/>
      <c r="G267" s="2"/>
      <c r="H267" s="2"/>
      <c r="I267" s="2"/>
      <c r="J267" s="2"/>
      <c r="K267" s="2"/>
      <c r="L267" s="2"/>
      <c r="M267" s="2"/>
    </row>
    <row r="268" spans="1:13" s="4" customFormat="1" ht="12">
      <c r="A268" s="53"/>
      <c r="B268" s="2"/>
      <c r="C268" s="2"/>
      <c r="D268" s="2"/>
      <c r="E268" s="2"/>
      <c r="F268" s="30"/>
      <c r="G268" s="2"/>
      <c r="H268" s="2"/>
      <c r="I268" s="2"/>
      <c r="J268" s="2"/>
      <c r="K268" s="2"/>
      <c r="L268" s="2"/>
      <c r="M268" s="2"/>
    </row>
    <row r="269" spans="1:13" s="4" customFormat="1" ht="12">
      <c r="A269" s="53"/>
      <c r="B269" s="2"/>
      <c r="C269" s="2"/>
      <c r="D269" s="2"/>
      <c r="E269" s="2"/>
      <c r="F269" s="30"/>
      <c r="G269" s="2"/>
      <c r="H269" s="2"/>
      <c r="I269" s="2"/>
      <c r="J269" s="2"/>
      <c r="K269" s="2"/>
      <c r="L269" s="2"/>
      <c r="M269" s="2"/>
    </row>
    <row r="270" spans="1:13" s="4" customFormat="1" ht="12">
      <c r="A270" s="53"/>
      <c r="B270" s="2"/>
      <c r="C270" s="2"/>
      <c r="D270" s="2"/>
      <c r="E270" s="2"/>
      <c r="F270" s="30"/>
      <c r="G270" s="2"/>
      <c r="H270" s="2"/>
      <c r="I270" s="2"/>
      <c r="J270" s="2"/>
      <c r="K270" s="2"/>
      <c r="L270" s="2"/>
      <c r="M270" s="2"/>
    </row>
    <row r="271" spans="1:13" s="4" customFormat="1" ht="12">
      <c r="A271" s="53"/>
      <c r="B271" s="2"/>
      <c r="C271" s="2"/>
      <c r="D271" s="2"/>
      <c r="E271" s="2"/>
      <c r="F271" s="30"/>
      <c r="G271" s="2"/>
      <c r="H271" s="2"/>
      <c r="I271" s="2"/>
      <c r="J271" s="2"/>
      <c r="K271" s="2"/>
      <c r="L271" s="2"/>
      <c r="M271" s="2"/>
    </row>
    <row r="272" spans="1:13" s="4" customFormat="1" ht="12">
      <c r="A272" s="53"/>
      <c r="B272" s="2"/>
      <c r="C272" s="2"/>
      <c r="D272" s="2"/>
      <c r="E272" s="2"/>
      <c r="F272" s="30"/>
      <c r="G272" s="2"/>
      <c r="H272" s="2"/>
      <c r="I272" s="2"/>
      <c r="J272" s="2"/>
      <c r="K272" s="2"/>
      <c r="L272" s="2"/>
      <c r="M272" s="2"/>
    </row>
    <row r="273" spans="1:13" s="4" customFormat="1" ht="12">
      <c r="A273" s="53"/>
      <c r="B273" s="2"/>
      <c r="C273" s="2"/>
      <c r="D273" s="2"/>
      <c r="E273" s="2"/>
      <c r="F273" s="30"/>
      <c r="G273" s="2"/>
      <c r="H273" s="2"/>
      <c r="I273" s="2"/>
      <c r="J273" s="2"/>
      <c r="K273" s="2"/>
      <c r="L273" s="2"/>
      <c r="M273" s="2"/>
    </row>
    <row r="274" spans="1:13" s="4" customFormat="1" ht="12">
      <c r="A274" s="53"/>
      <c r="B274" s="2"/>
      <c r="C274" s="2"/>
      <c r="D274" s="2"/>
      <c r="E274" s="2"/>
      <c r="F274" s="30"/>
      <c r="G274" s="2"/>
      <c r="H274" s="2"/>
      <c r="I274" s="2"/>
      <c r="J274" s="2"/>
      <c r="K274" s="2"/>
      <c r="L274" s="2"/>
      <c r="M274" s="2"/>
    </row>
    <row r="275" spans="1:13" s="4" customFormat="1" ht="12">
      <c r="A275" s="53"/>
      <c r="B275" s="2"/>
      <c r="C275" s="2"/>
      <c r="D275" s="2"/>
      <c r="E275" s="2"/>
      <c r="F275" s="30"/>
      <c r="G275" s="2"/>
      <c r="H275" s="2"/>
      <c r="I275" s="2"/>
      <c r="J275" s="2"/>
      <c r="K275" s="2"/>
      <c r="L275" s="2"/>
      <c r="M275" s="2"/>
    </row>
    <row r="276" spans="1:13" s="4" customFormat="1" ht="12">
      <c r="A276" s="53"/>
      <c r="B276" s="2"/>
      <c r="C276" s="2"/>
      <c r="D276" s="2"/>
      <c r="E276" s="2"/>
      <c r="F276" s="30"/>
      <c r="G276" s="2"/>
      <c r="H276" s="2"/>
      <c r="I276" s="2"/>
      <c r="J276" s="2"/>
      <c r="K276" s="2"/>
      <c r="L276" s="2"/>
      <c r="M276" s="2"/>
    </row>
    <row r="277" spans="1:13" s="4" customFormat="1" ht="12">
      <c r="A277" s="53"/>
      <c r="B277" s="2"/>
      <c r="C277" s="2"/>
      <c r="D277" s="2"/>
      <c r="E277" s="2"/>
      <c r="F277" s="30"/>
      <c r="G277" s="2"/>
      <c r="H277" s="2"/>
      <c r="I277" s="2"/>
      <c r="J277" s="2"/>
      <c r="K277" s="2"/>
      <c r="L277" s="2"/>
      <c r="M277" s="2"/>
    </row>
    <row r="278" spans="1:13" s="4" customFormat="1" ht="12">
      <c r="A278" s="53"/>
      <c r="B278" s="2"/>
      <c r="C278" s="2"/>
      <c r="D278" s="2"/>
      <c r="E278" s="2"/>
      <c r="F278" s="30"/>
      <c r="G278" s="2"/>
      <c r="H278" s="2"/>
      <c r="I278" s="2"/>
      <c r="J278" s="2"/>
      <c r="K278" s="2"/>
      <c r="L278" s="2"/>
      <c r="M278" s="2"/>
    </row>
    <row r="279" spans="1:13" s="4" customFormat="1" ht="12">
      <c r="A279" s="53"/>
      <c r="B279" s="2"/>
      <c r="C279" s="2"/>
      <c r="D279" s="2"/>
      <c r="E279" s="2"/>
      <c r="F279" s="30"/>
      <c r="G279" s="2"/>
      <c r="H279" s="2"/>
      <c r="I279" s="2"/>
      <c r="J279" s="2"/>
      <c r="K279" s="2"/>
      <c r="L279" s="2"/>
      <c r="M279" s="2"/>
    </row>
    <row r="280" spans="1:13" s="4" customFormat="1" ht="12">
      <c r="A280" s="53"/>
      <c r="B280" s="2"/>
      <c r="C280" s="2"/>
      <c r="D280" s="2"/>
      <c r="E280" s="2"/>
      <c r="F280" s="30"/>
      <c r="G280" s="2"/>
      <c r="H280" s="2"/>
      <c r="I280" s="2"/>
      <c r="J280" s="2"/>
      <c r="K280" s="2"/>
      <c r="L280" s="2"/>
      <c r="M280" s="2"/>
    </row>
    <row r="281" spans="1:13" s="4" customFormat="1" ht="12">
      <c r="A281" s="53"/>
      <c r="B281" s="2"/>
      <c r="C281" s="2"/>
      <c r="D281" s="2"/>
      <c r="E281" s="2"/>
      <c r="F281" s="30"/>
      <c r="G281" s="2"/>
      <c r="H281" s="2"/>
      <c r="I281" s="2"/>
      <c r="J281" s="2"/>
      <c r="K281" s="2"/>
      <c r="L281" s="2"/>
      <c r="M281" s="2"/>
    </row>
    <row r="282" spans="1:13" s="4" customFormat="1" ht="12">
      <c r="A282" s="53"/>
      <c r="B282" s="2"/>
      <c r="C282" s="2"/>
      <c r="D282" s="2"/>
      <c r="E282" s="2"/>
      <c r="F282" s="30"/>
      <c r="G282" s="2"/>
      <c r="H282" s="2"/>
      <c r="I282" s="2"/>
      <c r="J282" s="2"/>
      <c r="K282" s="2"/>
      <c r="L282" s="2"/>
      <c r="M282" s="2"/>
    </row>
    <row r="283" spans="1:13" s="4" customFormat="1" ht="12">
      <c r="A283" s="53"/>
      <c r="B283" s="2"/>
      <c r="C283" s="2"/>
      <c r="D283" s="2"/>
      <c r="E283" s="2"/>
      <c r="F283" s="30"/>
      <c r="G283" s="2"/>
      <c r="H283" s="2"/>
      <c r="I283" s="2"/>
      <c r="J283" s="2"/>
      <c r="K283" s="2"/>
      <c r="L283" s="2"/>
      <c r="M283" s="2"/>
    </row>
    <row r="284" spans="1:13" s="4" customFormat="1" ht="12">
      <c r="A284" s="53"/>
      <c r="B284" s="2"/>
      <c r="C284" s="2"/>
      <c r="D284" s="2"/>
      <c r="E284" s="2"/>
      <c r="F284" s="30"/>
      <c r="G284" s="2"/>
      <c r="H284" s="2"/>
      <c r="I284" s="2"/>
      <c r="J284" s="2"/>
      <c r="K284" s="2"/>
      <c r="L284" s="2"/>
      <c r="M284" s="2"/>
    </row>
    <row r="285" spans="1:13" s="4" customFormat="1" ht="12">
      <c r="A285" s="53"/>
      <c r="B285" s="2"/>
      <c r="C285" s="2"/>
      <c r="D285" s="2"/>
      <c r="E285" s="2"/>
      <c r="F285" s="30"/>
      <c r="G285" s="2"/>
      <c r="H285" s="2"/>
      <c r="I285" s="2"/>
      <c r="J285" s="2"/>
      <c r="K285" s="2"/>
      <c r="L285" s="2"/>
      <c r="M285" s="2"/>
    </row>
    <row r="286" spans="1:13" s="4" customFormat="1" ht="12">
      <c r="A286" s="53"/>
      <c r="B286" s="2"/>
      <c r="C286" s="2"/>
      <c r="D286" s="2"/>
      <c r="E286" s="2"/>
      <c r="F286" s="30"/>
      <c r="G286" s="2"/>
      <c r="H286" s="2"/>
      <c r="I286" s="2"/>
      <c r="J286" s="2"/>
      <c r="K286" s="2"/>
      <c r="L286" s="2"/>
      <c r="M286" s="2"/>
    </row>
    <row r="287" spans="1:13" s="4" customFormat="1" ht="12">
      <c r="A287" s="53"/>
      <c r="B287" s="2"/>
      <c r="C287" s="2"/>
      <c r="D287" s="2"/>
      <c r="E287" s="2"/>
      <c r="F287" s="30"/>
      <c r="G287" s="2"/>
      <c r="H287" s="2"/>
      <c r="I287" s="2"/>
      <c r="J287" s="2"/>
      <c r="K287" s="2"/>
      <c r="L287" s="2"/>
      <c r="M287" s="2"/>
    </row>
    <row r="288" spans="1:13" s="4" customFormat="1" ht="12">
      <c r="A288" s="53"/>
      <c r="B288" s="2"/>
      <c r="C288" s="2"/>
      <c r="D288" s="2"/>
      <c r="E288" s="2"/>
      <c r="F288" s="30"/>
      <c r="G288" s="2"/>
      <c r="H288" s="2"/>
      <c r="I288" s="2"/>
      <c r="J288" s="2"/>
      <c r="K288" s="2"/>
      <c r="L288" s="2"/>
      <c r="M288" s="2"/>
    </row>
    <row r="289" spans="1:13" s="4" customFormat="1" ht="12">
      <c r="A289" s="53"/>
      <c r="B289" s="2"/>
      <c r="C289" s="2"/>
      <c r="D289" s="2"/>
      <c r="E289" s="2"/>
      <c r="F289" s="30"/>
      <c r="G289" s="2"/>
      <c r="H289" s="2"/>
      <c r="I289" s="2"/>
      <c r="J289" s="2"/>
      <c r="K289" s="2"/>
      <c r="L289" s="2"/>
      <c r="M289" s="2"/>
    </row>
    <row r="290" spans="1:13" s="4" customFormat="1" ht="12">
      <c r="A290" s="53"/>
      <c r="B290" s="2"/>
      <c r="C290" s="2"/>
      <c r="D290" s="2"/>
      <c r="E290" s="2"/>
      <c r="F290" s="30"/>
      <c r="G290" s="2"/>
      <c r="H290" s="2"/>
      <c r="I290" s="2"/>
      <c r="J290" s="2"/>
      <c r="K290" s="2"/>
      <c r="L290" s="2"/>
      <c r="M290" s="2"/>
    </row>
    <row r="291" spans="1:13" s="4" customFormat="1" ht="12">
      <c r="A291" s="53"/>
      <c r="B291" s="2"/>
      <c r="C291" s="2"/>
      <c r="D291" s="2"/>
      <c r="E291" s="2"/>
      <c r="F291" s="30"/>
      <c r="G291" s="2"/>
      <c r="H291" s="2"/>
      <c r="I291" s="2"/>
      <c r="J291" s="2"/>
      <c r="K291" s="2"/>
      <c r="L291" s="2"/>
      <c r="M291" s="2"/>
    </row>
    <row r="292" spans="1:13" s="4" customFormat="1" ht="12">
      <c r="A292" s="53"/>
      <c r="B292" s="2"/>
      <c r="C292" s="2"/>
      <c r="D292" s="2"/>
      <c r="E292" s="2"/>
      <c r="F292" s="30"/>
      <c r="G292" s="2"/>
      <c r="H292" s="2"/>
      <c r="I292" s="2"/>
      <c r="J292" s="2"/>
      <c r="K292" s="2"/>
      <c r="L292" s="2"/>
      <c r="M292" s="2"/>
    </row>
    <row r="293" spans="1:13" s="4" customFormat="1" ht="12">
      <c r="A293" s="53"/>
      <c r="B293" s="2"/>
      <c r="C293" s="2"/>
      <c r="D293" s="2"/>
      <c r="E293" s="2"/>
      <c r="F293" s="30"/>
      <c r="G293" s="2"/>
      <c r="H293" s="2"/>
      <c r="I293" s="2"/>
      <c r="J293" s="2"/>
      <c r="K293" s="2"/>
      <c r="L293" s="2"/>
      <c r="M293" s="2"/>
    </row>
    <row r="294" spans="1:13" s="4" customFormat="1" ht="12">
      <c r="A294" s="53"/>
      <c r="B294" s="2"/>
      <c r="C294" s="2"/>
      <c r="D294" s="2"/>
      <c r="E294" s="2"/>
      <c r="F294" s="30"/>
      <c r="G294" s="2"/>
      <c r="H294" s="2"/>
      <c r="I294" s="2"/>
      <c r="J294" s="2"/>
      <c r="K294" s="2"/>
      <c r="L294" s="2"/>
      <c r="M294" s="2"/>
    </row>
    <row r="295" spans="1:13" s="4" customFormat="1" ht="12">
      <c r="A295" s="53"/>
      <c r="B295" s="2"/>
      <c r="C295" s="2"/>
      <c r="D295" s="2"/>
      <c r="E295" s="2"/>
      <c r="F295" s="30"/>
      <c r="G295" s="2"/>
      <c r="H295" s="2"/>
      <c r="I295" s="2"/>
      <c r="J295" s="2"/>
      <c r="K295" s="2"/>
      <c r="L295" s="2"/>
      <c r="M295" s="2"/>
    </row>
    <row r="296" spans="1:13" s="4" customFormat="1" ht="12">
      <c r="A296" s="53"/>
      <c r="B296" s="2"/>
      <c r="C296" s="2"/>
      <c r="D296" s="2"/>
      <c r="E296" s="2"/>
      <c r="F296" s="30"/>
      <c r="G296" s="2"/>
      <c r="H296" s="2"/>
      <c r="I296" s="2"/>
      <c r="J296" s="2"/>
      <c r="K296" s="2"/>
      <c r="L296" s="2"/>
      <c r="M296" s="2"/>
    </row>
    <row r="297" spans="1:13" s="4" customFormat="1" ht="12">
      <c r="A297" s="53"/>
      <c r="B297" s="2"/>
      <c r="C297" s="2"/>
      <c r="D297" s="2"/>
      <c r="E297" s="2"/>
      <c r="F297" s="30"/>
      <c r="G297" s="2"/>
      <c r="H297" s="2"/>
      <c r="I297" s="2"/>
      <c r="J297" s="2"/>
      <c r="K297" s="2"/>
      <c r="L297" s="2"/>
      <c r="M297" s="2"/>
    </row>
    <row r="298" spans="1:13" s="4" customFormat="1" ht="12">
      <c r="A298" s="53"/>
      <c r="B298" s="2"/>
      <c r="C298" s="2"/>
      <c r="D298" s="2"/>
      <c r="E298" s="2"/>
      <c r="F298" s="30"/>
      <c r="G298" s="2"/>
      <c r="H298" s="2"/>
      <c r="I298" s="2"/>
      <c r="J298" s="2"/>
      <c r="K298" s="2"/>
      <c r="L298" s="2"/>
      <c r="M298" s="2"/>
    </row>
    <row r="299" spans="1:13" s="4" customFormat="1" ht="12">
      <c r="A299" s="53"/>
      <c r="B299" s="2"/>
      <c r="C299" s="2"/>
      <c r="D299" s="2"/>
      <c r="E299" s="2"/>
      <c r="F299" s="30"/>
      <c r="G299" s="2"/>
      <c r="H299" s="2"/>
      <c r="I299" s="2"/>
      <c r="J299" s="2"/>
      <c r="K299" s="2"/>
      <c r="L299" s="2"/>
      <c r="M299" s="2"/>
    </row>
    <row r="300" spans="1:13" s="4" customFormat="1" ht="12">
      <c r="A300" s="53"/>
      <c r="B300" s="2"/>
      <c r="C300" s="2"/>
      <c r="D300" s="2"/>
      <c r="E300" s="2"/>
      <c r="F300" s="30"/>
      <c r="G300" s="2"/>
      <c r="H300" s="2"/>
      <c r="I300" s="2"/>
      <c r="J300" s="2"/>
      <c r="K300" s="2"/>
      <c r="L300" s="2"/>
      <c r="M300" s="2"/>
    </row>
    <row r="301" spans="1:13" s="4" customFormat="1" ht="12">
      <c r="A301" s="53"/>
      <c r="B301" s="2"/>
      <c r="C301" s="2"/>
      <c r="D301" s="2"/>
      <c r="E301" s="2"/>
      <c r="F301" s="30"/>
      <c r="G301" s="2"/>
      <c r="H301" s="2"/>
      <c r="I301" s="2"/>
      <c r="J301" s="2"/>
      <c r="K301" s="2"/>
      <c r="L301" s="2"/>
      <c r="M301" s="2"/>
    </row>
    <row r="302" spans="1:13" s="4" customFormat="1" ht="12">
      <c r="A302" s="53"/>
      <c r="B302" s="2"/>
      <c r="C302" s="2"/>
      <c r="D302" s="2"/>
      <c r="E302" s="2"/>
      <c r="F302" s="30"/>
      <c r="G302" s="2"/>
      <c r="H302" s="2"/>
      <c r="I302" s="2"/>
      <c r="J302" s="2"/>
      <c r="K302" s="2"/>
      <c r="L302" s="2"/>
      <c r="M302" s="2"/>
    </row>
    <row r="303" spans="1:13" s="4" customFormat="1" ht="12">
      <c r="A303" s="53"/>
      <c r="B303" s="2"/>
      <c r="C303" s="2"/>
      <c r="D303" s="2"/>
      <c r="E303" s="2"/>
      <c r="F303" s="30"/>
      <c r="G303" s="2"/>
      <c r="H303" s="2"/>
      <c r="I303" s="2"/>
      <c r="J303" s="2"/>
      <c r="K303" s="2"/>
      <c r="L303" s="2"/>
      <c r="M303" s="2"/>
    </row>
    <row r="304" spans="1:13" s="4" customFormat="1" ht="12">
      <c r="A304" s="53"/>
      <c r="B304" s="2"/>
      <c r="C304" s="2"/>
      <c r="D304" s="2"/>
      <c r="E304" s="2"/>
      <c r="F304" s="30"/>
      <c r="G304" s="2"/>
      <c r="H304" s="2"/>
      <c r="I304" s="2"/>
      <c r="J304" s="2"/>
      <c r="K304" s="2"/>
      <c r="L304" s="2"/>
      <c r="M304" s="2"/>
    </row>
    <row r="305" spans="1:13" s="4" customFormat="1" ht="12">
      <c r="A305" s="53"/>
      <c r="B305" s="2"/>
      <c r="C305" s="2"/>
      <c r="D305" s="2"/>
      <c r="E305" s="2"/>
      <c r="F305" s="30"/>
      <c r="G305" s="2"/>
      <c r="H305" s="2"/>
      <c r="I305" s="2"/>
      <c r="J305" s="2"/>
      <c r="K305" s="2"/>
      <c r="L305" s="2"/>
      <c r="M305" s="2"/>
    </row>
    <row r="306" spans="1:13" s="4" customFormat="1" ht="12">
      <c r="A306" s="53"/>
      <c r="B306" s="2"/>
      <c r="C306" s="2"/>
      <c r="D306" s="2"/>
      <c r="E306" s="2"/>
      <c r="F306" s="30"/>
      <c r="G306" s="2"/>
      <c r="H306" s="2"/>
      <c r="I306" s="2"/>
      <c r="J306" s="2"/>
      <c r="K306" s="2"/>
      <c r="L306" s="2"/>
      <c r="M306" s="2"/>
    </row>
    <row r="307" spans="1:13" s="4" customFormat="1" ht="12">
      <c r="A307" s="53"/>
      <c r="B307" s="2"/>
      <c r="C307" s="2"/>
      <c r="D307" s="2"/>
      <c r="E307" s="2"/>
      <c r="F307" s="30"/>
      <c r="G307" s="2"/>
      <c r="H307" s="2"/>
      <c r="I307" s="2"/>
      <c r="J307" s="2"/>
      <c r="K307" s="2"/>
      <c r="L307" s="2"/>
      <c r="M307" s="2"/>
    </row>
    <row r="308" spans="1:13" s="4" customFormat="1" ht="12">
      <c r="A308" s="2"/>
      <c r="B308" s="2"/>
      <c r="C308" s="2"/>
      <c r="D308" s="2"/>
      <c r="E308" s="2"/>
      <c r="F308" s="30"/>
      <c r="G308" s="2"/>
      <c r="H308" s="2"/>
      <c r="I308" s="2"/>
      <c r="J308" s="2"/>
      <c r="K308" s="2"/>
      <c r="L308" s="2"/>
      <c r="M308" s="2"/>
    </row>
    <row r="309" spans="1:13" s="4" customFormat="1" ht="12">
      <c r="A309" s="2"/>
      <c r="B309" s="2"/>
      <c r="C309" s="2"/>
      <c r="D309" s="2"/>
      <c r="E309" s="2"/>
      <c r="F309" s="30"/>
      <c r="G309" s="2"/>
      <c r="H309" s="2"/>
      <c r="I309" s="2"/>
      <c r="J309" s="2"/>
      <c r="K309" s="2"/>
      <c r="L309" s="2"/>
      <c r="M309" s="2"/>
    </row>
    <row r="310" spans="1:13" s="4" customFormat="1" ht="12">
      <c r="A310" s="2"/>
      <c r="B310" s="2"/>
      <c r="C310" s="2"/>
      <c r="D310" s="2"/>
      <c r="E310" s="2"/>
      <c r="F310" s="30"/>
      <c r="G310" s="2"/>
      <c r="H310" s="2"/>
      <c r="I310" s="2"/>
      <c r="J310" s="2"/>
      <c r="K310" s="2"/>
      <c r="L310" s="2"/>
      <c r="M310" s="2"/>
    </row>
    <row r="311" spans="1:13" s="4" customFormat="1" ht="12">
      <c r="A311" s="2"/>
      <c r="B311" s="2"/>
      <c r="C311" s="2"/>
      <c r="D311" s="2"/>
      <c r="E311" s="2"/>
      <c r="F311" s="30"/>
      <c r="G311" s="2"/>
      <c r="H311" s="2"/>
      <c r="I311" s="2"/>
      <c r="J311" s="2"/>
      <c r="K311" s="2"/>
      <c r="L311" s="2"/>
      <c r="M311" s="2"/>
    </row>
    <row r="312" spans="1:13" s="4" customFormat="1" ht="12">
      <c r="A312" s="2"/>
      <c r="B312" s="2"/>
      <c r="C312" s="2"/>
      <c r="D312" s="2"/>
      <c r="E312" s="2"/>
      <c r="F312" s="30"/>
      <c r="G312" s="2"/>
      <c r="H312" s="2"/>
      <c r="I312" s="2"/>
      <c r="J312" s="2"/>
      <c r="K312" s="2"/>
      <c r="L312" s="2"/>
      <c r="M312" s="2"/>
    </row>
    <row r="313" spans="1:13" s="4" customFormat="1" ht="12">
      <c r="A313" s="2"/>
      <c r="B313" s="2"/>
      <c r="C313" s="2"/>
      <c r="D313" s="2"/>
      <c r="E313" s="2"/>
      <c r="F313" s="30"/>
      <c r="G313" s="2"/>
      <c r="H313" s="2"/>
      <c r="I313" s="2"/>
      <c r="J313" s="2"/>
      <c r="K313" s="2"/>
      <c r="L313" s="2"/>
      <c r="M313" s="2"/>
    </row>
    <row r="314" spans="1:13" s="4" customFormat="1" ht="12">
      <c r="A314" s="2"/>
      <c r="B314" s="2"/>
      <c r="C314" s="2"/>
      <c r="D314" s="2"/>
      <c r="E314" s="2"/>
      <c r="F314" s="30"/>
      <c r="G314" s="2"/>
      <c r="H314" s="2"/>
      <c r="I314" s="2"/>
      <c r="J314" s="2"/>
      <c r="K314" s="2"/>
      <c r="L314" s="2"/>
      <c r="M314" s="2"/>
    </row>
    <row r="315" spans="1:13" s="4" customFormat="1" ht="12">
      <c r="A315" s="2"/>
      <c r="B315" s="2"/>
      <c r="C315" s="2"/>
      <c r="D315" s="2"/>
      <c r="E315" s="2"/>
      <c r="F315" s="30"/>
      <c r="G315" s="2"/>
      <c r="H315" s="2"/>
      <c r="I315" s="2"/>
      <c r="J315" s="2"/>
      <c r="K315" s="2"/>
      <c r="L315" s="2"/>
      <c r="M315" s="2"/>
    </row>
    <row r="316" spans="1:13" s="4" customFormat="1" ht="12">
      <c r="A316" s="2"/>
      <c r="B316" s="2"/>
      <c r="C316" s="2"/>
      <c r="D316" s="2"/>
      <c r="E316" s="2"/>
      <c r="F316" s="30"/>
      <c r="G316" s="2"/>
      <c r="H316" s="2"/>
      <c r="I316" s="2"/>
      <c r="J316" s="2"/>
      <c r="K316" s="2"/>
      <c r="L316" s="2"/>
      <c r="M316" s="2"/>
    </row>
    <row r="317" spans="1:13" s="4" customFormat="1" ht="12">
      <c r="A317" s="2"/>
      <c r="B317" s="2"/>
      <c r="C317" s="2"/>
      <c r="D317" s="2"/>
      <c r="E317" s="2"/>
      <c r="F317" s="30"/>
      <c r="G317" s="2"/>
      <c r="H317" s="2"/>
      <c r="I317" s="2"/>
      <c r="J317" s="2"/>
      <c r="K317" s="2"/>
      <c r="L317" s="2"/>
      <c r="M317" s="2"/>
    </row>
    <row r="318" spans="1:13" s="4" customFormat="1" ht="12">
      <c r="A318" s="2"/>
      <c r="B318" s="2"/>
      <c r="C318" s="2"/>
      <c r="D318" s="2"/>
      <c r="E318" s="2"/>
      <c r="F318" s="30"/>
      <c r="G318" s="2"/>
      <c r="H318" s="2"/>
      <c r="I318" s="2"/>
      <c r="J318" s="2"/>
      <c r="K318" s="2"/>
      <c r="L318" s="2"/>
      <c r="M318" s="2"/>
    </row>
    <row r="319" spans="1:13" s="4" customFormat="1" ht="12">
      <c r="A319" s="2"/>
      <c r="B319" s="2"/>
      <c r="C319" s="2"/>
      <c r="D319" s="2"/>
      <c r="E319" s="2"/>
      <c r="F319" s="30"/>
      <c r="G319" s="2"/>
      <c r="H319" s="2"/>
      <c r="I319" s="2"/>
      <c r="J319" s="2"/>
      <c r="K319" s="2"/>
      <c r="L319" s="2"/>
      <c r="M319" s="2"/>
    </row>
    <row r="320" spans="1:13" s="4" customFormat="1" ht="12">
      <c r="A320" s="2"/>
      <c r="B320" s="2"/>
      <c r="C320" s="2"/>
      <c r="D320" s="2"/>
      <c r="E320" s="2"/>
      <c r="F320" s="30"/>
      <c r="G320" s="2"/>
      <c r="H320" s="2"/>
      <c r="I320" s="2"/>
      <c r="J320" s="2"/>
      <c r="K320" s="2"/>
      <c r="L320" s="2"/>
      <c r="M320" s="2"/>
    </row>
    <row r="321" spans="1:13" s="4" customFormat="1" ht="12">
      <c r="A321" s="2"/>
      <c r="B321" s="2"/>
      <c r="C321" s="2"/>
      <c r="D321" s="2"/>
      <c r="E321" s="2"/>
      <c r="F321" s="30"/>
      <c r="G321" s="2"/>
      <c r="H321" s="2"/>
      <c r="I321" s="2"/>
      <c r="J321" s="2"/>
      <c r="K321" s="2"/>
      <c r="L321" s="2"/>
      <c r="M321" s="2"/>
    </row>
    <row r="322" spans="1:13" s="4" customFormat="1" ht="12">
      <c r="A322" s="2"/>
      <c r="B322" s="2"/>
      <c r="C322" s="2"/>
      <c r="D322" s="2"/>
      <c r="E322" s="2"/>
      <c r="F322" s="30"/>
      <c r="G322" s="2"/>
      <c r="H322" s="2"/>
      <c r="I322" s="2"/>
      <c r="J322" s="2"/>
      <c r="K322" s="2"/>
      <c r="L322" s="2"/>
      <c r="M322" s="2"/>
    </row>
    <row r="323" spans="1:13" s="4" customFormat="1" ht="12">
      <c r="A323" s="2"/>
      <c r="B323" s="2"/>
      <c r="C323" s="2"/>
      <c r="D323" s="2"/>
      <c r="E323" s="2"/>
      <c r="F323" s="30"/>
      <c r="G323" s="2"/>
      <c r="H323" s="2"/>
      <c r="I323" s="2"/>
      <c r="J323" s="2"/>
      <c r="K323" s="2"/>
      <c r="L323" s="2"/>
      <c r="M323" s="2"/>
    </row>
    <row r="324" spans="1:13" s="4" customFormat="1" ht="12">
      <c r="A324" s="2"/>
      <c r="B324" s="2"/>
      <c r="C324" s="2"/>
      <c r="D324" s="2"/>
      <c r="E324" s="2"/>
      <c r="F324" s="30"/>
      <c r="G324" s="2"/>
      <c r="H324" s="2"/>
      <c r="I324" s="2"/>
      <c r="J324" s="2"/>
      <c r="K324" s="2"/>
      <c r="L324" s="2"/>
      <c r="M324" s="2"/>
    </row>
    <row r="325" spans="1:13" s="4" customFormat="1" ht="12">
      <c r="A325" s="2"/>
      <c r="B325" s="2"/>
      <c r="C325" s="2"/>
      <c r="D325" s="2"/>
      <c r="E325" s="2"/>
      <c r="F325" s="30"/>
      <c r="G325" s="2"/>
      <c r="H325" s="2"/>
      <c r="I325" s="2"/>
      <c r="J325" s="2"/>
      <c r="K325" s="2"/>
      <c r="L325" s="2"/>
      <c r="M325" s="2"/>
    </row>
    <row r="326" spans="1:13" s="4" customFormat="1" ht="12">
      <c r="A326" s="2"/>
      <c r="B326" s="2"/>
      <c r="C326" s="2"/>
      <c r="D326" s="2"/>
      <c r="E326" s="2"/>
      <c r="F326" s="30"/>
      <c r="G326" s="2"/>
      <c r="H326" s="2"/>
      <c r="I326" s="2"/>
      <c r="J326" s="2"/>
      <c r="K326" s="2"/>
      <c r="L326" s="2"/>
      <c r="M326" s="2"/>
    </row>
    <row r="327" spans="1:13" s="4" customFormat="1" ht="12">
      <c r="A327" s="2"/>
      <c r="B327" s="2"/>
      <c r="C327" s="2"/>
      <c r="D327" s="2"/>
      <c r="E327" s="2"/>
      <c r="F327" s="30"/>
      <c r="G327" s="2"/>
      <c r="H327" s="2"/>
      <c r="I327" s="2"/>
      <c r="J327" s="2"/>
      <c r="K327" s="2"/>
      <c r="L327" s="2"/>
      <c r="M327" s="2"/>
    </row>
    <row r="328" spans="1:13" s="4" customFormat="1" ht="12">
      <c r="A328" s="2"/>
      <c r="B328" s="2"/>
      <c r="C328" s="2"/>
      <c r="D328" s="2"/>
      <c r="E328" s="2"/>
      <c r="F328" s="30"/>
      <c r="G328" s="2"/>
      <c r="H328" s="2"/>
      <c r="I328" s="2"/>
      <c r="J328" s="2"/>
      <c r="K328" s="2"/>
      <c r="L328" s="2"/>
      <c r="M328" s="2"/>
    </row>
    <row r="329" spans="1:13" s="4" customFormat="1" ht="12">
      <c r="A329" s="2"/>
      <c r="B329" s="2"/>
      <c r="C329" s="2"/>
      <c r="D329" s="2"/>
      <c r="E329" s="2"/>
      <c r="F329" s="30"/>
      <c r="G329" s="2"/>
      <c r="H329" s="2"/>
      <c r="I329" s="2"/>
      <c r="J329" s="2"/>
      <c r="K329" s="2"/>
      <c r="L329" s="2"/>
      <c r="M329" s="2"/>
    </row>
    <row r="330" spans="1:13" s="4" customFormat="1" ht="12">
      <c r="A330" s="2"/>
      <c r="B330" s="2"/>
      <c r="C330" s="2"/>
      <c r="D330" s="2"/>
      <c r="E330" s="2"/>
      <c r="F330" s="30"/>
      <c r="G330" s="2"/>
      <c r="H330" s="2"/>
      <c r="I330" s="2"/>
      <c r="J330" s="2"/>
      <c r="K330" s="2"/>
      <c r="L330" s="2"/>
      <c r="M330" s="2"/>
    </row>
    <row r="331" spans="1:13" s="4" customFormat="1" ht="12">
      <c r="A331" s="2"/>
      <c r="B331" s="2"/>
      <c r="C331" s="2"/>
      <c r="D331" s="2"/>
      <c r="E331" s="2"/>
      <c r="F331" s="30"/>
      <c r="G331" s="2"/>
      <c r="H331" s="2"/>
      <c r="I331" s="2"/>
      <c r="J331" s="2"/>
      <c r="K331" s="2"/>
      <c r="L331" s="2"/>
      <c r="M331" s="2"/>
    </row>
    <row r="332" spans="1:13" s="4" customFormat="1" ht="12">
      <c r="A332" s="2"/>
      <c r="B332" s="2"/>
      <c r="C332" s="2"/>
      <c r="D332" s="2"/>
      <c r="E332" s="2"/>
      <c r="F332" s="30"/>
      <c r="G332" s="2"/>
      <c r="H332" s="2"/>
      <c r="I332" s="2"/>
      <c r="J332" s="2"/>
      <c r="K332" s="2"/>
      <c r="L332" s="2"/>
      <c r="M332" s="2"/>
    </row>
    <row r="333" spans="1:13" s="4" customFormat="1" ht="12">
      <c r="A333" s="2"/>
      <c r="B333" s="2"/>
      <c r="C333" s="2"/>
      <c r="D333" s="2"/>
      <c r="E333" s="2"/>
      <c r="F333" s="30"/>
      <c r="G333" s="2"/>
      <c r="H333" s="2"/>
      <c r="I333" s="2"/>
      <c r="J333" s="2"/>
      <c r="K333" s="2"/>
      <c r="L333" s="2"/>
      <c r="M333" s="2"/>
    </row>
    <row r="334" spans="1:13" s="4" customFormat="1" ht="12">
      <c r="A334" s="2"/>
      <c r="B334" s="2"/>
      <c r="C334" s="2"/>
      <c r="D334" s="2"/>
      <c r="E334" s="2"/>
      <c r="F334" s="30"/>
      <c r="G334" s="2"/>
      <c r="H334" s="2"/>
      <c r="I334" s="2"/>
      <c r="J334" s="2"/>
      <c r="K334" s="2"/>
      <c r="L334" s="2"/>
      <c r="M334" s="2"/>
    </row>
    <row r="335" spans="1:13" s="4" customFormat="1" ht="12">
      <c r="A335" s="2"/>
      <c r="B335" s="2"/>
      <c r="C335" s="2"/>
      <c r="D335" s="2"/>
      <c r="E335" s="2"/>
      <c r="F335" s="30"/>
      <c r="G335" s="2"/>
      <c r="H335" s="2"/>
      <c r="I335" s="2"/>
      <c r="J335" s="2"/>
      <c r="K335" s="2"/>
      <c r="L335" s="2"/>
      <c r="M335" s="2"/>
    </row>
    <row r="336" spans="1:13" s="4" customFormat="1" ht="12">
      <c r="A336" s="2"/>
      <c r="B336" s="2"/>
      <c r="C336" s="2"/>
      <c r="D336" s="2"/>
      <c r="E336" s="2"/>
      <c r="F336" s="30"/>
      <c r="G336" s="2"/>
      <c r="H336" s="2"/>
      <c r="I336" s="2"/>
      <c r="J336" s="2"/>
      <c r="K336" s="2"/>
      <c r="L336" s="2"/>
      <c r="M336" s="2"/>
    </row>
    <row r="337" spans="1:13" s="4" customFormat="1" ht="12">
      <c r="A337" s="2"/>
      <c r="B337" s="2"/>
      <c r="C337" s="2"/>
      <c r="D337" s="2"/>
      <c r="E337" s="2"/>
      <c r="F337" s="30"/>
      <c r="G337" s="2"/>
      <c r="H337" s="2"/>
      <c r="I337" s="2"/>
      <c r="J337" s="2"/>
      <c r="K337" s="2"/>
      <c r="L337" s="2"/>
      <c r="M337" s="2"/>
    </row>
    <row r="338" spans="1:13" s="4" customFormat="1" ht="12">
      <c r="A338" s="2"/>
      <c r="B338" s="2"/>
      <c r="C338" s="2"/>
      <c r="D338" s="2"/>
      <c r="E338" s="2"/>
      <c r="F338" s="30"/>
      <c r="G338" s="2"/>
      <c r="H338" s="2"/>
      <c r="I338" s="2"/>
      <c r="J338" s="2"/>
      <c r="K338" s="2"/>
      <c r="L338" s="2"/>
      <c r="M338" s="2"/>
    </row>
    <row r="339" spans="1:13" s="4" customFormat="1" ht="12">
      <c r="A339" s="2"/>
      <c r="B339" s="2"/>
      <c r="C339" s="2"/>
      <c r="D339" s="2"/>
      <c r="E339" s="2"/>
      <c r="F339" s="30"/>
      <c r="G339" s="2"/>
      <c r="H339" s="2"/>
      <c r="I339" s="2"/>
      <c r="J339" s="2"/>
      <c r="K339" s="2"/>
      <c r="L339" s="2"/>
      <c r="M339" s="2"/>
    </row>
    <row r="340" spans="1:13" s="4" customFormat="1" ht="12">
      <c r="A340" s="2"/>
      <c r="B340" s="2"/>
      <c r="C340" s="2"/>
      <c r="D340" s="2"/>
      <c r="E340" s="2"/>
      <c r="F340" s="30"/>
      <c r="G340" s="2"/>
      <c r="H340" s="2"/>
      <c r="I340" s="2"/>
      <c r="J340" s="2"/>
      <c r="K340" s="2"/>
      <c r="L340" s="2"/>
      <c r="M340" s="2"/>
    </row>
    <row r="341" spans="1:13" s="4" customFormat="1" ht="12">
      <c r="A341" s="2"/>
      <c r="B341" s="2"/>
      <c r="C341" s="2"/>
      <c r="D341" s="2"/>
      <c r="E341" s="2"/>
      <c r="F341" s="30"/>
      <c r="G341" s="2"/>
      <c r="H341" s="2"/>
      <c r="I341" s="2"/>
      <c r="J341" s="2"/>
      <c r="K341" s="2"/>
      <c r="L341" s="2"/>
      <c r="M341" s="2"/>
    </row>
    <row r="342" spans="1:13" s="4" customFormat="1" ht="12">
      <c r="A342" s="2"/>
      <c r="B342" s="2"/>
      <c r="C342" s="2"/>
      <c r="D342" s="2"/>
      <c r="E342" s="2"/>
      <c r="F342" s="30"/>
      <c r="G342" s="2"/>
      <c r="H342" s="2"/>
      <c r="I342" s="2"/>
      <c r="J342" s="2"/>
      <c r="K342" s="2"/>
      <c r="L342" s="2"/>
      <c r="M342" s="2"/>
    </row>
    <row r="343" spans="1:13" s="4" customFormat="1" ht="12">
      <c r="A343" s="2"/>
      <c r="B343" s="2"/>
      <c r="C343" s="2"/>
      <c r="D343" s="2"/>
      <c r="E343" s="2"/>
      <c r="F343" s="30"/>
      <c r="G343" s="2"/>
      <c r="H343" s="2"/>
      <c r="I343" s="2"/>
      <c r="J343" s="2"/>
      <c r="K343" s="2"/>
      <c r="L343" s="2"/>
      <c r="M343" s="2"/>
    </row>
    <row r="344" spans="1:13" s="4" customFormat="1" ht="12">
      <c r="A344" s="2"/>
      <c r="B344" s="2"/>
      <c r="C344" s="2"/>
      <c r="D344" s="2"/>
      <c r="E344" s="2"/>
      <c r="F344" s="30"/>
      <c r="G344" s="2"/>
      <c r="H344" s="2"/>
      <c r="I344" s="2"/>
      <c r="J344" s="2"/>
      <c r="K344" s="2"/>
      <c r="L344" s="2"/>
      <c r="M344" s="2"/>
    </row>
    <row r="345" spans="1:13" s="4" customFormat="1" ht="12">
      <c r="A345" s="2"/>
      <c r="B345" s="2"/>
      <c r="C345" s="2"/>
      <c r="D345" s="2"/>
      <c r="E345" s="2"/>
      <c r="F345" s="30"/>
      <c r="G345" s="2"/>
      <c r="H345" s="2"/>
      <c r="I345" s="2"/>
      <c r="J345" s="2"/>
      <c r="K345" s="2"/>
      <c r="L345" s="2"/>
      <c r="M345" s="2"/>
    </row>
    <row r="346" spans="1:13" s="4" customFormat="1" ht="12">
      <c r="A346" s="2"/>
      <c r="B346" s="2"/>
      <c r="C346" s="2"/>
      <c r="D346" s="2"/>
      <c r="E346" s="2"/>
      <c r="F346" s="30"/>
      <c r="G346" s="2"/>
      <c r="H346" s="2"/>
      <c r="I346" s="2"/>
      <c r="J346" s="2"/>
      <c r="K346" s="2"/>
      <c r="L346" s="2"/>
      <c r="M346" s="2"/>
    </row>
    <row r="347" spans="1:13" s="4" customFormat="1" ht="12">
      <c r="A347" s="2"/>
      <c r="B347" s="2"/>
      <c r="C347" s="2"/>
      <c r="D347" s="2"/>
      <c r="E347" s="2"/>
      <c r="F347" s="30"/>
      <c r="G347" s="2"/>
      <c r="H347" s="2"/>
      <c r="I347" s="2"/>
      <c r="J347" s="2"/>
      <c r="K347" s="2"/>
      <c r="L347" s="2"/>
      <c r="M347" s="2"/>
    </row>
    <row r="348" spans="1:13" s="4" customFormat="1" ht="12">
      <c r="A348" s="2"/>
      <c r="B348" s="2"/>
      <c r="C348" s="2"/>
      <c r="D348" s="2"/>
      <c r="E348" s="2"/>
      <c r="F348" s="30"/>
      <c r="G348" s="2"/>
      <c r="H348" s="2"/>
      <c r="I348" s="2"/>
      <c r="J348" s="2"/>
      <c r="K348" s="2"/>
      <c r="L348" s="2"/>
      <c r="M348" s="2"/>
    </row>
  </sheetData>
  <pageMargins left="0.7" right="0.7" top="0.75" bottom="0.75" header="0.3" footer="0.3"/>
  <pageSetup orientation="portrait" r:id="rId1"/>
  <headerFooter>
    <oddFooter>&amp;L&amp;"Times New Roman,Regular"&amp;9O3129680.v1</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M282"/>
  <sheetViews>
    <sheetView workbookViewId="0" topLeftCell="A1"/>
  </sheetViews>
  <sheetFormatPr defaultColWidth="10.85546875" defaultRowHeight="12"/>
  <cols>
    <col min="1" max="1" width="5" style="2" customWidth="1"/>
    <col min="2" max="2" width="32.5714285714286" style="2" bestFit="1" customWidth="1"/>
    <col min="3" max="6" width="11.7142857142857" style="2" customWidth="1"/>
    <col min="7" max="7" width="10.4285714285714" style="2" customWidth="1"/>
    <col min="8" max="8" width="13" style="2" customWidth="1"/>
    <col min="9" max="16384" width="10.8571428571429" style="54"/>
  </cols>
  <sheetData>
    <row r="1" spans="1:8" ht="12">
      <c r="A1" s="1" t="s">
        <v>88</v>
      </c>
      <c r="B1" s="1"/>
      <c r="D1" s="3"/>
      <c r="E1" s="3"/>
      <c r="H1" s="490" t="s">
        <v>1</v>
      </c>
    </row>
    <row r="2" spans="1:8" ht="12">
      <c r="A2" s="1" t="s">
        <v>2</v>
      </c>
      <c r="B2" s="1"/>
      <c r="C2" s="3"/>
      <c r="D2" s="3"/>
      <c r="E2" s="3"/>
      <c r="H2" s="487" t="s">
        <v>89</v>
      </c>
    </row>
    <row r="3" spans="1:8" ht="12" customHeight="1">
      <c r="A3" s="137" t="s">
        <v>84</v>
      </c>
      <c r="B3" s="9"/>
      <c r="C3"/>
      <c r="D3" s="664"/>
      <c r="E3"/>
      <c r="H3" s="490" t="s">
        <v>4</v>
      </c>
    </row>
    <row r="4" spans="1:8" ht="12" customHeight="1">
      <c r="A4" s="386" t="s">
        <v>586</v>
      </c>
      <c r="B4" s="9"/>
      <c r="C4"/>
      <c r="D4" s="664"/>
      <c r="E4"/>
      <c r="H4" s="490" t="s">
        <v>86</v>
      </c>
    </row>
    <row r="5" spans="1:8" ht="12" customHeight="1">
      <c r="A5" s="1" t="s">
        <v>87</v>
      </c>
      <c r="B5" s="1"/>
      <c r="C5"/>
      <c r="D5" s="664"/>
      <c r="E5"/>
      <c r="H5" s="490"/>
    </row>
    <row r="6" spans="1:8" ht="12" customHeight="1" thickBot="1">
      <c r="A6" s="8" t="s">
        <v>5</v>
      </c>
      <c r="B6" s="9"/>
      <c r="C6" s="55"/>
      <c r="D6" s="619"/>
      <c r="E6" s="55"/>
      <c r="H6" s="490" t="s">
        <v>90</v>
      </c>
    </row>
    <row r="7" spans="1:8" s="59" customFormat="1" ht="12">
      <c r="A7" s="56"/>
      <c r="B7" s="57" t="s">
        <v>7</v>
      </c>
      <c r="C7" s="58">
        <f>+B7-1</f>
        <v>-2</v>
      </c>
      <c r="D7" s="58">
        <f>E7-1</f>
        <v>-4</v>
      </c>
      <c r="E7" s="58">
        <f>C7-1</f>
        <v>-3</v>
      </c>
      <c r="F7" s="58">
        <f>D7-1</f>
        <v>-5</v>
      </c>
      <c r="G7" s="58">
        <f t="shared" si="0" ref="G7:H7">F7-1</f>
        <v>-6</v>
      </c>
      <c r="H7" s="58">
        <f t="shared" si="0"/>
        <v>-7</v>
      </c>
    </row>
    <row r="8" spans="1:8" ht="12">
      <c r="A8" s="19" t="s">
        <v>91</v>
      </c>
      <c r="B8" s="60" t="s">
        <v>92</v>
      </c>
      <c r="C8" s="20" t="s">
        <v>93</v>
      </c>
      <c r="D8" s="527" t="s">
        <v>658</v>
      </c>
      <c r="E8" s="21" t="s">
        <v>660</v>
      </c>
      <c r="F8" s="21" t="s">
        <v>10</v>
      </c>
      <c r="G8" s="19" t="s">
        <v>11</v>
      </c>
      <c r="H8" s="21" t="s">
        <v>11</v>
      </c>
    </row>
    <row r="9" spans="1:8" ht="12">
      <c r="A9" s="24" t="s">
        <v>94</v>
      </c>
      <c r="B9" s="24" t="s">
        <v>12</v>
      </c>
      <c r="C9" s="25" t="s">
        <v>95</v>
      </c>
      <c r="D9" s="25" t="s">
        <v>659</v>
      </c>
      <c r="E9" s="25" t="s">
        <v>661</v>
      </c>
      <c r="F9" s="26" t="s">
        <v>14</v>
      </c>
      <c r="G9" s="24" t="s">
        <v>15</v>
      </c>
      <c r="H9" s="25" t="s">
        <v>16</v>
      </c>
    </row>
    <row r="10" spans="1:8" ht="12">
      <c r="A10" s="28">
        <v>1</v>
      </c>
      <c r="B10" s="1" t="s">
        <v>17</v>
      </c>
      <c r="C10" s="61"/>
      <c r="D10" s="29"/>
      <c r="E10" s="29"/>
      <c r="F10" s="29"/>
      <c r="G10" s="62"/>
      <c r="H10" s="29"/>
    </row>
    <row r="11" spans="1:9" ht="12">
      <c r="A11" s="28">
        <f>A10+1</f>
        <v>2</v>
      </c>
      <c r="B11" s="2" t="s">
        <v>18</v>
      </c>
      <c r="C11" s="63"/>
      <c r="D11" s="63"/>
      <c r="E11" s="63"/>
      <c r="F11" s="63"/>
      <c r="G11" s="71"/>
      <c r="H11" s="29"/>
      <c r="I11" s="64"/>
    </row>
    <row r="12" spans="1:9" ht="12">
      <c r="A12" s="28">
        <f t="shared" si="1" ref="A12:A74">A11+1</f>
        <v>3</v>
      </c>
      <c r="B12" s="2" t="s">
        <v>19</v>
      </c>
      <c r="C12" s="65"/>
      <c r="D12" s="29"/>
      <c r="E12" s="29"/>
      <c r="F12" s="29"/>
      <c r="G12" s="71"/>
      <c r="H12" s="29"/>
      <c r="I12" s="66"/>
    </row>
    <row r="13" spans="1:9" ht="12">
      <c r="A13" s="28">
        <f t="shared" si="1"/>
        <v>4</v>
      </c>
      <c r="B13" s="2" t="s">
        <v>20</v>
      </c>
      <c r="C13" s="65"/>
      <c r="D13" s="29"/>
      <c r="E13" s="29"/>
      <c r="F13" s="29"/>
      <c r="G13" s="71"/>
      <c r="H13" s="29"/>
      <c r="I13" s="66"/>
    </row>
    <row r="14" spans="1:8" ht="12">
      <c r="A14" s="28">
        <f t="shared" si="1"/>
        <v>5</v>
      </c>
      <c r="B14" s="1" t="s">
        <v>21</v>
      </c>
      <c r="C14" s="65"/>
      <c r="D14" s="29"/>
      <c r="E14" s="29"/>
      <c r="F14" s="29"/>
      <c r="G14" s="71"/>
      <c r="H14" s="29"/>
    </row>
    <row r="15" spans="1:8" ht="12">
      <c r="A15" s="28">
        <f t="shared" si="1"/>
        <v>6</v>
      </c>
      <c r="B15" s="2" t="s">
        <v>22</v>
      </c>
      <c r="C15" s="65"/>
      <c r="D15" s="29"/>
      <c r="E15" s="29"/>
      <c r="F15" s="29"/>
      <c r="G15" s="71"/>
      <c r="H15" s="29"/>
    </row>
    <row r="16" spans="1:8" ht="12">
      <c r="A16" s="28">
        <f t="shared" si="1"/>
        <v>7</v>
      </c>
      <c r="B16" s="2" t="s">
        <v>23</v>
      </c>
      <c r="C16" s="65"/>
      <c r="D16" s="29"/>
      <c r="E16" s="29"/>
      <c r="F16" s="29"/>
      <c r="G16" s="71"/>
      <c r="H16" s="29"/>
    </row>
    <row r="17" spans="1:8" ht="12">
      <c r="A17" s="28">
        <f t="shared" si="1"/>
        <v>8</v>
      </c>
      <c r="B17" s="36" t="s">
        <v>24</v>
      </c>
      <c r="C17" s="65"/>
      <c r="D17" s="29"/>
      <c r="E17" s="29"/>
      <c r="F17" s="29"/>
      <c r="G17" s="71"/>
      <c r="H17" s="29"/>
    </row>
    <row r="18" spans="1:9" ht="12">
      <c r="A18" s="28">
        <f t="shared" si="1"/>
        <v>9</v>
      </c>
      <c r="B18" s="2" t="s">
        <v>25</v>
      </c>
      <c r="C18" s="65"/>
      <c r="D18" s="29"/>
      <c r="E18" s="29"/>
      <c r="F18" s="29"/>
      <c r="G18" s="71"/>
      <c r="H18" s="29"/>
      <c r="I18" s="66"/>
    </row>
    <row r="19" spans="1:9" ht="12">
      <c r="A19" s="28">
        <f t="shared" si="1"/>
        <v>10</v>
      </c>
      <c r="B19" s="2" t="s">
        <v>26</v>
      </c>
      <c r="C19" s="65"/>
      <c r="D19" s="29"/>
      <c r="E19" s="29"/>
      <c r="F19" s="29"/>
      <c r="G19" s="71"/>
      <c r="H19" s="29"/>
      <c r="I19" s="66"/>
    </row>
    <row r="20" spans="1:8" ht="12">
      <c r="A20" s="28">
        <f t="shared" si="1"/>
        <v>11</v>
      </c>
      <c r="B20" s="2" t="s">
        <v>27</v>
      </c>
      <c r="C20" s="65"/>
      <c r="D20" s="29"/>
      <c r="E20" s="29"/>
      <c r="F20" s="29"/>
      <c r="G20" s="71"/>
      <c r="H20" s="29"/>
    </row>
    <row r="21" spans="1:9" ht="12">
      <c r="A21" s="28">
        <f t="shared" si="1"/>
        <v>12</v>
      </c>
      <c r="B21" s="2" t="s">
        <v>28</v>
      </c>
      <c r="C21" s="65"/>
      <c r="D21" s="29"/>
      <c r="E21" s="29"/>
      <c r="F21" s="29"/>
      <c r="G21" s="71"/>
      <c r="H21" s="29"/>
      <c r="I21" s="66"/>
    </row>
    <row r="22" spans="1:10" ht="12">
      <c r="A22" s="28">
        <f t="shared" si="1"/>
        <v>13</v>
      </c>
      <c r="B22" s="2" t="s">
        <v>29</v>
      </c>
      <c r="C22" s="65"/>
      <c r="D22" s="29"/>
      <c r="E22" s="29"/>
      <c r="F22" s="29"/>
      <c r="G22" s="71"/>
      <c r="H22" s="29"/>
      <c r="I22" s="66"/>
      <c r="J22" s="29"/>
    </row>
    <row r="23" spans="1:10" ht="12">
      <c r="A23" s="28">
        <f t="shared" si="1"/>
        <v>14</v>
      </c>
      <c r="B23" s="2" t="s">
        <v>30</v>
      </c>
      <c r="C23" s="65"/>
      <c r="D23" s="29"/>
      <c r="E23" s="29"/>
      <c r="F23" s="29"/>
      <c r="G23" s="71"/>
      <c r="H23" s="29"/>
      <c r="J23" s="63"/>
    </row>
    <row r="24" spans="1:10" ht="12">
      <c r="A24" s="28">
        <f t="shared" si="1"/>
        <v>15</v>
      </c>
      <c r="B24" s="2" t="s">
        <v>31</v>
      </c>
      <c r="C24" s="65"/>
      <c r="D24" s="29"/>
      <c r="E24" s="29"/>
      <c r="F24" s="29"/>
      <c r="G24" s="71"/>
      <c r="H24" s="29"/>
      <c r="J24" s="29"/>
    </row>
    <row r="25" spans="1:10" ht="12">
      <c r="A25" s="28">
        <f t="shared" si="1"/>
        <v>16</v>
      </c>
      <c r="B25" s="1" t="s">
        <v>32</v>
      </c>
      <c r="C25" s="65"/>
      <c r="D25" s="29"/>
      <c r="E25" s="29"/>
      <c r="F25" s="29"/>
      <c r="G25" s="71"/>
      <c r="H25" s="29"/>
      <c r="J25" s="29"/>
    </row>
    <row r="26" spans="1:10" ht="12">
      <c r="A26" s="28">
        <f t="shared" si="1"/>
        <v>17</v>
      </c>
      <c r="B26" s="2" t="s">
        <v>33</v>
      </c>
      <c r="C26" s="65"/>
      <c r="D26" s="29"/>
      <c r="E26" s="29"/>
      <c r="F26" s="29"/>
      <c r="G26" s="71"/>
      <c r="H26" s="29"/>
      <c r="J26" s="29"/>
    </row>
    <row r="27" spans="1:10" ht="12">
      <c r="A27" s="28">
        <f t="shared" si="1"/>
        <v>18</v>
      </c>
      <c r="B27" s="2" t="s">
        <v>34</v>
      </c>
      <c r="C27" s="65"/>
      <c r="D27" s="29"/>
      <c r="E27" s="29"/>
      <c r="F27" s="29"/>
      <c r="G27" s="71"/>
      <c r="H27" s="29"/>
      <c r="J27" s="29"/>
    </row>
    <row r="28" spans="1:10" ht="12">
      <c r="A28" s="28">
        <f t="shared" si="1"/>
        <v>19</v>
      </c>
      <c r="B28" s="2" t="s">
        <v>35</v>
      </c>
      <c r="C28" s="65"/>
      <c r="D28" s="29"/>
      <c r="E28" s="29"/>
      <c r="F28" s="29"/>
      <c r="G28" s="71"/>
      <c r="H28" s="29"/>
      <c r="J28" s="29"/>
    </row>
    <row r="29" spans="1:10" ht="12">
      <c r="A29" s="28">
        <f t="shared" si="1"/>
        <v>20</v>
      </c>
      <c r="B29" s="2" t="s">
        <v>36</v>
      </c>
      <c r="C29" s="65"/>
      <c r="D29" s="29"/>
      <c r="E29" s="29"/>
      <c r="F29" s="29"/>
      <c r="G29" s="71"/>
      <c r="H29" s="29"/>
      <c r="I29" s="66"/>
      <c r="J29" s="29"/>
    </row>
    <row r="30" spans="1:10" ht="12">
      <c r="A30" s="28">
        <f t="shared" si="1"/>
        <v>21</v>
      </c>
      <c r="B30" s="2" t="s">
        <v>37</v>
      </c>
      <c r="C30" s="65"/>
      <c r="D30" s="29"/>
      <c r="E30" s="29"/>
      <c r="F30" s="29"/>
      <c r="G30" s="71"/>
      <c r="H30" s="29"/>
      <c r="I30" s="66"/>
      <c r="J30" s="29"/>
    </row>
    <row r="31" spans="1:10" ht="12">
      <c r="A31" s="28">
        <f t="shared" si="1"/>
        <v>22</v>
      </c>
      <c r="B31" s="1" t="s">
        <v>38</v>
      </c>
      <c r="C31" s="65"/>
      <c r="D31" s="29"/>
      <c r="E31" s="29"/>
      <c r="F31" s="29"/>
      <c r="G31" s="71"/>
      <c r="H31" s="29"/>
      <c r="J31" s="29"/>
    </row>
    <row r="32" spans="1:10" ht="12">
      <c r="A32" s="28">
        <f t="shared" si="1"/>
        <v>23</v>
      </c>
      <c r="B32" s="2" t="s">
        <v>39</v>
      </c>
      <c r="C32" s="65">
        <v>0</v>
      </c>
      <c r="D32" s="29"/>
      <c r="E32" s="29"/>
      <c r="F32" s="65">
        <f>SUM(C32:E32)</f>
        <v>0</v>
      </c>
      <c r="G32" s="71">
        <f>IF('LUSI A 6'!F34=0,0,'LUSI A 6'!F34)</f>
        <v>0.28000000000000003</v>
      </c>
      <c r="H32" s="65">
        <f t="shared" si="2" ref="H32:H38">IF(G32=0,0,ROUND(F32*G32,0))</f>
        <v>0</v>
      </c>
      <c r="I32" s="65">
        <v>0</v>
      </c>
      <c r="J32" s="29"/>
    </row>
    <row r="33" spans="1:10" ht="12">
      <c r="A33" s="28">
        <f t="shared" si="1"/>
        <v>24</v>
      </c>
      <c r="B33" s="2" t="s">
        <v>40</v>
      </c>
      <c r="C33" s="65">
        <f>-'LUSI TB'!Q33</f>
        <v>1383919.7730769231</v>
      </c>
      <c r="D33" s="39">
        <f>+'LUSI AnnDepr'!Q6</f>
        <v>3123.0925781249939</v>
      </c>
      <c r="E33" s="29"/>
      <c r="F33" s="65">
        <f t="shared" si="3" ref="F33:F38">SUM(C33:D33)</f>
        <v>1387042.8656550481</v>
      </c>
      <c r="G33" s="71">
        <f>IF('LUSI A 6'!F35=0,0,'LUSI A 6'!F35)</f>
        <v>0.28000000000000003</v>
      </c>
      <c r="H33" s="65">
        <f t="shared" si="2"/>
        <v>388372</v>
      </c>
      <c r="I33" s="65">
        <v>1144825</v>
      </c>
      <c r="J33" s="29">
        <v>80.959999999999994</v>
      </c>
    </row>
    <row r="34" spans="1:10" ht="12">
      <c r="A34" s="28">
        <f t="shared" si="1"/>
        <v>25</v>
      </c>
      <c r="B34" s="36" t="s">
        <v>96</v>
      </c>
      <c r="C34" s="65">
        <f>-'LUSI TB'!Q34</f>
        <v>502.63000000000005</v>
      </c>
      <c r="D34" s="39"/>
      <c r="E34" s="29"/>
      <c r="F34" s="65">
        <f t="shared" si="3"/>
        <v>502.63000000000005</v>
      </c>
      <c r="G34" s="71">
        <f>IF('LUSI A 6'!F36=0,0,'LUSI A 6'!F36)</f>
        <v>0.28000000000000003</v>
      </c>
      <c r="H34" s="65">
        <f t="shared" si="2"/>
        <v>141</v>
      </c>
      <c r="I34" s="65">
        <v>321</v>
      </c>
      <c r="J34" s="29"/>
    </row>
    <row r="35" spans="1:13" ht="12">
      <c r="A35" s="28">
        <f t="shared" si="1"/>
        <v>26</v>
      </c>
      <c r="B35" s="2" t="s">
        <v>42</v>
      </c>
      <c r="C35" s="65">
        <f>-'LUSI TB'!Q35-'LUSI TB'!Q36</f>
        <v>1870781.2869230767</v>
      </c>
      <c r="D35" s="39">
        <f>+'LUSI AnnDepr'!Q12</f>
        <v>649.99555555553422</v>
      </c>
      <c r="E35" s="29"/>
      <c r="F35" s="65">
        <f t="shared" si="3"/>
        <v>1871431.2824786322</v>
      </c>
      <c r="G35" s="71">
        <f>IF('LUSI A 6'!F37=0,0,'LUSI A 6'!F37)</f>
        <v>0.28000000000000003</v>
      </c>
      <c r="H35" s="65">
        <f t="shared" si="2"/>
        <v>524001</v>
      </c>
      <c r="I35" s="65">
        <v>814600</v>
      </c>
      <c r="J35" s="29"/>
      <c r="K35" s="29">
        <v>54372</v>
      </c>
      <c r="L35" s="29">
        <v>-42919</v>
      </c>
      <c r="M35" s="29">
        <f>SUM(J35:L35)</f>
        <v>11453</v>
      </c>
    </row>
    <row r="36" spans="1:10" ht="12">
      <c r="A36" s="28">
        <f t="shared" si="1"/>
        <v>27</v>
      </c>
      <c r="B36" s="2" t="s">
        <v>43</v>
      </c>
      <c r="C36" s="65">
        <f>-'LUSI TB'!Q37</f>
        <v>-23707.60</v>
      </c>
      <c r="D36" s="39"/>
      <c r="E36" s="29"/>
      <c r="F36" s="65">
        <f t="shared" si="3"/>
        <v>-23707.60</v>
      </c>
      <c r="G36" s="71">
        <f>IF('LUSI A 6'!F38=0,0,'LUSI A 6'!F38)</f>
        <v>0.28000000000000003</v>
      </c>
      <c r="H36" s="65">
        <f t="shared" si="2"/>
        <v>-6638</v>
      </c>
      <c r="I36" s="65">
        <v>-8063</v>
      </c>
      <c r="J36" s="29"/>
    </row>
    <row r="37" spans="1:10" ht="12">
      <c r="A37" s="28">
        <f t="shared" si="1"/>
        <v>28</v>
      </c>
      <c r="B37" s="2" t="s">
        <v>44</v>
      </c>
      <c r="C37" s="65">
        <f>-'LUSI TB'!Q38</f>
        <v>564.7523076923078</v>
      </c>
      <c r="D37" s="39"/>
      <c r="E37" s="29"/>
      <c r="F37" s="65">
        <f t="shared" si="3"/>
        <v>564.7523076923078</v>
      </c>
      <c r="G37" s="71">
        <f>IF('LUSI A 6'!F39=0,0,'LUSI A 6'!F39)</f>
        <v>0.28000000000000003</v>
      </c>
      <c r="H37" s="65">
        <f t="shared" si="2"/>
        <v>158</v>
      </c>
      <c r="I37" s="65">
        <v>-4547</v>
      </c>
      <c r="J37" s="29"/>
    </row>
    <row r="38" spans="1:10" ht="12">
      <c r="A38" s="28">
        <f t="shared" si="1"/>
        <v>29</v>
      </c>
      <c r="B38" s="2" t="s">
        <v>45</v>
      </c>
      <c r="C38" s="65">
        <v>0</v>
      </c>
      <c r="D38" s="29"/>
      <c r="E38" s="29"/>
      <c r="F38" s="65">
        <f t="shared" si="3"/>
        <v>0</v>
      </c>
      <c r="G38" s="71">
        <f>IF('LUSI A 6'!F40=0,0,'LUSI A 6'!F40)</f>
        <v>0.28000000000000003</v>
      </c>
      <c r="H38" s="65">
        <f t="shared" si="2"/>
        <v>0</v>
      </c>
      <c r="I38" s="65" t="str">
        <f>IF(H38=0,"",ROUND(#REF!*H38,0))</f>
        <v/>
      </c>
      <c r="J38" s="29"/>
    </row>
    <row r="39" spans="1:10" ht="12">
      <c r="A39" s="28">
        <f t="shared" si="1"/>
        <v>30</v>
      </c>
      <c r="B39" s="1" t="s">
        <v>46</v>
      </c>
      <c r="C39" s="65"/>
      <c r="D39" s="29"/>
      <c r="E39" s="29"/>
      <c r="F39" s="29"/>
      <c r="G39" s="71"/>
      <c r="H39" s="29"/>
      <c r="J39" s="29"/>
    </row>
    <row r="40" spans="1:10" ht="12">
      <c r="A40" s="28">
        <f t="shared" si="1"/>
        <v>31</v>
      </c>
      <c r="B40" s="36" t="s">
        <v>97</v>
      </c>
      <c r="C40" s="65"/>
      <c r="D40" s="29"/>
      <c r="E40" s="29"/>
      <c r="F40" s="29"/>
      <c r="G40" s="71"/>
      <c r="H40" s="29"/>
      <c r="J40" s="29"/>
    </row>
    <row r="41" spans="1:10" ht="12">
      <c r="A41" s="28">
        <f t="shared" si="1"/>
        <v>32</v>
      </c>
      <c r="B41" s="36" t="s">
        <v>49</v>
      </c>
      <c r="C41" s="65"/>
      <c r="D41" s="29"/>
      <c r="E41" s="29"/>
      <c r="F41" s="29"/>
      <c r="G41" s="71"/>
      <c r="H41" s="29"/>
      <c r="J41" s="29"/>
    </row>
    <row r="42" spans="1:10" ht="12">
      <c r="A42" s="28">
        <f t="shared" si="1"/>
        <v>33</v>
      </c>
      <c r="B42" s="36" t="s">
        <v>50</v>
      </c>
      <c r="C42" s="65"/>
      <c r="D42" s="29"/>
      <c r="E42" s="29"/>
      <c r="F42" s="29"/>
      <c r="G42" s="71"/>
      <c r="H42" s="29"/>
      <c r="J42" s="29"/>
    </row>
    <row r="43" spans="1:10" ht="12">
      <c r="A43" s="28">
        <f t="shared" si="1"/>
        <v>34</v>
      </c>
      <c r="B43" s="37" t="s">
        <v>51</v>
      </c>
      <c r="C43" s="65"/>
      <c r="D43" s="29"/>
      <c r="E43" s="29"/>
      <c r="F43" s="29"/>
      <c r="G43" s="71"/>
      <c r="H43" s="29"/>
      <c r="J43" s="29"/>
    </row>
    <row r="44" spans="1:10" ht="12">
      <c r="A44" s="28">
        <f>A46+1</f>
        <v>37</v>
      </c>
      <c r="B44" s="37" t="s">
        <v>98</v>
      </c>
      <c r="C44" s="65"/>
      <c r="D44" s="29"/>
      <c r="E44" s="29"/>
      <c r="F44" s="29"/>
      <c r="G44" s="71"/>
      <c r="H44" s="29"/>
      <c r="I44" s="66"/>
      <c r="J44" s="29"/>
    </row>
    <row r="45" spans="1:10" ht="12">
      <c r="A45" s="28">
        <f>A43+1</f>
        <v>35</v>
      </c>
      <c r="B45" s="37" t="s">
        <v>53</v>
      </c>
      <c r="C45" s="65"/>
      <c r="D45" s="29"/>
      <c r="E45" s="29"/>
      <c r="F45" s="29"/>
      <c r="G45" s="71"/>
      <c r="H45" s="29"/>
      <c r="J45" s="29"/>
    </row>
    <row r="46" spans="1:10" ht="12">
      <c r="A46" s="28">
        <f t="shared" si="1"/>
        <v>36</v>
      </c>
      <c r="B46" s="36" t="s">
        <v>54</v>
      </c>
      <c r="C46" s="65"/>
      <c r="D46" s="29"/>
      <c r="E46" s="29"/>
      <c r="F46" s="29"/>
      <c r="G46" s="71"/>
      <c r="H46" s="29"/>
      <c r="J46" s="29"/>
    </row>
    <row r="47" spans="1:10" ht="12">
      <c r="A47" s="28">
        <f>A44+1</f>
        <v>38</v>
      </c>
      <c r="B47" s="37" t="s">
        <v>55</v>
      </c>
      <c r="C47" s="65"/>
      <c r="D47" s="29"/>
      <c r="E47" s="29"/>
      <c r="F47" s="29"/>
      <c r="G47" s="71"/>
      <c r="H47" s="29"/>
      <c r="J47" s="29"/>
    </row>
    <row r="48" spans="1:11" ht="12">
      <c r="A48" s="28">
        <f t="shared" si="1"/>
        <v>39</v>
      </c>
      <c r="B48" s="37" t="s">
        <v>56</v>
      </c>
      <c r="C48" s="65"/>
      <c r="D48" s="29"/>
      <c r="E48" s="29"/>
      <c r="F48" s="29"/>
      <c r="G48" s="71"/>
      <c r="H48" s="29"/>
      <c r="I48" s="66"/>
      <c r="J48" s="29"/>
      <c r="K48" s="66"/>
    </row>
    <row r="49" spans="1:10" ht="12">
      <c r="A49" s="28">
        <f t="shared" si="1"/>
        <v>40</v>
      </c>
      <c r="B49" s="37" t="s">
        <v>57</v>
      </c>
      <c r="C49" s="65"/>
      <c r="D49" s="29"/>
      <c r="E49" s="29"/>
      <c r="F49" s="29"/>
      <c r="G49" s="71"/>
      <c r="H49" s="29"/>
      <c r="I49" s="66"/>
      <c r="J49" s="29"/>
    </row>
    <row r="50" spans="1:10" ht="12">
      <c r="A50" s="28">
        <f t="shared" si="1"/>
        <v>41</v>
      </c>
      <c r="B50" s="1" t="s">
        <v>58</v>
      </c>
      <c r="C50" s="65"/>
      <c r="D50" s="29"/>
      <c r="E50" s="29"/>
      <c r="F50" s="29"/>
      <c r="G50" s="71"/>
      <c r="H50" s="29"/>
      <c r="J50" s="29"/>
    </row>
    <row r="51" spans="1:10" ht="12">
      <c r="A51" s="28">
        <f t="shared" si="1"/>
        <v>42</v>
      </c>
      <c r="B51" s="37" t="s">
        <v>59</v>
      </c>
      <c r="C51" s="65"/>
      <c r="D51" s="29"/>
      <c r="E51" s="29"/>
      <c r="F51" s="29"/>
      <c r="G51" s="71"/>
      <c r="H51" s="29"/>
      <c r="J51" s="29"/>
    </row>
    <row r="52" spans="1:10" ht="12">
      <c r="A52" s="28">
        <f t="shared" si="1"/>
        <v>43</v>
      </c>
      <c r="B52" s="37" t="s">
        <v>60</v>
      </c>
      <c r="C52" s="65"/>
      <c r="D52" s="34"/>
      <c r="E52" s="34"/>
      <c r="F52" s="29"/>
      <c r="G52" s="71"/>
      <c r="H52" s="29"/>
      <c r="J52" s="29"/>
    </row>
    <row r="53" spans="1:10" ht="12">
      <c r="A53" s="28">
        <f t="shared" si="1"/>
        <v>44</v>
      </c>
      <c r="B53" s="37" t="s">
        <v>61</v>
      </c>
      <c r="C53" s="65"/>
      <c r="D53" s="34"/>
      <c r="E53" s="34"/>
      <c r="F53" s="29"/>
      <c r="G53" s="71"/>
      <c r="H53" s="29"/>
      <c r="J53" s="29"/>
    </row>
    <row r="54" spans="1:10" ht="12">
      <c r="A54" s="28">
        <f t="shared" si="1"/>
        <v>45</v>
      </c>
      <c r="B54" s="37" t="s">
        <v>62</v>
      </c>
      <c r="C54" s="65"/>
      <c r="D54" s="34"/>
      <c r="E54" s="34"/>
      <c r="F54" s="29"/>
      <c r="G54" s="71"/>
      <c r="H54" s="29"/>
      <c r="I54" s="66"/>
      <c r="J54" s="29"/>
    </row>
    <row r="55" spans="1:10" ht="12">
      <c r="A55" s="28">
        <f t="shared" si="1"/>
        <v>46</v>
      </c>
      <c r="B55" s="37" t="s">
        <v>63</v>
      </c>
      <c r="C55" s="65"/>
      <c r="D55" s="34"/>
      <c r="E55" s="34"/>
      <c r="F55" s="29"/>
      <c r="G55" s="71"/>
      <c r="H55" s="29"/>
      <c r="I55" s="66"/>
      <c r="J55" s="29"/>
    </row>
    <row r="56" spans="1:10" ht="12">
      <c r="A56" s="28">
        <f t="shared" si="1"/>
        <v>47</v>
      </c>
      <c r="B56" s="37" t="s">
        <v>99</v>
      </c>
      <c r="C56" s="65"/>
      <c r="D56" s="34"/>
      <c r="E56" s="34"/>
      <c r="F56" s="29"/>
      <c r="G56" s="71"/>
      <c r="H56" s="29"/>
      <c r="I56" s="66"/>
      <c r="J56" s="29"/>
    </row>
    <row r="57" spans="1:10" ht="12">
      <c r="A57" s="28">
        <f t="shared" si="1"/>
        <v>48</v>
      </c>
      <c r="B57" s="37" t="s">
        <v>65</v>
      </c>
      <c r="C57" s="65"/>
      <c r="D57" s="34"/>
      <c r="E57" s="34"/>
      <c r="F57" s="29"/>
      <c r="G57" s="71"/>
      <c r="H57" s="29"/>
      <c r="I57" s="66"/>
      <c r="J57" s="29"/>
    </row>
    <row r="58" spans="1:10" ht="12">
      <c r="A58" s="28">
        <f t="shared" si="1"/>
        <v>49</v>
      </c>
      <c r="B58" s="67" t="s">
        <v>66</v>
      </c>
      <c r="C58" s="65"/>
      <c r="D58" s="34"/>
      <c r="E58" s="34"/>
      <c r="F58" s="29"/>
      <c r="G58" s="71"/>
      <c r="H58" s="29"/>
      <c r="I58" s="66"/>
      <c r="J58" s="29"/>
    </row>
    <row r="59" spans="1:10" ht="12">
      <c r="A59" s="28">
        <f t="shared" si="1"/>
        <v>50</v>
      </c>
      <c r="B59" s="37" t="s">
        <v>100</v>
      </c>
      <c r="C59" s="65"/>
      <c r="D59" s="34"/>
      <c r="E59" s="34"/>
      <c r="F59" s="29"/>
      <c r="G59" s="71"/>
      <c r="H59" s="29"/>
      <c r="I59" s="66"/>
      <c r="J59" s="29"/>
    </row>
    <row r="60" spans="1:10" ht="12">
      <c r="A60" s="28">
        <f t="shared" si="1"/>
        <v>51</v>
      </c>
      <c r="B60" s="37" t="s">
        <v>68</v>
      </c>
      <c r="C60" s="65"/>
      <c r="D60" s="29"/>
      <c r="E60" s="29"/>
      <c r="F60" s="29"/>
      <c r="G60" s="71"/>
      <c r="H60" s="29"/>
      <c r="I60" s="66"/>
      <c r="J60" s="29"/>
    </row>
    <row r="61" spans="1:10" ht="12">
      <c r="A61" s="28">
        <f t="shared" si="1"/>
        <v>52</v>
      </c>
      <c r="B61" s="37" t="s">
        <v>69</v>
      </c>
      <c r="C61" s="65"/>
      <c r="D61" s="29"/>
      <c r="E61" s="29"/>
      <c r="F61" s="29"/>
      <c r="G61" s="71"/>
      <c r="H61" s="29"/>
      <c r="I61" s="66"/>
      <c r="J61" s="29"/>
    </row>
    <row r="62" spans="1:10" ht="12">
      <c r="A62" s="28">
        <f t="shared" si="1"/>
        <v>53</v>
      </c>
      <c r="B62" s="36" t="s">
        <v>70</v>
      </c>
      <c r="C62" s="65"/>
      <c r="D62" s="29"/>
      <c r="E62" s="29"/>
      <c r="F62" s="29"/>
      <c r="G62" s="71"/>
      <c r="H62" s="29"/>
      <c r="I62" s="66"/>
      <c r="J62" s="29"/>
    </row>
    <row r="63" spans="1:10" ht="12.75" thickBot="1">
      <c r="A63" s="28">
        <f t="shared" si="1"/>
        <v>54</v>
      </c>
      <c r="B63" s="35" t="s">
        <v>71</v>
      </c>
      <c r="C63" s="694">
        <f>SUM(C11:C62)</f>
        <v>3232060.8423076915</v>
      </c>
      <c r="D63" s="694">
        <f>SUM(D11:D62)</f>
        <v>3773.0881336805282</v>
      </c>
      <c r="E63" s="694">
        <f>SUM(E11:E62)</f>
        <v>0</v>
      </c>
      <c r="F63" s="694">
        <f>SUM(F11:F62)</f>
        <v>3235833.9304413721</v>
      </c>
      <c r="G63" s="645"/>
      <c r="H63" s="696">
        <f>SUM(H11:H62)</f>
        <v>906034</v>
      </c>
      <c r="J63" s="29"/>
    </row>
    <row r="64" spans="1:10" ht="12.75" thickTop="1">
      <c r="A64" s="28">
        <f t="shared" si="1"/>
        <v>55</v>
      </c>
      <c r="B64" s="45" t="s">
        <v>101</v>
      </c>
      <c r="G64" s="30"/>
      <c r="J64" s="34"/>
    </row>
    <row r="65" spans="1:10" ht="12">
      <c r="A65" s="28">
        <f t="shared" si="1"/>
        <v>56</v>
      </c>
      <c r="B65" s="68" t="s">
        <v>102</v>
      </c>
      <c r="C65" s="28"/>
      <c r="D65" s="28"/>
      <c r="E65" s="28"/>
      <c r="F65" s="28"/>
      <c r="G65" s="72"/>
      <c r="H65" s="28"/>
      <c r="J65" s="34"/>
    </row>
    <row r="66" spans="1:10" ht="12">
      <c r="A66" s="28">
        <f t="shared" si="1"/>
        <v>57</v>
      </c>
      <c r="B66" s="47" t="s">
        <v>73</v>
      </c>
      <c r="C66" s="48">
        <v>0</v>
      </c>
      <c r="G66" s="30"/>
      <c r="J66" s="34">
        <v>308663.78479999996</v>
      </c>
    </row>
    <row r="67" spans="1:10" ht="12">
      <c r="A67" s="28">
        <f t="shared" si="1"/>
        <v>58</v>
      </c>
      <c r="B67" s="47" t="s">
        <v>74</v>
      </c>
      <c r="C67" s="48">
        <v>357882</v>
      </c>
      <c r="G67" s="30"/>
      <c r="J67" s="34">
        <v>108811.35</v>
      </c>
    </row>
    <row r="68" spans="1:10" ht="12">
      <c r="A68" s="28">
        <f t="shared" si="1"/>
        <v>59</v>
      </c>
      <c r="B68" s="47" t="s">
        <v>75</v>
      </c>
      <c r="C68" s="48">
        <v>130220</v>
      </c>
      <c r="G68" s="30"/>
      <c r="I68" s="32">
        <v>-515385.00000000373</v>
      </c>
      <c r="J68" s="34">
        <v>29.959999999999997</v>
      </c>
    </row>
    <row r="69" spans="1:10" ht="12">
      <c r="A69" s="28">
        <f t="shared" si="1"/>
        <v>60</v>
      </c>
      <c r="B69" s="47" t="s">
        <v>76</v>
      </c>
      <c r="C69" s="48">
        <v>0</v>
      </c>
      <c r="G69" s="30"/>
      <c r="J69" s="34">
        <v>151.41</v>
      </c>
    </row>
    <row r="70" spans="1:10" ht="12">
      <c r="A70" s="28">
        <f t="shared" si="1"/>
        <v>61</v>
      </c>
      <c r="B70" s="47" t="s">
        <v>77</v>
      </c>
      <c r="C70" s="48">
        <v>0</v>
      </c>
      <c r="G70" s="30"/>
      <c r="J70" s="34">
        <v>48.76</v>
      </c>
    </row>
    <row r="71" spans="1:10" ht="12">
      <c r="A71" s="28">
        <f t="shared" si="1"/>
        <v>62</v>
      </c>
      <c r="B71" s="47" t="s">
        <v>78</v>
      </c>
      <c r="C71" s="48">
        <v>0</v>
      </c>
      <c r="G71" s="30"/>
      <c r="J71" s="34">
        <v>332.28</v>
      </c>
    </row>
    <row r="72" spans="1:10" ht="12">
      <c r="A72" s="28">
        <f t="shared" si="1"/>
        <v>63</v>
      </c>
      <c r="B72" s="47" t="s">
        <v>79</v>
      </c>
      <c r="C72" s="48">
        <v>0</v>
      </c>
      <c r="G72" s="30"/>
      <c r="J72" s="29"/>
    </row>
    <row r="73" spans="1:10" ht="12">
      <c r="A73" s="28">
        <f t="shared" si="1"/>
        <v>64</v>
      </c>
      <c r="B73" s="49" t="s">
        <v>80</v>
      </c>
      <c r="C73" s="48">
        <v>0</v>
      </c>
      <c r="G73" s="30"/>
      <c r="J73" s="29"/>
    </row>
    <row r="74" spans="1:10" ht="12">
      <c r="A74" s="28">
        <f t="shared" si="1"/>
        <v>65</v>
      </c>
      <c r="B74" s="50" t="s">
        <v>81</v>
      </c>
      <c r="C74" s="48">
        <v>0</v>
      </c>
      <c r="G74" s="30"/>
      <c r="J74" s="29">
        <v>2350</v>
      </c>
    </row>
    <row r="75" spans="1:7" ht="12">
      <c r="A75" s="28">
        <f>A74+1</f>
        <v>66</v>
      </c>
      <c r="B75" s="47" t="s">
        <v>103</v>
      </c>
      <c r="C75" s="48">
        <v>0</v>
      </c>
      <c r="G75" s="30"/>
    </row>
    <row r="76" spans="1:7" ht="12">
      <c r="A76" s="28">
        <f>A75+1</f>
        <v>67</v>
      </c>
      <c r="B76" s="51" t="s">
        <v>82</v>
      </c>
      <c r="C76" s="69">
        <f>SUM(C63:C75)</f>
        <v>3720162.8423076915</v>
      </c>
      <c r="G76" s="30"/>
    </row>
    <row r="77" spans="1:7" ht="12">
      <c r="A77" s="28">
        <f>A76+1</f>
        <v>68</v>
      </c>
      <c r="G77" s="30"/>
    </row>
    <row r="78" spans="1:7" ht="12">
      <c r="A78" s="28">
        <f>A77+1</f>
        <v>69</v>
      </c>
      <c r="B78" s="36" t="s">
        <v>104</v>
      </c>
      <c r="G78" s="30"/>
    </row>
    <row r="79" ht="12">
      <c r="G79" s="30"/>
    </row>
    <row r="80" ht="12">
      <c r="G80" s="30"/>
    </row>
    <row r="81" spans="4:7" ht="12">
      <c r="D81" s="32"/>
      <c r="E81" s="32"/>
      <c r="G81" s="30"/>
    </row>
    <row r="82" ht="12">
      <c r="G82" s="30"/>
    </row>
    <row r="83" spans="2:7" ht="12">
      <c r="B83" s="1" t="s">
        <v>121</v>
      </c>
      <c r="G83" s="30"/>
    </row>
    <row r="108" spans="1:2" ht="12">
      <c r="A108" s="53"/>
      <c r="B108" s="53"/>
    </row>
    <row r="109" spans="1:2" ht="12">
      <c r="A109" s="53"/>
      <c r="B109" s="53"/>
    </row>
    <row r="110" spans="1:2" ht="12">
      <c r="A110" s="53"/>
      <c r="B110" s="53"/>
    </row>
    <row r="111" spans="1:2" ht="12">
      <c r="A111" s="53"/>
      <c r="B111" s="53"/>
    </row>
    <row r="112" spans="1:2" ht="12">
      <c r="A112" s="53"/>
      <c r="B112" s="53"/>
    </row>
    <row r="142" spans="1:2" ht="12">
      <c r="A142" s="53"/>
      <c r="B142" s="53"/>
    </row>
    <row r="211" ht="12">
      <c r="A211" s="1"/>
    </row>
    <row r="228" ht="12">
      <c r="A228" s="53"/>
    </row>
    <row r="229" ht="12">
      <c r="A229" s="53"/>
    </row>
    <row r="230" ht="12">
      <c r="A230" s="53"/>
    </row>
    <row r="231" ht="12">
      <c r="A231" s="53"/>
    </row>
    <row r="232" ht="12">
      <c r="A232" s="53"/>
    </row>
    <row r="233" ht="12">
      <c r="A233" s="53"/>
    </row>
    <row r="234" ht="12">
      <c r="A234" s="53"/>
    </row>
    <row r="235" ht="12">
      <c r="A235" s="53"/>
    </row>
    <row r="236" ht="12">
      <c r="A236" s="53"/>
    </row>
    <row r="237" ht="12">
      <c r="A237" s="53"/>
    </row>
    <row r="238" ht="12">
      <c r="A238" s="53"/>
    </row>
    <row r="239" ht="12">
      <c r="A239" s="53"/>
    </row>
    <row r="240" ht="12">
      <c r="A240" s="53"/>
    </row>
    <row r="241" ht="12">
      <c r="A241" s="53"/>
    </row>
    <row r="242" ht="12">
      <c r="A242" s="53"/>
    </row>
    <row r="243" ht="12">
      <c r="A243" s="53"/>
    </row>
    <row r="244" ht="12">
      <c r="A244" s="53"/>
    </row>
    <row r="245" ht="12">
      <c r="A245" s="53"/>
    </row>
    <row r="246" ht="12">
      <c r="A246" s="53"/>
    </row>
    <row r="247" ht="12">
      <c r="A247" s="53"/>
    </row>
    <row r="248" ht="12">
      <c r="A248" s="53"/>
    </row>
    <row r="249" ht="12">
      <c r="A249" s="53"/>
    </row>
    <row r="250" ht="12">
      <c r="A250" s="53"/>
    </row>
    <row r="251" ht="12">
      <c r="A251" s="53"/>
    </row>
    <row r="252" ht="12">
      <c r="A252" s="53"/>
    </row>
    <row r="253" ht="12">
      <c r="A253" s="53"/>
    </row>
    <row r="254" ht="12">
      <c r="A254" s="53"/>
    </row>
    <row r="255" ht="12">
      <c r="A255" s="53"/>
    </row>
    <row r="256" ht="12">
      <c r="A256" s="53"/>
    </row>
    <row r="257" ht="12">
      <c r="A257" s="53"/>
    </row>
    <row r="258" ht="12">
      <c r="A258" s="53"/>
    </row>
    <row r="259" ht="12">
      <c r="A259" s="53"/>
    </row>
    <row r="260" ht="12">
      <c r="A260" s="53"/>
    </row>
    <row r="261" ht="12">
      <c r="A261" s="53"/>
    </row>
    <row r="262" ht="12">
      <c r="A262" s="53"/>
    </row>
    <row r="263" ht="12">
      <c r="A263" s="53"/>
    </row>
    <row r="264" ht="12">
      <c r="A264" s="53"/>
    </row>
    <row r="265" ht="12">
      <c r="A265" s="53"/>
    </row>
    <row r="266" ht="12">
      <c r="A266" s="53"/>
    </row>
    <row r="267" ht="12">
      <c r="A267" s="53"/>
    </row>
    <row r="268" ht="12">
      <c r="A268" s="53"/>
    </row>
    <row r="269" ht="12">
      <c r="A269" s="53"/>
    </row>
    <row r="270" ht="12">
      <c r="A270" s="53"/>
    </row>
    <row r="271" ht="12">
      <c r="A271" s="53"/>
    </row>
    <row r="272" ht="12">
      <c r="A272" s="53"/>
    </row>
    <row r="273" ht="12">
      <c r="A273" s="53"/>
    </row>
    <row r="274" ht="12">
      <c r="A274" s="53"/>
    </row>
    <row r="275" ht="12">
      <c r="A275" s="53"/>
    </row>
    <row r="276" ht="12">
      <c r="A276" s="53"/>
    </row>
    <row r="277" ht="12">
      <c r="A277" s="53"/>
    </row>
    <row r="278" ht="12">
      <c r="A278" s="53"/>
    </row>
    <row r="279" ht="12">
      <c r="A279" s="53"/>
    </row>
    <row r="280" ht="12">
      <c r="A280" s="53"/>
    </row>
    <row r="281" ht="12">
      <c r="A281" s="53"/>
    </row>
    <row r="282" ht="12">
      <c r="A282" s="53"/>
    </row>
  </sheetData>
  <pageMargins left="0.7" right="0.7" top="0.75" bottom="0.75" header="0.3" footer="0.3"/>
  <pageSetup horizontalDpi="300" verticalDpi="300" orientation="portrait" r:id="rId1"/>
  <headerFooter>
    <oddFooter>&amp;L&amp;"Times New Roman,Regular"&amp;9O3129680.v1</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N141"/>
  <sheetViews>
    <sheetView workbookViewId="0" topLeftCell="A1"/>
  </sheetViews>
  <sheetFormatPr defaultColWidth="10.85546875" defaultRowHeight="12"/>
  <cols>
    <col min="1" max="1" width="6.85714285714286" style="2" customWidth="1"/>
    <col min="2" max="2" width="33" style="2" customWidth="1"/>
    <col min="3" max="3" width="12.8571428571429" style="2" bestFit="1" customWidth="1"/>
    <col min="4" max="4" width="11" style="2" customWidth="1"/>
    <col min="5" max="5" width="12" style="2" bestFit="1" customWidth="1"/>
    <col min="6" max="7" width="11" style="2" customWidth="1"/>
    <col min="8" max="8" width="10.8571428571429" style="2"/>
    <col min="9" max="9" width="12.5714285714286" style="2" bestFit="1" customWidth="1"/>
    <col min="10" max="16384" width="10.8571428571429" style="2"/>
  </cols>
  <sheetData>
    <row r="1" spans="1:7" ht="12">
      <c r="A1" s="1" t="s">
        <v>288</v>
      </c>
      <c r="B1" s="1"/>
      <c r="C1" s="1"/>
      <c r="G1" s="649" t="s">
        <v>1</v>
      </c>
    </row>
    <row r="2" spans="1:7" ht="12">
      <c r="A2" s="1" t="s">
        <v>2</v>
      </c>
      <c r="B2" s="1"/>
      <c r="C2" s="1"/>
      <c r="G2" s="649"/>
    </row>
    <row r="3" spans="1:7" ht="12">
      <c r="A3" s="1"/>
      <c r="B3" s="1"/>
      <c r="C3" s="1"/>
      <c r="G3" s="646" t="s">
        <v>289</v>
      </c>
    </row>
    <row r="4" spans="1:7" ht="12">
      <c r="A4" s="137" t="s">
        <v>84</v>
      </c>
      <c r="B4" s="1"/>
      <c r="C4" s="1"/>
      <c r="G4" s="487" t="s">
        <v>4</v>
      </c>
    </row>
    <row r="5" spans="1:7" ht="12">
      <c r="A5" s="386" t="s">
        <v>586</v>
      </c>
      <c r="B5" s="1"/>
      <c r="C5" s="1"/>
      <c r="G5" s="490" t="s">
        <v>86</v>
      </c>
    </row>
    <row r="6" spans="1:7" ht="12">
      <c r="A6" s="1" t="s">
        <v>87</v>
      </c>
      <c r="B6" s="1"/>
      <c r="C6" s="1"/>
      <c r="D6" s="1"/>
      <c r="E6" s="1"/>
      <c r="G6" s="1"/>
    </row>
    <row r="7" spans="1:7" ht="12">
      <c r="A7" s="8" t="s">
        <v>5</v>
      </c>
      <c r="B7" s="1"/>
      <c r="C7" s="1"/>
      <c r="D7" s="1"/>
      <c r="E7" s="1"/>
      <c r="F7" s="1"/>
      <c r="G7" s="1"/>
    </row>
    <row r="8" spans="1:7" ht="12">
      <c r="A8" s="1"/>
      <c r="B8" s="1"/>
      <c r="C8" s="1"/>
      <c r="D8" s="1"/>
      <c r="E8" s="1"/>
      <c r="F8" s="1"/>
      <c r="G8" s="1"/>
    </row>
    <row r="9" spans="1:7" ht="12">
      <c r="A9" s="1"/>
      <c r="B9" s="1"/>
      <c r="C9" s="1"/>
      <c r="D9" s="1"/>
      <c r="E9" s="1"/>
      <c r="F9" s="1"/>
      <c r="G9" s="1"/>
    </row>
    <row r="10" spans="1:7" ht="12">
      <c r="A10" s="726" t="s">
        <v>292</v>
      </c>
      <c r="B10" s="727"/>
      <c r="C10" s="727"/>
      <c r="D10" s="727"/>
      <c r="E10" s="727"/>
      <c r="F10" s="727"/>
      <c r="G10" s="727"/>
    </row>
    <row r="11" spans="1:7" ht="12">
      <c r="A11" s="727"/>
      <c r="B11" s="727"/>
      <c r="C11" s="727"/>
      <c r="D11" s="727"/>
      <c r="E11" s="727"/>
      <c r="F11" s="727"/>
      <c r="G11" s="727"/>
    </row>
    <row r="12" spans="1:7" ht="12.75" thickBot="1">
      <c r="A12" s="10"/>
      <c r="B12" s="10"/>
      <c r="C12" s="417"/>
      <c r="D12" s="417"/>
      <c r="E12" s="417"/>
      <c r="F12" s="417"/>
      <c r="G12" s="417"/>
    </row>
    <row r="13" spans="1:7" s="17" customFormat="1" ht="12">
      <c r="A13" s="13"/>
      <c r="B13" s="14" t="s">
        <v>7</v>
      </c>
      <c r="C13" s="14">
        <v>-2</v>
      </c>
      <c r="D13" s="14">
        <f>C13-1</f>
        <v>-3</v>
      </c>
      <c r="E13" s="14">
        <f>D13-1</f>
        <v>-4</v>
      </c>
      <c r="F13" s="14">
        <f>E13-1</f>
        <v>-5</v>
      </c>
      <c r="G13" s="14">
        <f>F13-1</f>
        <v>-6</v>
      </c>
    </row>
    <row r="14" spans="1:7" ht="12">
      <c r="A14" s="484" t="s">
        <v>91</v>
      </c>
      <c r="B14" s="1"/>
      <c r="C14" s="416" t="s">
        <v>9</v>
      </c>
      <c r="D14" s="418" t="s">
        <v>477</v>
      </c>
      <c r="E14" s="418" t="s">
        <v>10</v>
      </c>
      <c r="F14" s="418" t="s">
        <v>459</v>
      </c>
      <c r="G14" s="413" t="s">
        <v>459</v>
      </c>
    </row>
    <row r="15" spans="1:7" ht="12.75" thickBot="1">
      <c r="A15" s="103" t="s">
        <v>94</v>
      </c>
      <c r="B15" s="24" t="s">
        <v>219</v>
      </c>
      <c r="C15" s="423" t="s">
        <v>13</v>
      </c>
      <c r="D15" s="423" t="s">
        <v>105</v>
      </c>
      <c r="E15" s="423" t="s">
        <v>8</v>
      </c>
      <c r="F15" s="423" t="s">
        <v>15</v>
      </c>
      <c r="G15" s="25" t="s">
        <v>16</v>
      </c>
    </row>
    <row r="16" spans="1:7" ht="12">
      <c r="A16" s="28"/>
      <c r="C16" s="35"/>
      <c r="D16" s="35"/>
      <c r="E16" s="35"/>
      <c r="F16" s="35"/>
      <c r="G16" s="35"/>
    </row>
    <row r="17" spans="1:7" ht="12">
      <c r="A17" s="28">
        <v>1</v>
      </c>
      <c r="B17" s="1" t="s">
        <v>296</v>
      </c>
      <c r="C17" s="28"/>
      <c r="D17" s="28"/>
      <c r="E17" s="28"/>
      <c r="F17" s="28"/>
      <c r="G17" s="28"/>
    </row>
    <row r="18" ht="12">
      <c r="A18" s="28">
        <f>A17+1</f>
        <v>2</v>
      </c>
    </row>
    <row r="19" spans="1:7" ht="12">
      <c r="A19" s="28">
        <f t="shared" si="0" ref="A19:A44">A18+1</f>
        <v>3</v>
      </c>
      <c r="B19" s="2" t="s">
        <v>478</v>
      </c>
      <c r="C19" s="74"/>
      <c r="D19" s="74"/>
      <c r="E19" s="74"/>
      <c r="F19" s="432"/>
      <c r="G19" s="29"/>
    </row>
    <row r="20" spans="1:7" ht="12">
      <c r="A20" s="28">
        <f t="shared" si="0"/>
        <v>4</v>
      </c>
      <c r="C20" s="29"/>
      <c r="D20" s="29"/>
      <c r="E20" s="29"/>
      <c r="F20" s="29"/>
      <c r="G20" s="29"/>
    </row>
    <row r="21" spans="1:7" ht="12">
      <c r="A21" s="28">
        <f t="shared" si="0"/>
        <v>5</v>
      </c>
      <c r="B21" s="2" t="s">
        <v>299</v>
      </c>
      <c r="C21" s="61"/>
      <c r="D21" s="61"/>
      <c r="E21" s="84"/>
      <c r="F21" s="431"/>
      <c r="G21" s="29"/>
    </row>
    <row r="22" spans="1:7" ht="12">
      <c r="A22" s="28">
        <f t="shared" si="0"/>
        <v>6</v>
      </c>
      <c r="C22" s="29"/>
      <c r="D22" s="29"/>
      <c r="E22" s="84"/>
      <c r="F22" s="29"/>
      <c r="G22" s="29"/>
    </row>
    <row r="23" spans="1:7" ht="12">
      <c r="A23" s="28">
        <f t="shared" si="0"/>
        <v>7</v>
      </c>
      <c r="B23" s="2" t="s">
        <v>479</v>
      </c>
      <c r="C23" s="61"/>
      <c r="D23" s="61"/>
      <c r="E23" s="84"/>
      <c r="F23" s="431"/>
      <c r="G23" s="29"/>
    </row>
    <row r="24" spans="1:7" ht="12">
      <c r="A24" s="28">
        <f t="shared" si="0"/>
        <v>8</v>
      </c>
      <c r="C24" s="61"/>
      <c r="D24" s="61"/>
      <c r="E24" s="84"/>
      <c r="F24" s="29"/>
      <c r="G24" s="29"/>
    </row>
    <row r="25" spans="1:7" ht="12">
      <c r="A25" s="28">
        <f t="shared" si="0"/>
        <v>9</v>
      </c>
      <c r="B25" s="2" t="s">
        <v>208</v>
      </c>
      <c r="C25" s="61"/>
      <c r="D25" s="61"/>
      <c r="E25" s="84"/>
      <c r="F25" s="431"/>
      <c r="G25" s="29"/>
    </row>
    <row r="26" spans="1:7" ht="12">
      <c r="A26" s="28">
        <f t="shared" si="0"/>
        <v>10</v>
      </c>
      <c r="C26" s="414"/>
      <c r="D26" s="414"/>
      <c r="E26" s="61"/>
      <c r="F26" s="504"/>
      <c r="G26" s="422"/>
    </row>
    <row r="27" spans="1:7" ht="12">
      <c r="A27" s="28">
        <f t="shared" si="0"/>
        <v>11</v>
      </c>
      <c r="C27" s="421"/>
      <c r="D27" s="421"/>
      <c r="E27" s="421"/>
      <c r="F27" s="421"/>
      <c r="G27" s="421"/>
    </row>
    <row r="28" spans="1:7" ht="12.75" thickBot="1">
      <c r="A28" s="28">
        <f t="shared" si="0"/>
        <v>12</v>
      </c>
      <c r="B28" s="2" t="s">
        <v>300</v>
      </c>
      <c r="C28" s="419">
        <f>SUM(C19:C27)</f>
        <v>0</v>
      </c>
      <c r="D28" s="419">
        <f>SUM(D19:D27)</f>
        <v>0</v>
      </c>
      <c r="E28" s="419">
        <f>SUM(E19:E27)</f>
        <v>0</v>
      </c>
      <c r="F28" s="428"/>
      <c r="G28" s="419">
        <f>SUM(G19:G27)</f>
        <v>0</v>
      </c>
    </row>
    <row r="29" spans="1:7" ht="12.75" thickTop="1">
      <c r="A29" s="28">
        <f t="shared" si="0"/>
        <v>13</v>
      </c>
      <c r="C29" s="46"/>
      <c r="D29" s="46"/>
      <c r="E29" s="46"/>
      <c r="F29" s="46"/>
      <c r="G29" s="46"/>
    </row>
    <row r="30" spans="1:7" ht="12">
      <c r="A30" s="28">
        <f t="shared" si="0"/>
        <v>14</v>
      </c>
      <c r="C30" s="46"/>
      <c r="D30" s="46"/>
      <c r="E30" s="46"/>
      <c r="F30" s="46"/>
      <c r="G30" s="46"/>
    </row>
    <row r="31" spans="1:7" ht="12">
      <c r="A31" s="28">
        <f t="shared" si="0"/>
        <v>15</v>
      </c>
      <c r="B31" s="1" t="s">
        <v>164</v>
      </c>
      <c r="C31" s="33"/>
      <c r="D31" s="33"/>
      <c r="E31" s="33"/>
      <c r="F31" s="33"/>
      <c r="G31" s="33"/>
    </row>
    <row r="32" spans="1:7" ht="12">
      <c r="A32" s="28">
        <f t="shared" si="0"/>
        <v>16</v>
      </c>
      <c r="C32" s="29"/>
      <c r="D32" s="29"/>
      <c r="E32" s="29"/>
      <c r="F32" s="29"/>
      <c r="G32" s="29"/>
    </row>
    <row r="33" spans="1:7" ht="12">
      <c r="A33" s="28">
        <f t="shared" si="0"/>
        <v>17</v>
      </c>
      <c r="B33" s="2" t="s">
        <v>478</v>
      </c>
      <c r="C33" s="536">
        <f>-'LUSI TB'!Q24-'LUSI TB'!Q25-'LUSI TB'!Q26</f>
        <v>833923.24307692319</v>
      </c>
      <c r="D33" s="33"/>
      <c r="E33" s="74">
        <f>SUM(C33:D33)</f>
        <v>833923.24307692319</v>
      </c>
      <c r="F33" s="539">
        <f>1-72%</f>
        <v>0.28000000000000003</v>
      </c>
      <c r="G33" s="39">
        <f>ROUND(+E33*F33,0)</f>
        <v>233499</v>
      </c>
    </row>
    <row r="34" spans="1:7" ht="12">
      <c r="A34" s="28">
        <f t="shared" si="0"/>
        <v>18</v>
      </c>
      <c r="C34" s="29"/>
      <c r="D34" s="29"/>
      <c r="E34" s="29"/>
      <c r="F34" s="29"/>
      <c r="G34" s="29"/>
    </row>
    <row r="35" spans="1:7" ht="12">
      <c r="A35" s="28">
        <f t="shared" si="0"/>
        <v>19</v>
      </c>
      <c r="B35" s="2" t="s">
        <v>480</v>
      </c>
      <c r="C35" s="61">
        <f>-'LUSI TB'!Q13-'LUSI TB'!Q19-'LUSI TB'!Q20-'LUSI TB'!Q21</f>
        <v>2590151.5269230772</v>
      </c>
      <c r="D35" s="61"/>
      <c r="E35" s="538">
        <f>SUM(C35:D35)</f>
        <v>2590151.5269230772</v>
      </c>
      <c r="F35" s="539">
        <f>1-72%</f>
        <v>0.28000000000000003</v>
      </c>
      <c r="G35" s="39">
        <f>ROUND(+E35*F35,0)</f>
        <v>725242</v>
      </c>
    </row>
    <row r="36" spans="1:7" ht="12">
      <c r="A36" s="28">
        <f t="shared" si="0"/>
        <v>20</v>
      </c>
      <c r="C36" s="29"/>
      <c r="D36" s="29"/>
      <c r="E36" s="39"/>
      <c r="F36" s="29"/>
      <c r="G36" s="29"/>
    </row>
    <row r="37" spans="1:7" ht="12">
      <c r="A37" s="28">
        <f t="shared" si="0"/>
        <v>21</v>
      </c>
      <c r="B37" s="2" t="s">
        <v>510</v>
      </c>
      <c r="C37" s="61">
        <f>-SUM('LUSI TB'!Q14:Q17)-'LUSI TB'!Q23-'LUSI TB'!Q12</f>
        <v>8435028.5700000003</v>
      </c>
      <c r="D37" s="61"/>
      <c r="E37" s="538">
        <f>SUM(C37:D37)</f>
        <v>8435028.5700000003</v>
      </c>
      <c r="F37" s="539"/>
      <c r="G37" s="29">
        <f>ROUND(+C37*F37,0)</f>
        <v>0</v>
      </c>
    </row>
    <row r="38" spans="1:7" ht="12">
      <c r="A38" s="28">
        <f t="shared" si="0"/>
        <v>22</v>
      </c>
      <c r="C38" s="29"/>
      <c r="D38" s="29"/>
      <c r="E38" s="538"/>
      <c r="F38" s="29"/>
      <c r="G38" s="29"/>
    </row>
    <row r="39" spans="1:7" ht="12">
      <c r="A39" s="28">
        <f t="shared" si="0"/>
        <v>23</v>
      </c>
      <c r="B39" s="2" t="s">
        <v>511</v>
      </c>
      <c r="C39" s="61">
        <f>-'LUSI TB'!Q22</f>
        <v>1091801.7799999998</v>
      </c>
      <c r="D39" s="61"/>
      <c r="E39" s="538">
        <f>SUM(C39:D39)</f>
        <v>1091801.7799999998</v>
      </c>
      <c r="F39" s="539"/>
      <c r="G39" s="29">
        <f>ROUND(+C39*F39,0)</f>
        <v>0</v>
      </c>
    </row>
    <row r="40" spans="1:14" ht="12">
      <c r="A40" s="28">
        <f t="shared" si="0"/>
        <v>24</v>
      </c>
      <c r="C40" s="34"/>
      <c r="D40" s="34"/>
      <c r="E40" s="538"/>
      <c r="F40" s="34"/>
      <c r="G40" s="34"/>
      <c r="H40" s="34"/>
      <c r="I40" s="34"/>
      <c r="J40" s="34"/>
      <c r="K40" s="34"/>
      <c r="L40" s="34"/>
      <c r="M40" s="34"/>
      <c r="N40" s="422"/>
    </row>
    <row r="41" spans="1:7" ht="12">
      <c r="A41" s="28">
        <f t="shared" si="0"/>
        <v>25</v>
      </c>
      <c r="B41" s="2" t="s">
        <v>509</v>
      </c>
      <c r="C41" s="61">
        <f>-SUM('LUSI TB'!Q27:Q32)-'LUSI TB'!Q18</f>
        <v>2168838.6430769232</v>
      </c>
      <c r="D41" s="61"/>
      <c r="E41" s="538">
        <f>SUM(C41:D41)</f>
        <v>2168838.6430769232</v>
      </c>
      <c r="F41" s="539"/>
      <c r="G41" s="29">
        <f>ROUND(+C41*F41,0)</f>
        <v>0</v>
      </c>
    </row>
    <row r="42" spans="1:7" ht="12">
      <c r="A42" s="28">
        <f t="shared" si="0"/>
        <v>26</v>
      </c>
      <c r="C42" s="426"/>
      <c r="D42" s="426"/>
      <c r="E42" s="426"/>
      <c r="F42" s="426"/>
      <c r="G42" s="426"/>
    </row>
    <row r="43" spans="1:9" ht="12">
      <c r="A43" s="28">
        <f t="shared" si="0"/>
        <v>27</v>
      </c>
      <c r="C43" s="421"/>
      <c r="D43" s="421"/>
      <c r="E43" s="421"/>
      <c r="F43" s="425"/>
      <c r="G43" s="425"/>
      <c r="I43" s="573"/>
    </row>
    <row r="44" spans="1:9" ht="12.75" thickBot="1">
      <c r="A44" s="28">
        <f t="shared" si="0"/>
        <v>28</v>
      </c>
      <c r="B44" s="2" t="s">
        <v>300</v>
      </c>
      <c r="C44" s="537">
        <f>SUM(C33:C43)</f>
        <v>15119743.763076922</v>
      </c>
      <c r="D44" s="419">
        <f>SUM(D32:D43)</f>
        <v>0</v>
      </c>
      <c r="E44" s="537">
        <f>SUM(E32:E43)</f>
        <v>15119743.763076922</v>
      </c>
      <c r="F44" s="428"/>
      <c r="G44" s="537">
        <f>SUM(G32:G43)</f>
        <v>958741</v>
      </c>
      <c r="I44" s="574"/>
    </row>
    <row r="45" spans="1:7" ht="12.75" thickTop="1">
      <c r="A45" s="28"/>
      <c r="C45" s="46"/>
      <c r="D45" s="46"/>
      <c r="E45" s="46"/>
      <c r="F45" s="46"/>
      <c r="G45" s="46"/>
    </row>
    <row r="46" spans="1:2" ht="12">
      <c r="A46" s="1"/>
      <c r="B46" s="1"/>
    </row>
    <row r="47" spans="1:7" ht="12">
      <c r="A47" s="1" t="s">
        <v>301</v>
      </c>
      <c r="B47" s="1"/>
      <c r="C47" s="1"/>
      <c r="G47" s="649" t="s">
        <v>1</v>
      </c>
    </row>
    <row r="48" spans="1:7" ht="12">
      <c r="A48" s="1" t="s">
        <v>302</v>
      </c>
      <c r="B48" s="1"/>
      <c r="C48" s="1"/>
      <c r="G48" s="649"/>
    </row>
    <row r="49" spans="1:7" ht="12">
      <c r="A49" s="1"/>
      <c r="B49" s="1"/>
      <c r="C49" s="1"/>
      <c r="G49" s="646" t="s">
        <v>303</v>
      </c>
    </row>
    <row r="50" spans="1:7" ht="12">
      <c r="A50" s="1" t="s">
        <v>84</v>
      </c>
      <c r="B50" s="1"/>
      <c r="C50" s="1"/>
      <c r="G50" s="487" t="s">
        <v>4</v>
      </c>
    </row>
    <row r="51" spans="1:7" ht="12">
      <c r="A51" s="1" t="s">
        <v>85</v>
      </c>
      <c r="B51" s="1"/>
      <c r="C51" s="1"/>
      <c r="G51" s="490" t="s">
        <v>86</v>
      </c>
    </row>
    <row r="52" spans="1:7" ht="12">
      <c r="A52" s="1" t="s">
        <v>87</v>
      </c>
      <c r="B52" s="1"/>
      <c r="C52" s="1"/>
      <c r="D52" s="1"/>
      <c r="E52" s="1"/>
      <c r="F52" s="1"/>
      <c r="G52" s="1"/>
    </row>
    <row r="53" spans="1:7" ht="12">
      <c r="A53" s="8" t="s">
        <v>5</v>
      </c>
      <c r="B53" s="1"/>
      <c r="C53" s="1"/>
      <c r="D53" s="1"/>
      <c r="E53" s="1"/>
      <c r="F53" s="1"/>
      <c r="G53" s="1"/>
    </row>
    <row r="54" spans="1:7" ht="12">
      <c r="A54" s="1"/>
      <c r="B54" s="1"/>
      <c r="C54" s="1"/>
      <c r="D54" s="1"/>
      <c r="E54" s="1"/>
      <c r="F54" s="1"/>
      <c r="G54" s="1"/>
    </row>
    <row r="55" spans="1:7" ht="12" customHeight="1">
      <c r="A55" s="728" t="s">
        <v>461</v>
      </c>
      <c r="B55" s="728"/>
      <c r="C55" s="728"/>
      <c r="D55" s="728"/>
      <c r="E55" s="728"/>
      <c r="F55" s="728"/>
      <c r="G55" s="728"/>
    </row>
    <row r="56" spans="1:7" ht="12">
      <c r="A56" s="728"/>
      <c r="B56" s="728"/>
      <c r="C56" s="728"/>
      <c r="D56" s="728"/>
      <c r="E56" s="728"/>
      <c r="F56" s="728"/>
      <c r="G56" s="728"/>
    </row>
    <row r="57" spans="1:7" ht="12.75" thickBot="1">
      <c r="A57" s="10"/>
      <c r="B57" s="10"/>
      <c r="C57" s="10"/>
      <c r="D57" s="10"/>
      <c r="E57" s="10"/>
      <c r="F57" s="417"/>
      <c r="G57" s="417"/>
    </row>
    <row r="58" spans="1:7" ht="12">
      <c r="A58" s="13"/>
      <c r="B58" s="14" t="s">
        <v>7</v>
      </c>
      <c r="C58" s="14">
        <v>-2</v>
      </c>
      <c r="D58" s="14">
        <f>C58-1</f>
        <v>-3</v>
      </c>
      <c r="E58" s="14">
        <f>D58-1</f>
        <v>-4</v>
      </c>
      <c r="F58" s="14">
        <f>E58-1</f>
        <v>-5</v>
      </c>
      <c r="G58" s="14">
        <f>F58-1</f>
        <v>-6</v>
      </c>
    </row>
    <row r="59" spans="1:7" ht="12">
      <c r="A59" s="19" t="s">
        <v>91</v>
      </c>
      <c r="B59" s="1"/>
      <c r="C59" s="416" t="s">
        <v>93</v>
      </c>
      <c r="D59" s="418" t="s">
        <v>477</v>
      </c>
      <c r="E59" s="418" t="s">
        <v>462</v>
      </c>
      <c r="F59" s="418" t="s">
        <v>459</v>
      </c>
      <c r="G59" s="413" t="s">
        <v>459</v>
      </c>
    </row>
    <row r="60" spans="1:7" ht="12">
      <c r="A60" s="24" t="s">
        <v>94</v>
      </c>
      <c r="B60" s="24" t="s">
        <v>219</v>
      </c>
      <c r="C60" s="423" t="s">
        <v>13</v>
      </c>
      <c r="D60" s="423" t="s">
        <v>105</v>
      </c>
      <c r="E60" s="423" t="s">
        <v>8</v>
      </c>
      <c r="F60" s="423" t="s">
        <v>15</v>
      </c>
      <c r="G60" s="25" t="s">
        <v>16</v>
      </c>
    </row>
    <row r="61" spans="1:7" ht="12">
      <c r="A61" s="28"/>
      <c r="F61" s="35"/>
      <c r="G61" s="35"/>
    </row>
    <row r="62" spans="1:7" ht="12">
      <c r="A62" s="28">
        <v>1</v>
      </c>
      <c r="B62" s="1" t="s">
        <v>296</v>
      </c>
      <c r="C62" s="35"/>
      <c r="D62" s="35"/>
      <c r="E62" s="35"/>
      <c r="F62" s="28"/>
      <c r="G62" s="28"/>
    </row>
    <row r="63" spans="1:5" ht="12">
      <c r="A63" s="28">
        <f>A62+1</f>
        <v>2</v>
      </c>
      <c r="C63" s="28"/>
      <c r="D63" s="28"/>
      <c r="E63" s="28"/>
    </row>
    <row r="64" spans="1:7" ht="12">
      <c r="A64" s="28">
        <f t="shared" si="1" ref="A64:A89">A63+1</f>
        <v>3</v>
      </c>
      <c r="B64" s="2" t="s">
        <v>478</v>
      </c>
      <c r="C64" s="34"/>
      <c r="D64" s="34"/>
      <c r="E64" s="34"/>
      <c r="F64" s="432"/>
      <c r="G64" s="29"/>
    </row>
    <row r="65" spans="1:7" ht="12">
      <c r="A65" s="28">
        <f t="shared" si="1"/>
        <v>4</v>
      </c>
      <c r="C65" s="34"/>
      <c r="D65" s="34"/>
      <c r="E65" s="34"/>
      <c r="F65" s="29"/>
      <c r="G65" s="29"/>
    </row>
    <row r="66" spans="1:7" ht="12">
      <c r="A66" s="28">
        <f t="shared" si="1"/>
        <v>5</v>
      </c>
      <c r="B66" s="2" t="s">
        <v>299</v>
      </c>
      <c r="C66" s="34"/>
      <c r="D66" s="34"/>
      <c r="E66" s="34"/>
      <c r="F66" s="432"/>
      <c r="G66" s="29"/>
    </row>
    <row r="67" spans="1:7" ht="12">
      <c r="A67" s="28">
        <f t="shared" si="1"/>
        <v>6</v>
      </c>
      <c r="C67" s="34"/>
      <c r="D67" s="34"/>
      <c r="E67" s="34"/>
      <c r="F67" s="29"/>
      <c r="G67" s="29"/>
    </row>
    <row r="68" spans="1:7" ht="12">
      <c r="A68" s="28">
        <f t="shared" si="1"/>
        <v>7</v>
      </c>
      <c r="B68" s="2" t="s">
        <v>479</v>
      </c>
      <c r="C68" s="34"/>
      <c r="D68" s="34"/>
      <c r="E68" s="34"/>
      <c r="F68" s="432"/>
      <c r="G68" s="29"/>
    </row>
    <row r="69" spans="1:7" ht="12">
      <c r="A69" s="28">
        <f t="shared" si="1"/>
        <v>8</v>
      </c>
      <c r="C69" s="34"/>
      <c r="D69" s="34"/>
      <c r="E69" s="34"/>
      <c r="F69" s="29"/>
      <c r="G69" s="29"/>
    </row>
    <row r="70" spans="1:7" ht="12">
      <c r="A70" s="28">
        <f t="shared" si="1"/>
        <v>9</v>
      </c>
      <c r="B70" s="2" t="s">
        <v>208</v>
      </c>
      <c r="C70" s="34"/>
      <c r="D70" s="34"/>
      <c r="E70" s="34"/>
      <c r="F70" s="432"/>
      <c r="G70" s="29"/>
    </row>
    <row r="71" spans="1:7" ht="12">
      <c r="A71" s="28">
        <f t="shared" si="1"/>
        <v>10</v>
      </c>
      <c r="C71" s="427"/>
      <c r="D71" s="427"/>
      <c r="E71" s="427"/>
      <c r="F71" s="426"/>
      <c r="G71" s="426"/>
    </row>
    <row r="72" spans="1:7" ht="12">
      <c r="A72" s="28">
        <f t="shared" si="1"/>
        <v>11</v>
      </c>
      <c r="C72" s="29"/>
      <c r="D72" s="29"/>
      <c r="E72" s="29"/>
      <c r="F72" s="46"/>
      <c r="G72" s="46"/>
    </row>
    <row r="73" spans="1:7" ht="12.75" thickBot="1">
      <c r="A73" s="28">
        <f t="shared" si="1"/>
        <v>12</v>
      </c>
      <c r="B73" s="2" t="s">
        <v>300</v>
      </c>
      <c r="C73" s="419">
        <f>SUM(C63:C72)</f>
        <v>0</v>
      </c>
      <c r="D73" s="419">
        <f>SUM(D63:D72)</f>
        <v>0</v>
      </c>
      <c r="E73" s="419">
        <f>SUM(E63:E72)</f>
        <v>0</v>
      </c>
      <c r="F73" s="419"/>
      <c r="G73" s="419">
        <f>SUM(G63:G72)</f>
        <v>0</v>
      </c>
    </row>
    <row r="74" spans="1:7" ht="12.75" thickTop="1">
      <c r="A74" s="28">
        <f t="shared" si="1"/>
        <v>13</v>
      </c>
      <c r="C74" s="1"/>
      <c r="D74" s="1"/>
      <c r="E74" s="1"/>
      <c r="F74" s="46"/>
      <c r="G74" s="46"/>
    </row>
    <row r="75" spans="1:7" ht="12">
      <c r="A75" s="28">
        <f t="shared" si="1"/>
        <v>14</v>
      </c>
      <c r="C75" s="1"/>
      <c r="D75" s="1"/>
      <c r="E75" s="1"/>
      <c r="F75" s="46"/>
      <c r="G75" s="46"/>
    </row>
    <row r="76" spans="1:7" ht="12">
      <c r="A76" s="28">
        <f t="shared" si="1"/>
        <v>15</v>
      </c>
      <c r="B76" s="1" t="s">
        <v>164</v>
      </c>
      <c r="C76" s="34"/>
      <c r="D76" s="34"/>
      <c r="E76" s="34"/>
      <c r="F76" s="33"/>
      <c r="G76" s="33"/>
    </row>
    <row r="77" spans="1:7" ht="12">
      <c r="A77" s="28">
        <f t="shared" si="1"/>
        <v>16</v>
      </c>
      <c r="C77" s="34"/>
      <c r="D77" s="34"/>
      <c r="E77" s="34"/>
      <c r="F77" s="29"/>
      <c r="G77" s="29"/>
    </row>
    <row r="78" spans="1:7" ht="12">
      <c r="A78" s="28">
        <f t="shared" si="1"/>
        <v>17</v>
      </c>
      <c r="B78" s="2" t="s">
        <v>478</v>
      </c>
      <c r="C78" s="34">
        <f>+'LUSI TB'!Q57+'LUSI TB'!Q58+'LUSI TB'!Q59</f>
        <v>90686.689230769247</v>
      </c>
      <c r="D78" s="34"/>
      <c r="E78" s="34">
        <f>C78+D78</f>
        <v>90686.689230769247</v>
      </c>
      <c r="F78" s="432">
        <f>1-72%</f>
        <v>0.28000000000000003</v>
      </c>
      <c r="G78" s="29">
        <f>ROUND(+E78*F78,0)</f>
        <v>25392</v>
      </c>
    </row>
    <row r="79" spans="1:7" ht="12">
      <c r="A79" s="28">
        <f t="shared" si="1"/>
        <v>18</v>
      </c>
      <c r="C79" s="34"/>
      <c r="D79" s="34"/>
      <c r="E79" s="34"/>
      <c r="F79" s="29"/>
      <c r="G79" s="29"/>
    </row>
    <row r="80" spans="1:7" ht="12">
      <c r="A80" s="28">
        <f t="shared" si="1"/>
        <v>19</v>
      </c>
      <c r="B80" s="2" t="s">
        <v>480</v>
      </c>
      <c r="C80" s="34">
        <f>+'LUSI TB'!Q41+'LUSI TB'!Q51+'LUSI TB'!Q52+'LUSI TB'!Q53</f>
        <v>1094584.5892307691</v>
      </c>
      <c r="D80" s="34"/>
      <c r="E80" s="34">
        <f>C80+D80</f>
        <v>1094584.5892307691</v>
      </c>
      <c r="F80" s="432">
        <f>1-72%</f>
        <v>0.28000000000000003</v>
      </c>
      <c r="G80" s="29">
        <f>ROUND(+E80*F80,0)</f>
        <v>306484</v>
      </c>
    </row>
    <row r="81" spans="1:7" ht="12">
      <c r="A81" s="28">
        <f t="shared" si="1"/>
        <v>20</v>
      </c>
      <c r="C81" s="29"/>
      <c r="D81" s="29"/>
      <c r="E81" s="29"/>
      <c r="F81" s="29"/>
      <c r="G81" s="29"/>
    </row>
    <row r="82" spans="1:7" ht="12">
      <c r="A82" s="28">
        <f t="shared" si="1"/>
        <v>21</v>
      </c>
      <c r="B82" s="2" t="s">
        <v>510</v>
      </c>
      <c r="C82" s="34">
        <f>SUM('LUSI TB'!Q46:Q49)+'LUSI TB'!Q40+'LUSI TB'!Q56</f>
        <v>2690861.2838461539</v>
      </c>
      <c r="D82" s="34"/>
      <c r="E82" s="34">
        <f>C82+D82</f>
        <v>2690861.2838461539</v>
      </c>
      <c r="F82" s="432">
        <f>+F37</f>
        <v>0</v>
      </c>
      <c r="G82" s="29">
        <f>ROUND(+E82*F82,0)</f>
        <v>0</v>
      </c>
    </row>
    <row r="83" spans="1:7" ht="12">
      <c r="A83" s="28">
        <f t="shared" si="1"/>
        <v>22</v>
      </c>
      <c r="C83" s="34"/>
      <c r="D83" s="34"/>
      <c r="E83" s="34"/>
      <c r="F83" s="29"/>
      <c r="G83" s="29"/>
    </row>
    <row r="84" spans="1:7" ht="12">
      <c r="A84" s="28">
        <f t="shared" si="1"/>
        <v>23</v>
      </c>
      <c r="B84" s="2" t="s">
        <v>511</v>
      </c>
      <c r="C84" s="34">
        <f>+'LUSI TB'!Q55</f>
        <v>818706.03999999992</v>
      </c>
      <c r="D84" s="34"/>
      <c r="E84" s="34">
        <f>C84+D84</f>
        <v>818706.03999999992</v>
      </c>
      <c r="F84" s="432">
        <f>+F39</f>
        <v>0</v>
      </c>
      <c r="G84" s="29">
        <f>ROUND(+E84*F84,0)</f>
        <v>0</v>
      </c>
    </row>
    <row r="85" spans="1:7" ht="12">
      <c r="A85" s="28">
        <f t="shared" si="1"/>
        <v>24</v>
      </c>
      <c r="C85" s="34"/>
      <c r="D85" s="34"/>
      <c r="E85" s="34"/>
      <c r="F85" s="432"/>
      <c r="G85" s="29"/>
    </row>
    <row r="86" spans="1:7" ht="12">
      <c r="A86" s="28">
        <f t="shared" si="1"/>
        <v>25</v>
      </c>
      <c r="B86" s="2" t="s">
        <v>509</v>
      </c>
      <c r="C86" s="34">
        <f>SUM('LUSI TB'!Q60:Q65)+'LUSI TB'!Q50</f>
        <v>502924.57769230771</v>
      </c>
      <c r="D86" s="34"/>
      <c r="E86" s="34">
        <f>C86+D86</f>
        <v>502924.57769230771</v>
      </c>
      <c r="F86" s="432">
        <f>+F41</f>
        <v>0</v>
      </c>
      <c r="G86" s="29">
        <f>ROUND(+E86*F86,0)</f>
        <v>0</v>
      </c>
    </row>
    <row r="87" spans="1:7" ht="12">
      <c r="A87" s="28">
        <f t="shared" si="1"/>
        <v>26</v>
      </c>
      <c r="C87" s="429"/>
      <c r="D87" s="427"/>
      <c r="E87" s="429"/>
      <c r="F87" s="426" t="str">
        <f>IF(I145=0,"",I145)</f>
        <v/>
      </c>
      <c r="G87" s="426" t="str">
        <f>IF(J145=0,"",J145)</f>
        <v/>
      </c>
    </row>
    <row r="88" spans="1:7" ht="12">
      <c r="A88" s="28">
        <f t="shared" si="1"/>
        <v>27</v>
      </c>
      <c r="C88" s="29"/>
      <c r="D88" s="29"/>
      <c r="E88" s="29"/>
      <c r="F88" s="46"/>
      <c r="G88" s="46"/>
    </row>
    <row r="89" spans="1:9" ht="12.75" thickBot="1">
      <c r="A89" s="28">
        <f t="shared" si="1"/>
        <v>28</v>
      </c>
      <c r="B89" s="2" t="s">
        <v>300</v>
      </c>
      <c r="C89" s="537">
        <f>SUM(C77:C88)</f>
        <v>5197763.18</v>
      </c>
      <c r="D89" s="537">
        <f>SUM(D77:D88)</f>
        <v>0</v>
      </c>
      <c r="E89" s="537">
        <f>SUM(E77:E88)</f>
        <v>5197763.18</v>
      </c>
      <c r="F89" s="537"/>
      <c r="G89" s="537">
        <f>SUM(G77:G88)</f>
        <v>331876</v>
      </c>
      <c r="I89" s="573">
        <f>+'LUSI TB'!R65</f>
        <v>5244049.1799999988</v>
      </c>
    </row>
    <row r="90" spans="1:9" ht="12.75" thickTop="1">
      <c r="A90" s="53"/>
      <c r="I90" s="610">
        <f>+I89-C89</f>
        <v>46285.999999999069</v>
      </c>
    </row>
    <row r="91" ht="12">
      <c r="A91" s="53"/>
    </row>
    <row r="92" ht="12">
      <c r="A92" s="53"/>
    </row>
    <row r="93" ht="12">
      <c r="A93" s="53"/>
    </row>
    <row r="94" ht="12">
      <c r="A94" s="53"/>
    </row>
    <row r="95" ht="12">
      <c r="A95" s="53"/>
    </row>
    <row r="96" ht="12">
      <c r="A96" s="53"/>
    </row>
    <row r="97" ht="12">
      <c r="A97" s="53"/>
    </row>
    <row r="98" ht="12">
      <c r="A98" s="53"/>
    </row>
    <row r="99" ht="12">
      <c r="A99" s="53"/>
    </row>
    <row r="100" ht="12">
      <c r="A100" s="53"/>
    </row>
    <row r="101" ht="12">
      <c r="A101" s="53"/>
    </row>
    <row r="102" ht="12">
      <c r="A102" s="53"/>
    </row>
    <row r="103" ht="12">
      <c r="A103" s="53"/>
    </row>
    <row r="104" ht="12">
      <c r="A104" s="53"/>
    </row>
    <row r="105" ht="12">
      <c r="A105" s="53"/>
    </row>
    <row r="106" ht="12">
      <c r="A106" s="53"/>
    </row>
    <row r="107" ht="12">
      <c r="A107" s="53"/>
    </row>
    <row r="108" ht="12">
      <c r="A108" s="53"/>
    </row>
    <row r="109" ht="12">
      <c r="A109" s="53"/>
    </row>
    <row r="110" ht="12">
      <c r="A110" s="53"/>
    </row>
    <row r="111" ht="12">
      <c r="A111" s="53"/>
    </row>
    <row r="112" ht="12">
      <c r="A112" s="53"/>
    </row>
    <row r="113" ht="12">
      <c r="A113" s="53"/>
    </row>
    <row r="114" ht="12">
      <c r="A114" s="53"/>
    </row>
    <row r="115" ht="12">
      <c r="A115" s="53"/>
    </row>
    <row r="116" ht="12">
      <c r="A116" s="53"/>
    </row>
    <row r="117" ht="12">
      <c r="A117" s="53"/>
    </row>
    <row r="118" ht="12">
      <c r="A118" s="53"/>
    </row>
    <row r="119" ht="12">
      <c r="A119" s="53"/>
    </row>
    <row r="120" ht="12">
      <c r="A120" s="53"/>
    </row>
    <row r="121" ht="12">
      <c r="A121" s="53"/>
    </row>
    <row r="122" ht="12">
      <c r="A122" s="53"/>
    </row>
    <row r="123" ht="12">
      <c r="A123" s="53"/>
    </row>
    <row r="124" ht="12">
      <c r="A124" s="53"/>
    </row>
    <row r="125" ht="12">
      <c r="A125" s="53"/>
    </row>
    <row r="126" ht="12">
      <c r="A126" s="53"/>
    </row>
    <row r="127" ht="12">
      <c r="A127" s="53"/>
    </row>
    <row r="128" ht="12">
      <c r="A128" s="53"/>
    </row>
    <row r="129" ht="12">
      <c r="A129" s="53"/>
    </row>
    <row r="130" ht="12">
      <c r="A130" s="53"/>
    </row>
    <row r="131" ht="12">
      <c r="A131" s="53"/>
    </row>
    <row r="132" ht="12">
      <c r="A132" s="53"/>
    </row>
    <row r="133" ht="12">
      <c r="A133" s="53"/>
    </row>
    <row r="134" ht="12">
      <c r="A134" s="53"/>
    </row>
    <row r="135" ht="12">
      <c r="A135" s="53"/>
    </row>
    <row r="136" ht="12">
      <c r="A136" s="53"/>
    </row>
    <row r="137" ht="12">
      <c r="A137" s="53"/>
    </row>
    <row r="138" ht="12">
      <c r="A138" s="53"/>
    </row>
    <row r="139" ht="12">
      <c r="A139" s="53"/>
    </row>
    <row r="140" ht="12">
      <c r="A140" s="53"/>
    </row>
    <row r="141" ht="12">
      <c r="A141" s="53"/>
    </row>
  </sheetData>
  <mergeCells count="2">
    <mergeCell ref="A10:G11"/>
    <mergeCell ref="A55:G56"/>
  </mergeCells>
  <pageMargins left="0.7" right="0.7" top="0.75" bottom="0.75" header="0.3" footer="0.3"/>
  <pageSetup horizontalDpi="300" verticalDpi="300" orientation="portrait" r:id="rId1"/>
  <headerFooter>
    <oddFooter>&amp;L&amp;"Times New Roman,Regular"&amp;9O3129680.v1</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U322"/>
  <sheetViews>
    <sheetView workbookViewId="0" topLeftCell="D288">
      <selection pane="topLeft" activeCell="U322" sqref="U322"/>
    </sheetView>
  </sheetViews>
  <sheetFormatPr defaultColWidth="10.85546875" defaultRowHeight="12"/>
  <cols>
    <col min="1" max="1" width="5.85714285714286" style="115" customWidth="1"/>
    <col min="2" max="2" width="11.5714285714286" style="115" hidden="1" customWidth="1"/>
    <col min="3" max="3" width="35" style="115" customWidth="1"/>
    <col min="4" max="10" width="9.71428571428571" style="115" customWidth="1"/>
    <col min="11" max="11" width="10.7142857142857" style="115" customWidth="1"/>
    <col min="12" max="16384" width="10.8571428571429" style="115"/>
  </cols>
  <sheetData>
    <row r="1" spans="1:15" ht="12">
      <c r="A1" s="137" t="s">
        <v>342</v>
      </c>
      <c r="B1" s="137"/>
      <c r="C1" s="137"/>
      <c r="D1" s="137"/>
      <c r="E1" s="137"/>
      <c r="F1" s="137"/>
      <c r="H1" s="137"/>
      <c r="I1" s="138" t="s">
        <v>1</v>
      </c>
      <c r="J1" s="137"/>
      <c r="K1" s="137"/>
      <c r="M1" s="329"/>
      <c r="N1" s="512"/>
      <c r="O1" s="331"/>
    </row>
    <row r="2" spans="1:15" ht="12">
      <c r="A2" s="137"/>
      <c r="B2" s="137"/>
      <c r="C2" s="137"/>
      <c r="D2" s="137"/>
      <c r="E2" s="137"/>
      <c r="F2" s="137"/>
      <c r="H2" s="137"/>
      <c r="I2" s="138"/>
      <c r="J2" s="137"/>
      <c r="K2" s="137"/>
      <c r="M2" s="332"/>
      <c r="N2" s="333"/>
      <c r="O2" s="334"/>
    </row>
    <row r="3" spans="1:15" ht="12">
      <c r="A3" s="137" t="s">
        <v>84</v>
      </c>
      <c r="B3" s="137"/>
      <c r="C3" s="137"/>
      <c r="D3" s="137"/>
      <c r="E3" s="137"/>
      <c r="F3" s="137"/>
      <c r="H3" s="137"/>
      <c r="I3" s="138" t="s">
        <v>345</v>
      </c>
      <c r="J3" s="137"/>
      <c r="K3" s="137"/>
      <c r="M3" s="513"/>
      <c r="N3" s="513"/>
      <c r="O3" s="513"/>
    </row>
    <row r="4" spans="1:11" ht="12">
      <c r="A4" s="386" t="s">
        <v>586</v>
      </c>
      <c r="B4" s="137"/>
      <c r="C4" s="139"/>
      <c r="D4" s="139"/>
      <c r="E4" s="139"/>
      <c r="F4" s="139"/>
      <c r="H4" s="137"/>
      <c r="I4" s="140" t="s">
        <v>326</v>
      </c>
      <c r="J4" s="137"/>
      <c r="K4" s="137"/>
    </row>
    <row r="5" spans="1:11" ht="12">
      <c r="A5" s="137" t="s">
        <v>502</v>
      </c>
      <c r="B5" s="137"/>
      <c r="C5" s="139"/>
      <c r="D5" s="139"/>
      <c r="E5" s="139"/>
      <c r="F5" s="139"/>
      <c r="H5" s="137"/>
      <c r="I5" s="138" t="s">
        <v>86</v>
      </c>
      <c r="J5" s="137"/>
      <c r="K5" s="137"/>
    </row>
    <row r="6" spans="1:11" ht="12">
      <c r="A6" s="141" t="s">
        <v>290</v>
      </c>
      <c r="B6" s="141"/>
      <c r="C6" s="137"/>
      <c r="D6" s="137"/>
      <c r="E6" s="137"/>
      <c r="F6" s="137"/>
      <c r="H6" s="137"/>
      <c r="I6" s="138" t="s">
        <v>346</v>
      </c>
      <c r="J6" s="137"/>
      <c r="K6" s="137"/>
    </row>
    <row r="7" spans="1:11" ht="12">
      <c r="A7" s="729" t="s">
        <v>347</v>
      </c>
      <c r="B7" s="729"/>
      <c r="C7" s="729"/>
      <c r="D7" s="729"/>
      <c r="E7" s="729"/>
      <c r="F7" s="729"/>
      <c r="G7" s="729"/>
      <c r="H7" s="729"/>
      <c r="I7" s="729"/>
      <c r="J7" s="412"/>
      <c r="K7" s="412"/>
    </row>
    <row r="8" spans="1:11" ht="12.75" customHeight="1" thickBot="1">
      <c r="A8" s="143"/>
      <c r="B8" s="143"/>
      <c r="C8" s="143"/>
      <c r="D8" s="143"/>
      <c r="E8" s="143"/>
      <c r="F8" s="143"/>
      <c r="G8" s="143"/>
      <c r="H8" s="143"/>
      <c r="I8" s="143"/>
      <c r="J8" s="143"/>
      <c r="K8" s="143"/>
    </row>
    <row r="9" spans="1:12" ht="12">
      <c r="A9" s="137"/>
      <c r="B9" s="338"/>
      <c r="C9" s="412" t="s">
        <v>7</v>
      </c>
      <c r="D9" s="339" t="s">
        <v>293</v>
      </c>
      <c r="E9" s="145">
        <v>-3</v>
      </c>
      <c r="F9" s="145">
        <v>-4</v>
      </c>
      <c r="G9" s="145">
        <v>-5</v>
      </c>
      <c r="H9" s="145">
        <v>-6</v>
      </c>
      <c r="I9" s="145">
        <v>-7</v>
      </c>
      <c r="J9" s="514"/>
      <c r="K9" s="514"/>
      <c r="L9" s="145"/>
    </row>
    <row r="10" spans="5:11" ht="12">
      <c r="E10" s="137" t="s">
        <v>659</v>
      </c>
      <c r="F10" s="693" t="s">
        <v>660</v>
      </c>
      <c r="J10" s="346"/>
      <c r="K10" s="346"/>
    </row>
    <row r="11" spans="1:21" s="412" customFormat="1" ht="12">
      <c r="A11" s="412" t="s">
        <v>91</v>
      </c>
      <c r="B11" s="412" t="s">
        <v>348</v>
      </c>
      <c r="D11" s="493" t="s">
        <v>8</v>
      </c>
      <c r="E11" s="511" t="s">
        <v>656</v>
      </c>
      <c r="F11" s="511" t="s">
        <v>201</v>
      </c>
      <c r="G11" s="492" t="s">
        <v>10</v>
      </c>
      <c r="H11" s="495" t="s">
        <v>11</v>
      </c>
      <c r="I11" s="494" t="s">
        <v>349</v>
      </c>
      <c r="J11" s="515"/>
      <c r="K11" s="515"/>
      <c r="Q11" s="115"/>
      <c r="R11" s="115"/>
      <c r="S11" s="138"/>
      <c r="U11" s="115"/>
    </row>
    <row r="12" spans="1:11" ht="14.25">
      <c r="A12" s="152" t="s">
        <v>94</v>
      </c>
      <c r="B12" s="341" t="s">
        <v>350</v>
      </c>
      <c r="C12" s="152" t="s">
        <v>12</v>
      </c>
      <c r="D12" s="152" t="s">
        <v>351</v>
      </c>
      <c r="E12" s="152" t="s">
        <v>657</v>
      </c>
      <c r="F12" s="152" t="s">
        <v>662</v>
      </c>
      <c r="G12" s="152" t="s">
        <v>177</v>
      </c>
      <c r="H12" s="151" t="s">
        <v>15</v>
      </c>
      <c r="I12" s="152" t="s">
        <v>16</v>
      </c>
      <c r="J12" s="516"/>
      <c r="K12" s="517"/>
    </row>
    <row r="13" spans="1:8" ht="12">
      <c r="A13" s="305">
        <v>1</v>
      </c>
      <c r="B13" s="412"/>
      <c r="C13" s="137" t="s">
        <v>17</v>
      </c>
      <c r="D13" s="137"/>
      <c r="E13" s="137"/>
      <c r="F13" s="137"/>
      <c r="H13" s="500"/>
    </row>
    <row r="14" spans="1:11" ht="12">
      <c r="A14" s="305">
        <f t="shared" si="0" ref="A14:A77">A13+1</f>
        <v>2</v>
      </c>
      <c r="B14" s="412">
        <v>6640</v>
      </c>
      <c r="C14" s="115" t="s">
        <v>18</v>
      </c>
      <c r="D14" s="501"/>
      <c r="G14" s="321"/>
      <c r="H14" s="500"/>
      <c r="I14" s="176"/>
      <c r="J14" s="176"/>
      <c r="K14" s="176"/>
    </row>
    <row r="15" spans="1:11" ht="12">
      <c r="A15" s="305">
        <f t="shared" si="0"/>
        <v>3</v>
      </c>
      <c r="B15" s="412">
        <v>6645</v>
      </c>
      <c r="C15" s="115" t="s">
        <v>19</v>
      </c>
      <c r="D15" s="501"/>
      <c r="G15" s="321"/>
      <c r="H15" s="500"/>
      <c r="I15" s="176"/>
      <c r="J15" s="176"/>
      <c r="K15" s="176"/>
    </row>
    <row r="16" spans="1:11" ht="12">
      <c r="A16" s="305">
        <f t="shared" si="0"/>
        <v>4</v>
      </c>
      <c r="B16" s="412">
        <v>6790</v>
      </c>
      <c r="C16" s="115" t="s">
        <v>20</v>
      </c>
      <c r="D16" s="501"/>
      <c r="G16" s="321"/>
      <c r="H16" s="500"/>
      <c r="I16" s="176"/>
      <c r="J16" s="176"/>
      <c r="K16" s="176"/>
    </row>
    <row r="17" spans="1:11" ht="12">
      <c r="A17" s="305">
        <f t="shared" si="0"/>
        <v>5</v>
      </c>
      <c r="B17" s="412"/>
      <c r="C17" s="137" t="s">
        <v>21</v>
      </c>
      <c r="D17" s="501"/>
      <c r="G17" s="321"/>
      <c r="H17" s="500"/>
      <c r="I17" s="176"/>
      <c r="J17" s="176"/>
      <c r="K17" s="176"/>
    </row>
    <row r="18" spans="1:11" ht="12">
      <c r="A18" s="305">
        <f t="shared" si="0"/>
        <v>6</v>
      </c>
      <c r="B18" s="412" t="s">
        <v>152</v>
      </c>
      <c r="C18" s="115" t="s">
        <v>22</v>
      </c>
      <c r="D18" s="501"/>
      <c r="G18" s="321"/>
      <c r="H18" s="500"/>
      <c r="I18" s="176"/>
      <c r="J18" s="176"/>
      <c r="K18" s="176"/>
    </row>
    <row r="19" spans="1:11" ht="12">
      <c r="A19" s="305">
        <f t="shared" si="0"/>
        <v>7</v>
      </c>
      <c r="B19" s="412">
        <v>6655</v>
      </c>
      <c r="C19" s="115" t="s">
        <v>23</v>
      </c>
      <c r="D19" s="501"/>
      <c r="G19" s="321"/>
      <c r="H19" s="500"/>
      <c r="I19" s="176"/>
      <c r="J19" s="176"/>
      <c r="K19" s="176"/>
    </row>
    <row r="20" spans="1:11" ht="12">
      <c r="A20" s="305">
        <f t="shared" si="0"/>
        <v>8</v>
      </c>
      <c r="B20" s="412">
        <v>6685</v>
      </c>
      <c r="C20" s="161" t="s">
        <v>128</v>
      </c>
      <c r="D20" s="501"/>
      <c r="G20" s="321"/>
      <c r="H20" s="500"/>
      <c r="I20" s="176"/>
      <c r="J20" s="176"/>
      <c r="K20" s="176"/>
    </row>
    <row r="21" spans="1:18" ht="12">
      <c r="A21" s="305">
        <f t="shared" si="0"/>
        <v>9</v>
      </c>
      <c r="B21" s="412">
        <v>6710</v>
      </c>
      <c r="C21" s="115" t="s">
        <v>25</v>
      </c>
      <c r="D21" s="501"/>
      <c r="G21" s="308"/>
      <c r="H21" s="500"/>
      <c r="I21" s="176"/>
      <c r="J21" s="176"/>
      <c r="K21" s="176"/>
      <c r="P21" s="518"/>
      <c r="Q21" s="519"/>
      <c r="R21" s="176"/>
    </row>
    <row r="22" spans="1:18" ht="12">
      <c r="A22" s="305">
        <f t="shared" si="0"/>
        <v>10</v>
      </c>
      <c r="B22" s="147" t="s">
        <v>353</v>
      </c>
      <c r="C22" s="115" t="s">
        <v>26</v>
      </c>
      <c r="D22" s="501"/>
      <c r="G22" s="308"/>
      <c r="H22" s="500"/>
      <c r="I22" s="176"/>
      <c r="J22" s="176"/>
      <c r="K22" s="176"/>
      <c r="P22" s="518"/>
      <c r="Q22" s="519"/>
      <c r="R22" s="176"/>
    </row>
    <row r="23" spans="1:11" ht="12">
      <c r="A23" s="305">
        <f t="shared" si="0"/>
        <v>11</v>
      </c>
      <c r="B23" s="412">
        <v>6720</v>
      </c>
      <c r="C23" s="115" t="s">
        <v>27</v>
      </c>
      <c r="D23" s="501"/>
      <c r="G23" s="308"/>
      <c r="H23" s="500"/>
      <c r="I23" s="176"/>
      <c r="J23" s="176"/>
      <c r="K23" s="176"/>
    </row>
    <row r="24" spans="1:11" ht="12">
      <c r="A24" s="305">
        <f t="shared" si="0"/>
        <v>12</v>
      </c>
      <c r="B24" s="147">
        <v>6725</v>
      </c>
      <c r="C24" s="115" t="s">
        <v>28</v>
      </c>
      <c r="D24" s="501"/>
      <c r="G24" s="308"/>
      <c r="H24" s="500"/>
      <c r="I24" s="176"/>
      <c r="J24" s="176"/>
      <c r="K24" s="176"/>
    </row>
    <row r="25" spans="1:11" ht="12">
      <c r="A25" s="305">
        <f t="shared" si="0"/>
        <v>13</v>
      </c>
      <c r="B25" s="412">
        <v>6730</v>
      </c>
      <c r="C25" s="115" t="s">
        <v>29</v>
      </c>
      <c r="D25" s="501"/>
      <c r="G25" s="321"/>
      <c r="H25" s="500"/>
      <c r="I25" s="176"/>
      <c r="J25" s="176"/>
      <c r="K25" s="176"/>
    </row>
    <row r="26" spans="1:11" ht="12">
      <c r="A26" s="305">
        <f t="shared" si="0"/>
        <v>14</v>
      </c>
      <c r="B26" s="412">
        <v>6735</v>
      </c>
      <c r="C26" s="115" t="s">
        <v>30</v>
      </c>
      <c r="D26" s="501"/>
      <c r="G26" s="321"/>
      <c r="H26" s="500"/>
      <c r="I26" s="176"/>
      <c r="J26" s="176"/>
      <c r="K26" s="176"/>
    </row>
    <row r="27" spans="1:11" ht="12">
      <c r="A27" s="305">
        <f t="shared" si="0"/>
        <v>15</v>
      </c>
      <c r="B27" s="412">
        <v>6795</v>
      </c>
      <c r="C27" s="115" t="s">
        <v>31</v>
      </c>
      <c r="D27" s="501"/>
      <c r="G27" s="321"/>
      <c r="H27" s="500"/>
      <c r="I27" s="176"/>
      <c r="J27" s="176"/>
      <c r="K27" s="176"/>
    </row>
    <row r="28" spans="1:11" ht="12">
      <c r="A28" s="305">
        <f t="shared" si="0"/>
        <v>16</v>
      </c>
      <c r="B28" s="412"/>
      <c r="C28" s="137" t="s">
        <v>32</v>
      </c>
      <c r="D28" s="501"/>
      <c r="G28" s="321"/>
      <c r="H28" s="500"/>
      <c r="I28" s="176"/>
      <c r="J28" s="176"/>
      <c r="K28" s="176"/>
    </row>
    <row r="29" spans="1:11" ht="12">
      <c r="A29" s="305">
        <f t="shared" si="0"/>
        <v>17</v>
      </c>
      <c r="B29" s="412" t="s">
        <v>152</v>
      </c>
      <c r="C29" s="115" t="s">
        <v>33</v>
      </c>
      <c r="D29" s="501"/>
      <c r="G29" s="321"/>
      <c r="H29" s="500"/>
      <c r="I29" s="176"/>
      <c r="J29" s="176"/>
      <c r="K29" s="176"/>
    </row>
    <row r="30" spans="1:11" ht="12">
      <c r="A30" s="305">
        <f t="shared" si="0"/>
        <v>18</v>
      </c>
      <c r="B30" s="412">
        <v>6660</v>
      </c>
      <c r="C30" s="115" t="s">
        <v>34</v>
      </c>
      <c r="D30" s="501"/>
      <c r="G30" s="321"/>
      <c r="H30" s="500"/>
      <c r="I30" s="176"/>
      <c r="J30" s="176"/>
      <c r="K30" s="176"/>
    </row>
    <row r="31" spans="1:11" ht="12">
      <c r="A31" s="305">
        <f t="shared" si="0"/>
        <v>19</v>
      </c>
      <c r="B31" s="412">
        <v>6740</v>
      </c>
      <c r="C31" s="115" t="s">
        <v>35</v>
      </c>
      <c r="D31" s="501"/>
      <c r="G31" s="321"/>
      <c r="H31" s="500"/>
      <c r="I31" s="176"/>
      <c r="J31" s="176"/>
      <c r="K31" s="176"/>
    </row>
    <row r="32" spans="1:18" ht="12">
      <c r="A32" s="305">
        <f t="shared" si="0"/>
        <v>20</v>
      </c>
      <c r="B32" s="412">
        <v>6745</v>
      </c>
      <c r="C32" s="115" t="s">
        <v>36</v>
      </c>
      <c r="D32" s="501"/>
      <c r="G32" s="321"/>
      <c r="H32" s="500"/>
      <c r="I32" s="176"/>
      <c r="J32" s="176"/>
      <c r="K32" s="176"/>
      <c r="P32" s="518"/>
      <c r="Q32" s="519"/>
      <c r="R32" s="176"/>
    </row>
    <row r="33" spans="1:11" ht="12">
      <c r="A33" s="305">
        <f t="shared" si="0"/>
        <v>21</v>
      </c>
      <c r="B33" s="412">
        <v>6800</v>
      </c>
      <c r="C33" s="115" t="s">
        <v>37</v>
      </c>
      <c r="D33" s="501"/>
      <c r="G33" s="321"/>
      <c r="H33" s="500"/>
      <c r="I33" s="176"/>
      <c r="J33" s="176"/>
      <c r="K33" s="176"/>
    </row>
    <row r="34" spans="1:11" ht="12">
      <c r="A34" s="305">
        <f t="shared" si="0"/>
        <v>22</v>
      </c>
      <c r="B34" s="412"/>
      <c r="C34" s="137" t="s">
        <v>38</v>
      </c>
      <c r="D34" s="501"/>
      <c r="G34" s="321"/>
      <c r="H34" s="500"/>
      <c r="I34" s="176" t="str">
        <f t="shared" si="1" ref="I34:I41">IF(OR(G34=0,H34=0),"",ROUND(G34*H34,0))</f>
        <v/>
      </c>
      <c r="J34" s="176"/>
      <c r="K34" s="176"/>
    </row>
    <row r="35" spans="1:11" ht="12">
      <c r="A35" s="305">
        <f t="shared" si="0"/>
        <v>23</v>
      </c>
      <c r="B35" s="412" t="s">
        <v>152</v>
      </c>
      <c r="C35" s="115" t="s">
        <v>39</v>
      </c>
      <c r="D35" s="501"/>
      <c r="G35" s="321">
        <f t="shared" si="2" ref="G35:G41">SUM(D35:E35)</f>
        <v>0</v>
      </c>
      <c r="H35" s="525">
        <f>+'LUSI A 10'!G32</f>
        <v>0.28000000000000003</v>
      </c>
      <c r="I35" s="176" t="str">
        <f t="shared" si="1"/>
        <v/>
      </c>
      <c r="J35" s="176"/>
      <c r="K35" s="176">
        <v>0</v>
      </c>
    </row>
    <row r="36" spans="1:11" ht="12">
      <c r="A36" s="305">
        <f t="shared" si="0"/>
        <v>24</v>
      </c>
      <c r="B36" s="147">
        <v>6665</v>
      </c>
      <c r="C36" s="115" t="s">
        <v>40</v>
      </c>
      <c r="D36" s="526">
        <f>+'LUSI TB'!Q66</f>
        <v>97948.29</v>
      </c>
      <c r="E36" s="526">
        <f>+'LUSI A 10'!D33</f>
        <v>3123.0925781249939</v>
      </c>
      <c r="F36" s="526"/>
      <c r="G36" s="321">
        <f t="shared" si="2"/>
        <v>101071.38257812499</v>
      </c>
      <c r="H36" s="525">
        <f>+'LUSI A 10'!G33</f>
        <v>0.28000000000000003</v>
      </c>
      <c r="I36" s="176">
        <f t="shared" si="1"/>
        <v>28300</v>
      </c>
      <c r="J36" s="500"/>
      <c r="K36" s="321">
        <v>161</v>
      </c>
    </row>
    <row r="37" spans="1:11" ht="12">
      <c r="A37" s="305">
        <f t="shared" si="0"/>
        <v>25</v>
      </c>
      <c r="B37" s="412">
        <v>6695</v>
      </c>
      <c r="C37" s="161" t="s">
        <v>130</v>
      </c>
      <c r="D37" s="526">
        <f>+'LUSI TB'!Q67</f>
        <v>45.360000000000007</v>
      </c>
      <c r="E37" s="526">
        <f>+'LUSI A 10'!D34</f>
        <v>0</v>
      </c>
      <c r="F37" s="526"/>
      <c r="G37" s="321">
        <f t="shared" si="2"/>
        <v>45.360000000000007</v>
      </c>
      <c r="H37" s="525">
        <f>+'LUSI A 10'!G34</f>
        <v>0.28000000000000003</v>
      </c>
      <c r="I37" s="176">
        <f t="shared" si="1"/>
        <v>13</v>
      </c>
      <c r="J37" s="500"/>
      <c r="K37" s="321">
        <v>45</v>
      </c>
    </row>
    <row r="38" spans="1:11" ht="12">
      <c r="A38" s="305">
        <f t="shared" si="0"/>
        <v>26</v>
      </c>
      <c r="B38" s="147" t="s">
        <v>355</v>
      </c>
      <c r="C38" s="115" t="s">
        <v>42</v>
      </c>
      <c r="D38" s="526">
        <f>+'LUSI TB'!Q68+'LUSI TB'!Q69</f>
        <v>246606.00999999998</v>
      </c>
      <c r="E38" s="526">
        <f>+'LUSI A 10'!D35</f>
        <v>649.99555555553422</v>
      </c>
      <c r="F38" s="526"/>
      <c r="G38" s="321">
        <f t="shared" si="2"/>
        <v>247256.00555555552</v>
      </c>
      <c r="H38" s="525">
        <f>+'LUSI A 10'!G35</f>
        <v>0.28000000000000003</v>
      </c>
      <c r="I38" s="176">
        <f t="shared" si="1"/>
        <v>69232</v>
      </c>
      <c r="J38" s="520"/>
      <c r="K38" s="321">
        <v>105233.06</v>
      </c>
    </row>
    <row r="39" spans="1:11" ht="12">
      <c r="A39" s="305">
        <f t="shared" si="0"/>
        <v>27</v>
      </c>
      <c r="B39" s="412">
        <v>6775</v>
      </c>
      <c r="C39" s="115" t="s">
        <v>43</v>
      </c>
      <c r="D39" s="526">
        <f>+'LUSI TB'!Q70</f>
        <v>13545.480000000003</v>
      </c>
      <c r="E39" s="526">
        <f>+'LUSI A 10'!D36</f>
        <v>0</v>
      </c>
      <c r="F39" s="526"/>
      <c r="G39" s="321">
        <f t="shared" si="2"/>
        <v>13545.480000000003</v>
      </c>
      <c r="H39" s="525">
        <f>+'LUSI A 10'!G36</f>
        <v>0.28000000000000003</v>
      </c>
      <c r="I39" s="176">
        <f t="shared" si="1"/>
        <v>3793</v>
      </c>
      <c r="J39" s="500"/>
      <c r="K39" s="321">
        <v>2129</v>
      </c>
    </row>
    <row r="40" spans="1:11" ht="12">
      <c r="A40" s="305">
        <f t="shared" si="0"/>
        <v>28</v>
      </c>
      <c r="B40" s="412">
        <v>6785</v>
      </c>
      <c r="C40" s="115" t="s">
        <v>44</v>
      </c>
      <c r="D40" s="526">
        <f>+'LUSI TB'!Q71</f>
        <v>68.179999999999993</v>
      </c>
      <c r="E40" s="526">
        <f>+'LUSI A 10'!D37</f>
        <v>0</v>
      </c>
      <c r="F40" s="526"/>
      <c r="G40" s="321">
        <f t="shared" si="2"/>
        <v>68.179999999999993</v>
      </c>
      <c r="H40" s="525">
        <f>+'LUSI A 10'!G37</f>
        <v>0.28000000000000003</v>
      </c>
      <c r="I40" s="176">
        <f t="shared" si="1"/>
        <v>19</v>
      </c>
      <c r="J40" s="176"/>
      <c r="K40" s="321">
        <v>68</v>
      </c>
    </row>
    <row r="41" spans="1:11" ht="12">
      <c r="A41" s="305">
        <f t="shared" si="0"/>
        <v>29</v>
      </c>
      <c r="B41" s="412">
        <v>6805</v>
      </c>
      <c r="C41" s="115" t="s">
        <v>45</v>
      </c>
      <c r="D41" s="501"/>
      <c r="G41" s="321">
        <f t="shared" si="2"/>
        <v>0</v>
      </c>
      <c r="H41" s="525">
        <f>+'LUSI A 10'!G38</f>
        <v>0.28000000000000003</v>
      </c>
      <c r="I41" s="176" t="str">
        <f t="shared" si="1"/>
        <v/>
      </c>
      <c r="J41" s="176"/>
      <c r="K41" s="321">
        <v>0</v>
      </c>
    </row>
    <row r="42" spans="1:11" ht="12">
      <c r="A42" s="305">
        <f t="shared" si="0"/>
        <v>30</v>
      </c>
      <c r="B42" s="412"/>
      <c r="C42" s="137" t="s">
        <v>46</v>
      </c>
      <c r="D42" s="501"/>
      <c r="G42" s="321"/>
      <c r="H42" s="500"/>
      <c r="I42" s="176"/>
      <c r="J42" s="176"/>
      <c r="K42" s="176"/>
    </row>
    <row r="43" spans="1:11" ht="12">
      <c r="A43" s="305">
        <f t="shared" si="0"/>
        <v>31</v>
      </c>
      <c r="B43" s="412" t="s">
        <v>152</v>
      </c>
      <c r="C43" s="115" t="s">
        <v>132</v>
      </c>
      <c r="D43" s="501"/>
      <c r="G43" s="321"/>
      <c r="H43" s="500"/>
      <c r="I43" s="176"/>
      <c r="J43" s="176"/>
      <c r="K43" s="176"/>
    </row>
    <row r="44" spans="1:11" ht="12">
      <c r="A44" s="305">
        <f t="shared" si="0"/>
        <v>32</v>
      </c>
      <c r="B44" s="412">
        <v>6670</v>
      </c>
      <c r="C44" s="115" t="s">
        <v>133</v>
      </c>
      <c r="D44" s="501"/>
      <c r="G44" s="321"/>
      <c r="H44" s="500"/>
      <c r="I44" s="176"/>
      <c r="J44" s="176"/>
      <c r="K44" s="176"/>
    </row>
    <row r="45" spans="1:11" ht="12">
      <c r="A45" s="305">
        <f t="shared" si="0"/>
        <v>33</v>
      </c>
      <c r="B45" s="412">
        <v>6700</v>
      </c>
      <c r="C45" s="115" t="s">
        <v>134</v>
      </c>
      <c r="D45" s="501"/>
      <c r="G45" s="321"/>
      <c r="H45" s="500"/>
      <c r="I45" s="176"/>
      <c r="J45" s="176"/>
      <c r="K45" s="176"/>
    </row>
    <row r="46" spans="1:11" ht="12">
      <c r="A46" s="305">
        <f t="shared" si="0"/>
        <v>34</v>
      </c>
      <c r="B46" s="412">
        <v>6750</v>
      </c>
      <c r="C46" s="115" t="s">
        <v>135</v>
      </c>
      <c r="D46" s="501"/>
      <c r="G46" s="321"/>
      <c r="H46" s="500"/>
      <c r="I46" s="176"/>
      <c r="J46" s="176"/>
      <c r="K46" s="176"/>
    </row>
    <row r="47" spans="1:11" ht="12">
      <c r="A47" s="305">
        <f t="shared" si="0"/>
        <v>35</v>
      </c>
      <c r="B47" s="412">
        <v>6885</v>
      </c>
      <c r="C47" s="115" t="s">
        <v>51</v>
      </c>
      <c r="D47" s="501"/>
      <c r="G47" s="321"/>
      <c r="H47" s="500"/>
      <c r="I47" s="176"/>
      <c r="J47" s="176"/>
      <c r="K47" s="176"/>
    </row>
    <row r="48" spans="1:11" ht="12">
      <c r="A48" s="305">
        <f t="shared" si="0"/>
        <v>36</v>
      </c>
      <c r="B48" s="412">
        <v>6770</v>
      </c>
      <c r="C48" s="115" t="s">
        <v>137</v>
      </c>
      <c r="D48" s="501"/>
      <c r="G48" s="321"/>
      <c r="H48" s="500"/>
      <c r="I48" s="176"/>
      <c r="J48" s="176"/>
      <c r="K48" s="176"/>
    </row>
    <row r="49" spans="1:11" ht="12">
      <c r="A49" s="305">
        <f t="shared" si="0"/>
        <v>37</v>
      </c>
      <c r="B49" s="412">
        <v>6780</v>
      </c>
      <c r="C49" s="115" t="s">
        <v>138</v>
      </c>
      <c r="D49" s="501"/>
      <c r="E49" s="176"/>
      <c r="F49" s="176"/>
      <c r="G49" s="321"/>
      <c r="H49" s="500"/>
      <c r="I49" s="176"/>
      <c r="J49" s="176"/>
      <c r="K49" s="176"/>
    </row>
    <row r="50" spans="1:11" ht="12">
      <c r="A50" s="305">
        <f t="shared" si="0"/>
        <v>38</v>
      </c>
      <c r="B50" s="412">
        <v>6810</v>
      </c>
      <c r="C50" s="115" t="s">
        <v>139</v>
      </c>
      <c r="D50" s="501"/>
      <c r="E50" s="176"/>
      <c r="F50" s="176"/>
      <c r="G50" s="321"/>
      <c r="H50" s="500"/>
      <c r="I50" s="176"/>
      <c r="J50" s="176"/>
      <c r="K50" s="176"/>
    </row>
    <row r="51" spans="1:11" ht="12">
      <c r="A51" s="305">
        <f t="shared" si="0"/>
        <v>39</v>
      </c>
      <c r="B51" s="412"/>
      <c r="C51" s="137" t="s">
        <v>46</v>
      </c>
      <c r="D51" s="501"/>
      <c r="E51" s="176"/>
      <c r="F51" s="176"/>
      <c r="G51" s="321"/>
      <c r="H51" s="500"/>
      <c r="I51" s="176"/>
      <c r="J51" s="176"/>
      <c r="K51" s="176"/>
    </row>
    <row r="52" spans="1:11" ht="12">
      <c r="A52" s="305">
        <f t="shared" si="0"/>
        <v>40</v>
      </c>
      <c r="B52" s="412">
        <v>6650</v>
      </c>
      <c r="C52" s="115" t="s">
        <v>140</v>
      </c>
      <c r="D52" s="501"/>
      <c r="E52" s="176"/>
      <c r="F52" s="176"/>
      <c r="G52" s="321"/>
      <c r="H52" s="500"/>
      <c r="I52" s="176"/>
      <c r="J52" s="176"/>
      <c r="K52" s="176"/>
    </row>
    <row r="53" spans="1:11" ht="12">
      <c r="A53" s="305">
        <f t="shared" si="0"/>
        <v>41</v>
      </c>
      <c r="B53" s="412" t="s">
        <v>152</v>
      </c>
      <c r="C53" s="115" t="s">
        <v>141</v>
      </c>
      <c r="D53" s="501"/>
      <c r="E53" s="176"/>
      <c r="F53" s="176"/>
      <c r="G53" s="321"/>
      <c r="H53" s="500"/>
      <c r="I53" s="176"/>
      <c r="J53" s="176"/>
      <c r="K53" s="176"/>
    </row>
    <row r="54" spans="1:11" ht="12">
      <c r="A54" s="305">
        <f t="shared" si="0"/>
        <v>42</v>
      </c>
      <c r="B54" s="412">
        <v>6675</v>
      </c>
      <c r="C54" s="115" t="s">
        <v>142</v>
      </c>
      <c r="D54" s="501"/>
      <c r="E54" s="176"/>
      <c r="F54" s="176"/>
      <c r="G54" s="321"/>
      <c r="H54" s="500"/>
      <c r="I54" s="176"/>
      <c r="J54" s="176"/>
      <c r="K54" s="176"/>
    </row>
    <row r="55" spans="1:11" ht="12">
      <c r="A55" s="305">
        <f t="shared" si="0"/>
        <v>43</v>
      </c>
      <c r="B55" s="412">
        <v>6705</v>
      </c>
      <c r="C55" s="115" t="s">
        <v>143</v>
      </c>
      <c r="D55" s="501"/>
      <c r="E55" s="176"/>
      <c r="F55" s="176"/>
      <c r="G55" s="321"/>
      <c r="H55" s="500"/>
      <c r="I55" s="176"/>
      <c r="J55" s="176"/>
      <c r="K55" s="176"/>
    </row>
    <row r="56" spans="1:11" ht="12">
      <c r="A56" s="305">
        <f t="shared" si="0"/>
        <v>44</v>
      </c>
      <c r="B56" s="412">
        <v>6875</v>
      </c>
      <c r="C56" s="115" t="s">
        <v>56</v>
      </c>
      <c r="D56" s="501"/>
      <c r="E56" s="176"/>
      <c r="F56" s="176"/>
      <c r="G56" s="321"/>
      <c r="H56" s="500"/>
      <c r="I56" s="176"/>
      <c r="J56" s="176"/>
      <c r="K56" s="176"/>
    </row>
    <row r="57" spans="1:11" ht="12">
      <c r="A57" s="305">
        <f t="shared" si="0"/>
        <v>45</v>
      </c>
      <c r="B57" s="412">
        <v>6880</v>
      </c>
      <c r="C57" s="115" t="s">
        <v>144</v>
      </c>
      <c r="D57" s="501"/>
      <c r="E57" s="176"/>
      <c r="F57" s="176"/>
      <c r="G57" s="321"/>
      <c r="H57" s="500"/>
      <c r="I57" s="176"/>
      <c r="J57" s="176"/>
      <c r="K57" s="176"/>
    </row>
    <row r="58" spans="1:11" ht="12">
      <c r="A58" s="305">
        <f t="shared" si="0"/>
        <v>46</v>
      </c>
      <c r="B58" s="412">
        <v>6755</v>
      </c>
      <c r="C58" s="115" t="s">
        <v>145</v>
      </c>
      <c r="D58" s="501"/>
      <c r="E58" s="176"/>
      <c r="F58" s="176"/>
      <c r="G58" s="321"/>
      <c r="H58" s="500"/>
      <c r="I58" s="176"/>
      <c r="J58" s="176"/>
      <c r="K58" s="176"/>
    </row>
    <row r="59" spans="1:11" ht="12">
      <c r="A59" s="305">
        <f t="shared" si="0"/>
        <v>47</v>
      </c>
      <c r="B59" s="412">
        <v>6890</v>
      </c>
      <c r="C59" s="115" t="s">
        <v>146</v>
      </c>
      <c r="D59" s="501"/>
      <c r="E59" s="176"/>
      <c r="F59" s="176"/>
      <c r="G59" s="321"/>
      <c r="H59" s="500"/>
      <c r="I59" s="176"/>
      <c r="J59" s="176"/>
      <c r="K59" s="176"/>
    </row>
    <row r="60" spans="1:11" ht="12">
      <c r="A60" s="305">
        <f t="shared" si="0"/>
        <v>48</v>
      </c>
      <c r="B60" s="412"/>
      <c r="C60" s="115" t="s">
        <v>499</v>
      </c>
      <c r="D60" s="501"/>
      <c r="E60" s="176"/>
      <c r="F60" s="176"/>
      <c r="G60" s="321"/>
      <c r="H60" s="500"/>
      <c r="I60" s="176"/>
      <c r="J60" s="176"/>
      <c r="K60" s="176"/>
    </row>
    <row r="61" spans="1:11" ht="12">
      <c r="A61" s="305">
        <f t="shared" si="0"/>
        <v>49</v>
      </c>
      <c r="B61" s="412">
        <v>6815</v>
      </c>
      <c r="C61" s="115" t="s">
        <v>147</v>
      </c>
      <c r="D61" s="501"/>
      <c r="E61" s="176"/>
      <c r="F61" s="176"/>
      <c r="G61" s="321"/>
      <c r="H61" s="500"/>
      <c r="I61" s="176"/>
      <c r="J61" s="176"/>
      <c r="K61" s="176"/>
    </row>
    <row r="62" spans="1:14" ht="12">
      <c r="A62" s="305">
        <f t="shared" si="0"/>
        <v>50</v>
      </c>
      <c r="B62" s="412"/>
      <c r="C62" s="137" t="s">
        <v>58</v>
      </c>
      <c r="D62" s="501"/>
      <c r="E62" s="176"/>
      <c r="F62" s="176"/>
      <c r="G62" s="321"/>
      <c r="H62" s="500"/>
      <c r="I62" s="176"/>
      <c r="J62" s="176"/>
      <c r="K62" s="176"/>
      <c r="L62" s="345"/>
      <c r="M62" s="346"/>
      <c r="N62" s="346"/>
    </row>
    <row r="63" spans="1:15" ht="12">
      <c r="A63" s="305">
        <f t="shared" si="0"/>
        <v>51</v>
      </c>
      <c r="B63" s="412" t="s">
        <v>152</v>
      </c>
      <c r="C63" s="166" t="s">
        <v>59</v>
      </c>
      <c r="D63" s="501"/>
      <c r="E63" s="176"/>
      <c r="F63" s="176"/>
      <c r="G63" s="321"/>
      <c r="H63" s="500"/>
      <c r="I63" s="176"/>
      <c r="J63" s="176"/>
      <c r="K63" s="176"/>
      <c r="L63" s="347"/>
      <c r="M63" s="348"/>
      <c r="N63" s="348"/>
      <c r="O63" s="349"/>
    </row>
    <row r="64" spans="1:14" ht="12">
      <c r="A64" s="305">
        <f t="shared" si="0"/>
        <v>52</v>
      </c>
      <c r="B64" s="498" t="s">
        <v>475</v>
      </c>
      <c r="C64" s="166" t="s">
        <v>60</v>
      </c>
      <c r="D64" s="501"/>
      <c r="E64" s="176"/>
      <c r="F64" s="176"/>
      <c r="G64" s="321"/>
      <c r="H64" s="500"/>
      <c r="I64" s="176"/>
      <c r="J64" s="176"/>
      <c r="K64" s="176"/>
      <c r="L64" s="346"/>
      <c r="M64" s="346"/>
      <c r="N64" s="346"/>
    </row>
    <row r="65" spans="1:17" ht="12">
      <c r="A65" s="305">
        <f t="shared" si="0"/>
        <v>53</v>
      </c>
      <c r="B65" s="340" t="s">
        <v>359</v>
      </c>
      <c r="C65" s="166" t="s">
        <v>62</v>
      </c>
      <c r="D65" s="503"/>
      <c r="E65" s="507"/>
      <c r="F65" s="507"/>
      <c r="G65" s="321"/>
      <c r="H65" s="500"/>
      <c r="I65" s="176"/>
      <c r="J65" s="176"/>
      <c r="K65" s="176"/>
      <c r="P65" s="518"/>
      <c r="Q65" s="519"/>
    </row>
    <row r="66" spans="1:11" ht="12">
      <c r="A66" s="305">
        <f t="shared" si="0"/>
        <v>54</v>
      </c>
      <c r="B66" s="340" t="s">
        <v>359</v>
      </c>
      <c r="C66" s="166" t="s">
        <v>63</v>
      </c>
      <c r="D66" s="501"/>
      <c r="G66" s="321"/>
      <c r="H66" s="500"/>
      <c r="I66" s="176"/>
      <c r="J66" s="176"/>
      <c r="K66" s="176"/>
    </row>
    <row r="67" spans="1:12" ht="12">
      <c r="A67" s="305">
        <f t="shared" si="0"/>
        <v>55</v>
      </c>
      <c r="B67" s="340" t="s">
        <v>359</v>
      </c>
      <c r="C67" s="166" t="s">
        <v>99</v>
      </c>
      <c r="D67" s="503"/>
      <c r="E67" s="176"/>
      <c r="F67" s="176"/>
      <c r="G67" s="321"/>
      <c r="H67" s="500"/>
      <c r="I67" s="176"/>
      <c r="J67" s="176"/>
      <c r="K67" s="176"/>
      <c r="L67" s="521"/>
    </row>
    <row r="68" spans="1:12" ht="12">
      <c r="A68" s="305">
        <f t="shared" si="0"/>
        <v>56</v>
      </c>
      <c r="B68" s="340" t="s">
        <v>359</v>
      </c>
      <c r="C68" s="166" t="s">
        <v>65</v>
      </c>
      <c r="D68" s="503"/>
      <c r="E68" s="176"/>
      <c r="F68" s="176"/>
      <c r="G68" s="321"/>
      <c r="H68" s="500"/>
      <c r="I68" s="176"/>
      <c r="J68" s="176"/>
      <c r="K68" s="176"/>
      <c r="L68" s="521"/>
    </row>
    <row r="69" spans="1:11" ht="12">
      <c r="A69" s="305">
        <f t="shared" si="0"/>
        <v>57</v>
      </c>
      <c r="B69" s="340" t="s">
        <v>359</v>
      </c>
      <c r="C69" s="166" t="s">
        <v>66</v>
      </c>
      <c r="D69" s="503"/>
      <c r="E69" s="176"/>
      <c r="F69" s="176"/>
      <c r="G69" s="321"/>
      <c r="H69" s="500"/>
      <c r="I69" s="176"/>
      <c r="J69" s="176"/>
      <c r="K69" s="176"/>
    </row>
    <row r="70" spans="1:11" ht="12">
      <c r="A70" s="305">
        <f t="shared" si="0"/>
        <v>58</v>
      </c>
      <c r="B70" s="340">
        <v>6845</v>
      </c>
      <c r="C70" s="166" t="s">
        <v>100</v>
      </c>
      <c r="D70" s="501"/>
      <c r="E70" s="176"/>
      <c r="F70" s="176"/>
      <c r="G70" s="321"/>
      <c r="H70" s="500"/>
      <c r="I70" s="176"/>
      <c r="J70" s="176"/>
      <c r="K70" s="176"/>
    </row>
    <row r="71" spans="1:11" ht="12">
      <c r="A71" s="305">
        <f t="shared" si="0"/>
        <v>59</v>
      </c>
      <c r="B71" s="340">
        <v>6850</v>
      </c>
      <c r="C71" s="166" t="s">
        <v>68</v>
      </c>
      <c r="D71" s="501"/>
      <c r="E71" s="176"/>
      <c r="F71" s="176"/>
      <c r="G71" s="321"/>
      <c r="H71" s="491"/>
      <c r="I71" s="176"/>
      <c r="J71" s="176"/>
      <c r="K71" s="176"/>
    </row>
    <row r="72" spans="1:11" ht="12">
      <c r="A72" s="305">
        <f t="shared" si="0"/>
        <v>60</v>
      </c>
      <c r="B72" s="340">
        <v>6855</v>
      </c>
      <c r="C72" s="166" t="s">
        <v>69</v>
      </c>
      <c r="D72" s="501"/>
      <c r="E72" s="176"/>
      <c r="F72" s="176"/>
      <c r="G72" s="321"/>
      <c r="H72" s="491"/>
      <c r="I72" s="176"/>
      <c r="J72" s="176"/>
      <c r="K72" s="176"/>
    </row>
    <row r="73" spans="1:11" ht="12">
      <c r="A73" s="305">
        <f t="shared" si="0"/>
        <v>61</v>
      </c>
      <c r="B73" s="340">
        <v>6860</v>
      </c>
      <c r="C73" s="167" t="s">
        <v>149</v>
      </c>
      <c r="D73" s="501"/>
      <c r="E73" s="176"/>
      <c r="F73" s="176"/>
      <c r="G73" s="321"/>
      <c r="H73" s="491"/>
      <c r="I73" s="176"/>
      <c r="J73" s="176"/>
      <c r="K73" s="176"/>
    </row>
    <row r="74" spans="1:11" ht="12">
      <c r="A74" s="305">
        <f t="shared" si="0"/>
        <v>62</v>
      </c>
      <c r="B74" s="412"/>
      <c r="D74" s="176"/>
      <c r="E74" s="176"/>
      <c r="F74" s="176"/>
      <c r="G74" s="156"/>
      <c r="H74" s="491"/>
      <c r="I74" s="176"/>
      <c r="J74" s="176"/>
      <c r="K74" s="176"/>
    </row>
    <row r="75" spans="1:14" ht="12">
      <c r="A75" s="305">
        <f t="shared" si="0"/>
        <v>63</v>
      </c>
      <c r="B75" s="412"/>
      <c r="C75" s="137" t="s">
        <v>361</v>
      </c>
      <c r="D75" s="350">
        <f>SUM(D14:D74)</f>
        <v>358213.31999999995</v>
      </c>
      <c r="E75" s="350">
        <f>SUM(E14:E74)</f>
        <v>3773.0881336805282</v>
      </c>
      <c r="F75" s="350">
        <f>SUM(F14:F74)</f>
        <v>0</v>
      </c>
      <c r="G75" s="350">
        <f>SUM(G14:G74)</f>
        <v>361986.40813368047</v>
      </c>
      <c r="H75" s="499"/>
      <c r="I75" s="350">
        <f>SUM(I14:I74)</f>
        <v>101357</v>
      </c>
      <c r="J75" s="176"/>
      <c r="K75" s="350"/>
      <c r="L75" s="176"/>
      <c r="M75" s="176"/>
      <c r="N75" s="176"/>
    </row>
    <row r="76" spans="1:12" ht="12">
      <c r="A76" s="305">
        <f t="shared" si="0"/>
        <v>64</v>
      </c>
      <c r="B76" s="412"/>
      <c r="C76" s="137"/>
      <c r="D76" s="176"/>
      <c r="E76" s="176"/>
      <c r="F76" s="176"/>
      <c r="G76" s="176"/>
      <c r="H76" s="497"/>
      <c r="I76" s="489"/>
      <c r="J76" s="176"/>
      <c r="K76" s="176"/>
      <c r="L76" s="176"/>
    </row>
    <row r="77" spans="1:13" ht="12">
      <c r="A77" s="305">
        <f t="shared" si="0"/>
        <v>65</v>
      </c>
      <c r="B77" s="340" t="s">
        <v>362</v>
      </c>
      <c r="C77" s="137" t="s">
        <v>500</v>
      </c>
      <c r="D77" s="163">
        <f>-D87-SUM(D93:D95)-SUM(D98:D100)</f>
        <v>-107846.46999999999</v>
      </c>
      <c r="E77" s="176"/>
      <c r="F77" s="176"/>
      <c r="G77" s="321">
        <f>SUM(D77:E77)</f>
        <v>-107846.46999999999</v>
      </c>
      <c r="H77" s="432">
        <f>1-72%</f>
        <v>0.28000000000000003</v>
      </c>
      <c r="I77" s="176">
        <f>IF(OR(G77=0,H77=0),"",ROUND(G77*H77,0))</f>
        <v>-30197</v>
      </c>
      <c r="J77" s="326"/>
      <c r="K77" s="328"/>
      <c r="L77" s="176"/>
      <c r="M77" s="176"/>
    </row>
    <row r="78" spans="1:13" ht="12">
      <c r="A78" s="305">
        <f>A77+1</f>
        <v>66</v>
      </c>
      <c r="B78" s="340"/>
      <c r="C78" s="137"/>
      <c r="D78" s="163"/>
      <c r="E78" s="176"/>
      <c r="F78" s="176"/>
      <c r="G78" s="321"/>
      <c r="H78" s="499"/>
      <c r="I78" s="502"/>
      <c r="J78" s="326"/>
      <c r="K78" s="328"/>
      <c r="L78" s="176"/>
      <c r="M78" s="176"/>
    </row>
    <row r="79" spans="1:11" ht="12">
      <c r="A79" s="305">
        <f>A77+1</f>
        <v>66</v>
      </c>
      <c r="B79" s="412"/>
      <c r="D79" s="160"/>
      <c r="E79" s="160"/>
      <c r="F79" s="160"/>
      <c r="G79" s="160"/>
      <c r="H79" s="505"/>
      <c r="I79" s="506"/>
      <c r="J79" s="160"/>
      <c r="K79" s="160"/>
    </row>
    <row r="80" spans="1:14" ht="12.75" thickBot="1">
      <c r="A80" s="305">
        <f>A79+1</f>
        <v>67</v>
      </c>
      <c r="B80" s="412"/>
      <c r="C80" s="137" t="s">
        <v>364</v>
      </c>
      <c r="D80" s="496">
        <f>SUM(D75:D78)</f>
        <v>250366.84999999998</v>
      </c>
      <c r="E80" s="496">
        <f>SUM(E75:E78)</f>
        <v>3773.0881336805282</v>
      </c>
      <c r="F80" s="496">
        <f>SUM(F75:F78)</f>
        <v>0</v>
      </c>
      <c r="G80" s="496">
        <f>SUM(G75:G78)</f>
        <v>254139.93813368049</v>
      </c>
      <c r="H80" s="509"/>
      <c r="I80" s="510">
        <f>I75+I77</f>
        <v>71160</v>
      </c>
      <c r="J80" s="352"/>
      <c r="K80" s="169"/>
      <c r="L80" s="176"/>
      <c r="M80" s="176"/>
      <c r="N80" s="176"/>
    </row>
    <row r="81" spans="1:13" ht="12.75" thickTop="1">
      <c r="A81" s="305"/>
      <c r="B81" s="412"/>
      <c r="C81" s="137"/>
      <c r="D81" s="176"/>
      <c r="E81" s="176"/>
      <c r="F81" s="176"/>
      <c r="G81" s="176"/>
      <c r="H81" s="522"/>
      <c r="I81" s="176"/>
      <c r="J81" s="176"/>
      <c r="K81" s="176"/>
      <c r="L81" s="176"/>
      <c r="M81" s="176"/>
    </row>
    <row r="82" spans="4:12" ht="12">
      <c r="D82" s="176"/>
      <c r="E82" s="176"/>
      <c r="F82" s="176"/>
      <c r="G82" s="176"/>
      <c r="H82" s="523"/>
      <c r="I82" s="176"/>
      <c r="J82" s="176"/>
      <c r="K82" s="176"/>
      <c r="L82" s="176"/>
    </row>
    <row r="83" spans="4:12" ht="12">
      <c r="D83" s="176"/>
      <c r="E83" s="176"/>
      <c r="F83" s="176"/>
      <c r="G83" s="176"/>
      <c r="H83" s="523"/>
      <c r="I83" s="176"/>
      <c r="J83" s="176"/>
      <c r="K83" s="176"/>
      <c r="L83" s="176"/>
    </row>
    <row r="84" spans="4:12" ht="12">
      <c r="D84" s="354"/>
      <c r="G84" s="524"/>
      <c r="H84" s="523"/>
      <c r="L84" s="176"/>
    </row>
    <row r="85" ht="12">
      <c r="H85" s="523"/>
    </row>
    <row r="86" spans="1:4" ht="15">
      <c r="A86" s="534">
        <v>7225</v>
      </c>
      <c r="B86" s="613" t="s">
        <v>444</v>
      </c>
      <c r="C86" s="613" t="s">
        <v>444</v>
      </c>
      <c r="D86" s="176" t="s">
        <v>653</v>
      </c>
    </row>
    <row r="87" spans="1:6" ht="15">
      <c r="A87" s="534">
        <v>7230</v>
      </c>
      <c r="B87" s="613" t="s">
        <v>484</v>
      </c>
      <c r="C87" s="613" t="s">
        <v>484</v>
      </c>
      <c r="D87" s="176">
        <f>-'LUSI TB'!Q73</f>
        <v>74489.439999999988</v>
      </c>
      <c r="E87" s="115" t="s">
        <v>518</v>
      </c>
      <c r="F87" s="115" t="s">
        <v>518</v>
      </c>
    </row>
    <row r="88" spans="1:4" ht="15">
      <c r="A88" s="534">
        <v>7275</v>
      </c>
      <c r="B88" s="613" t="s">
        <v>445</v>
      </c>
      <c r="C88" s="613" t="s">
        <v>445</v>
      </c>
      <c r="D88" s="176">
        <f>-'LUSI TB'!Q74</f>
        <v>38229.000000000007</v>
      </c>
    </row>
    <row r="89" spans="1:12" ht="15">
      <c r="A89" s="534">
        <v>7280</v>
      </c>
      <c r="B89" s="613" t="s">
        <v>446</v>
      </c>
      <c r="C89" s="613" t="s">
        <v>446</v>
      </c>
      <c r="D89" s="176">
        <f>-'LUSI TB'!Q75</f>
        <v>59276.240000000005</v>
      </c>
      <c r="L89" s="176"/>
    </row>
    <row r="90" spans="1:4" ht="15">
      <c r="A90" s="534">
        <v>7283</v>
      </c>
      <c r="B90" s="613" t="s">
        <v>447</v>
      </c>
      <c r="C90" s="613" t="s">
        <v>447</v>
      </c>
      <c r="D90" s="176">
        <f>-'LUSI TB'!Q76</f>
        <v>40272.269999999997</v>
      </c>
    </row>
    <row r="91" spans="1:4" ht="15">
      <c r="A91" s="534">
        <v>7290</v>
      </c>
      <c r="B91" s="613" t="s">
        <v>448</v>
      </c>
      <c r="C91" s="613" t="s">
        <v>448</v>
      </c>
      <c r="D91" s="176">
        <f>-'LUSI TB'!Q77</f>
        <v>18682.48</v>
      </c>
    </row>
    <row r="92" spans="1:4" ht="15">
      <c r="A92" s="534">
        <v>7315</v>
      </c>
      <c r="B92" s="613" t="s">
        <v>489</v>
      </c>
      <c r="C92" s="613" t="s">
        <v>489</v>
      </c>
      <c r="D92" s="176">
        <f>-'LUSI TB'!Q78</f>
        <v>776.16000000000031</v>
      </c>
    </row>
    <row r="93" spans="1:8" ht="15">
      <c r="A93" s="534">
        <v>7325</v>
      </c>
      <c r="B93" s="613" t="s">
        <v>449</v>
      </c>
      <c r="C93" s="613" t="s">
        <v>449</v>
      </c>
      <c r="D93" s="176">
        <f>-'LUSI TB'!Q79</f>
        <v>830.64000000000021</v>
      </c>
      <c r="E93" s="115" t="s">
        <v>518</v>
      </c>
      <c r="F93" s="115" t="s">
        <v>518</v>
      </c>
      <c r="H93" s="176">
        <f>SUM(D93:D95)</f>
        <v>12429.840000000002</v>
      </c>
    </row>
    <row r="94" spans="1:6" ht="15">
      <c r="A94" s="534">
        <v>7330</v>
      </c>
      <c r="B94" s="613" t="s">
        <v>449</v>
      </c>
      <c r="C94" s="613" t="s">
        <v>449</v>
      </c>
      <c r="D94" s="176">
        <f>-'LUSI TB'!Q80</f>
        <v>11520.240000000003</v>
      </c>
      <c r="E94" s="115" t="s">
        <v>518</v>
      </c>
      <c r="F94" s="115" t="s">
        <v>518</v>
      </c>
    </row>
    <row r="95" spans="1:6" ht="15">
      <c r="A95" s="534">
        <v>7350</v>
      </c>
      <c r="B95" s="613" t="s">
        <v>490</v>
      </c>
      <c r="C95" s="613" t="s">
        <v>490</v>
      </c>
      <c r="D95" s="176">
        <f>-'LUSI TB'!Q81</f>
        <v>78.959999999999994</v>
      </c>
      <c r="E95" s="115" t="s">
        <v>518</v>
      </c>
      <c r="F95" s="115" t="s">
        <v>518</v>
      </c>
    </row>
    <row r="96" spans="1:4" ht="15">
      <c r="A96" s="534">
        <v>7430</v>
      </c>
      <c r="B96" s="613" t="s">
        <v>286</v>
      </c>
      <c r="C96" s="613" t="s">
        <v>286</v>
      </c>
      <c r="D96" s="176">
        <f>-'LUSI TB'!Q82</f>
        <v>27295.08</v>
      </c>
    </row>
    <row r="97" spans="1:4" ht="15">
      <c r="A97" s="534">
        <v>7437</v>
      </c>
      <c r="B97" s="613" t="s">
        <v>491</v>
      </c>
      <c r="C97" s="613" t="s">
        <v>491</v>
      </c>
      <c r="D97" s="176">
        <f>-'LUSI TB'!Q83</f>
        <v>18120.249999999993</v>
      </c>
    </row>
    <row r="98" spans="1:8" ht="15">
      <c r="A98" s="534">
        <v>7440</v>
      </c>
      <c r="B98" s="613" t="s">
        <v>450</v>
      </c>
      <c r="C98" s="613" t="s">
        <v>450</v>
      </c>
      <c r="D98" s="176">
        <f>-'LUSI TB'!Q84</f>
        <v>20165.909999999996</v>
      </c>
      <c r="E98" s="115" t="s">
        <v>518</v>
      </c>
      <c r="F98" s="115" t="s">
        <v>518</v>
      </c>
      <c r="H98" s="176">
        <f>SUM(D98:D100)</f>
        <v>20927.189999999999</v>
      </c>
    </row>
    <row r="99" spans="1:6" ht="15">
      <c r="A99" s="534">
        <v>7445</v>
      </c>
      <c r="B99" s="613" t="s">
        <v>451</v>
      </c>
      <c r="C99" s="613" t="s">
        <v>451</v>
      </c>
      <c r="D99" s="176">
        <f>-'LUSI TB'!Q85</f>
        <v>715.08000000000027</v>
      </c>
      <c r="E99" s="115" t="s">
        <v>518</v>
      </c>
      <c r="F99" s="115" t="s">
        <v>518</v>
      </c>
    </row>
    <row r="100" spans="1:6" ht="15">
      <c r="A100" s="534">
        <v>7450</v>
      </c>
      <c r="B100" s="613" t="s">
        <v>492</v>
      </c>
      <c r="C100" s="613" t="s">
        <v>492</v>
      </c>
      <c r="D100" s="176">
        <f>-'LUSI TB'!Q86</f>
        <v>46.20000000000001</v>
      </c>
      <c r="E100" s="115" t="s">
        <v>518</v>
      </c>
      <c r="F100" s="115" t="s">
        <v>518</v>
      </c>
    </row>
    <row r="148" spans="1:6" ht="12">
      <c r="A148" s="181"/>
      <c r="B148" s="181"/>
      <c r="C148" s="181"/>
      <c r="D148" s="181"/>
      <c r="E148" s="181"/>
      <c r="F148" s="181"/>
    </row>
    <row r="149" spans="1:6" ht="12">
      <c r="A149" s="181"/>
      <c r="B149" s="181"/>
      <c r="C149" s="181"/>
      <c r="D149" s="181"/>
      <c r="E149" s="181"/>
      <c r="F149" s="181"/>
    </row>
    <row r="150" spans="1:6" ht="12">
      <c r="A150" s="181"/>
      <c r="B150" s="181"/>
      <c r="C150" s="181"/>
      <c r="D150" s="181"/>
      <c r="E150" s="181"/>
      <c r="F150" s="181"/>
    </row>
    <row r="151" spans="1:6" ht="12">
      <c r="A151" s="181"/>
      <c r="B151" s="181"/>
      <c r="C151" s="181"/>
      <c r="D151" s="181"/>
      <c r="E151" s="181"/>
      <c r="F151" s="181"/>
    </row>
    <row r="152" spans="1:6" ht="12">
      <c r="A152" s="181"/>
      <c r="B152" s="181"/>
      <c r="C152" s="181"/>
      <c r="D152" s="181"/>
      <c r="E152" s="181"/>
      <c r="F152" s="181"/>
    </row>
    <row r="182" spans="1:6" ht="12">
      <c r="A182" s="181"/>
      <c r="B182" s="181"/>
      <c r="C182" s="181"/>
      <c r="D182" s="181"/>
      <c r="E182" s="181"/>
      <c r="F182" s="181"/>
    </row>
    <row r="251" spans="1:2" ht="12">
      <c r="A251" s="137"/>
      <c r="B251" s="137"/>
    </row>
    <row r="268" spans="1:2" ht="12">
      <c r="A268" s="181"/>
      <c r="B268" s="181"/>
    </row>
    <row r="269" spans="1:2" ht="12">
      <c r="A269" s="181"/>
      <c r="B269" s="181"/>
    </row>
    <row r="270" spans="1:2" ht="12">
      <c r="A270" s="181"/>
      <c r="B270" s="181"/>
    </row>
    <row r="271" spans="1:2" ht="12">
      <c r="A271" s="181"/>
      <c r="B271" s="181"/>
    </row>
    <row r="272" spans="1:2" ht="12">
      <c r="A272" s="181"/>
      <c r="B272" s="181"/>
    </row>
    <row r="273" spans="1:2" ht="12">
      <c r="A273" s="181"/>
      <c r="B273" s="181"/>
    </row>
    <row r="274" spans="1:2" ht="12">
      <c r="A274" s="181"/>
      <c r="B274" s="181"/>
    </row>
    <row r="275" spans="1:2" ht="12">
      <c r="A275" s="181"/>
      <c r="B275" s="181"/>
    </row>
    <row r="276" spans="1:2" ht="12">
      <c r="A276" s="181"/>
      <c r="B276" s="181"/>
    </row>
    <row r="277" spans="1:2" ht="12">
      <c r="A277" s="181"/>
      <c r="B277" s="181"/>
    </row>
    <row r="278" spans="1:2" ht="12">
      <c r="A278" s="181"/>
      <c r="B278" s="181"/>
    </row>
    <row r="279" spans="1:2" ht="12">
      <c r="A279" s="181"/>
      <c r="B279" s="181"/>
    </row>
    <row r="280" spans="1:2" ht="12">
      <c r="A280" s="181"/>
      <c r="B280" s="181"/>
    </row>
    <row r="281" spans="1:2" ht="12">
      <c r="A281" s="181"/>
      <c r="B281" s="181"/>
    </row>
    <row r="282" spans="1:2" ht="12">
      <c r="A282" s="181"/>
      <c r="B282" s="181"/>
    </row>
    <row r="283" spans="1:2" ht="12">
      <c r="A283" s="181"/>
      <c r="B283" s="181"/>
    </row>
    <row r="284" spans="1:2" ht="12">
      <c r="A284" s="181"/>
      <c r="B284" s="181"/>
    </row>
    <row r="285" spans="1:2" ht="12">
      <c r="A285" s="181"/>
      <c r="B285" s="181"/>
    </row>
    <row r="286" spans="1:2" ht="12">
      <c r="A286" s="181"/>
      <c r="B286" s="181"/>
    </row>
    <row r="287" spans="1:2" ht="12">
      <c r="A287" s="181"/>
      <c r="B287" s="181"/>
    </row>
    <row r="288" spans="1:2" ht="12">
      <c r="A288" s="181"/>
      <c r="B288" s="181"/>
    </row>
    <row r="289" spans="1:2" ht="12">
      <c r="A289" s="181"/>
      <c r="B289" s="181"/>
    </row>
    <row r="290" spans="1:2" ht="12">
      <c r="A290" s="181"/>
      <c r="B290" s="181"/>
    </row>
    <row r="291" spans="1:2" ht="12">
      <c r="A291" s="181"/>
      <c r="B291" s="181"/>
    </row>
    <row r="292" spans="1:2" ht="12">
      <c r="A292" s="181"/>
      <c r="B292" s="181"/>
    </row>
    <row r="293" spans="1:2" ht="12">
      <c r="A293" s="181"/>
      <c r="B293" s="181"/>
    </row>
    <row r="294" spans="1:2" ht="12">
      <c r="A294" s="181"/>
      <c r="B294" s="181"/>
    </row>
    <row r="295" spans="1:2" ht="12">
      <c r="A295" s="181"/>
      <c r="B295" s="181"/>
    </row>
    <row r="296" spans="1:2" ht="12">
      <c r="A296" s="181"/>
      <c r="B296" s="181"/>
    </row>
    <row r="297" spans="1:2" ht="12">
      <c r="A297" s="181"/>
      <c r="B297" s="181"/>
    </row>
    <row r="298" spans="1:2" ht="12">
      <c r="A298" s="181"/>
      <c r="B298" s="181"/>
    </row>
    <row r="299" spans="1:2" ht="12">
      <c r="A299" s="181"/>
      <c r="B299" s="181"/>
    </row>
    <row r="300" spans="1:2" ht="12">
      <c r="A300" s="181"/>
      <c r="B300" s="181"/>
    </row>
    <row r="301" spans="1:2" ht="12">
      <c r="A301" s="181"/>
      <c r="B301" s="181"/>
    </row>
    <row r="302" spans="1:2" ht="12">
      <c r="A302" s="181"/>
      <c r="B302" s="181"/>
    </row>
    <row r="303" spans="1:2" ht="12">
      <c r="A303" s="181"/>
      <c r="B303" s="181"/>
    </row>
    <row r="304" spans="1:2" ht="12">
      <c r="A304" s="181"/>
      <c r="B304" s="181"/>
    </row>
    <row r="305" spans="1:2" ht="12">
      <c r="A305" s="181"/>
      <c r="B305" s="181"/>
    </row>
    <row r="306" spans="1:2" ht="12">
      <c r="A306" s="181"/>
      <c r="B306" s="181"/>
    </row>
    <row r="307" spans="1:2" ht="12">
      <c r="A307" s="181"/>
      <c r="B307" s="181"/>
    </row>
    <row r="308" spans="1:2" ht="12">
      <c r="A308" s="181"/>
      <c r="B308" s="181"/>
    </row>
    <row r="309" spans="1:2" ht="12">
      <c r="A309" s="181"/>
      <c r="B309" s="181"/>
    </row>
    <row r="310" spans="1:2" ht="12">
      <c r="A310" s="181"/>
      <c r="B310" s="181"/>
    </row>
    <row r="311" spans="1:2" ht="12">
      <c r="A311" s="181"/>
      <c r="B311" s="181"/>
    </row>
    <row r="312" spans="1:2" ht="12">
      <c r="A312" s="181"/>
      <c r="B312" s="181"/>
    </row>
    <row r="313" spans="1:2" ht="12">
      <c r="A313" s="181"/>
      <c r="B313" s="181"/>
    </row>
    <row r="314" spans="1:2" ht="12">
      <c r="A314" s="181"/>
      <c r="B314" s="181"/>
    </row>
    <row r="315" spans="1:2" ht="12">
      <c r="A315" s="181"/>
      <c r="B315" s="181"/>
    </row>
    <row r="316" spans="1:2" ht="12">
      <c r="A316" s="181"/>
      <c r="B316" s="181"/>
    </row>
    <row r="317" spans="1:2" ht="12">
      <c r="A317" s="181"/>
      <c r="B317" s="181"/>
    </row>
    <row r="318" spans="1:2" ht="12">
      <c r="A318" s="181"/>
      <c r="B318" s="181"/>
    </row>
    <row r="319" spans="1:2" ht="12">
      <c r="A319" s="181"/>
      <c r="B319" s="181"/>
    </row>
    <row r="320" spans="1:2" ht="12">
      <c r="A320" s="181"/>
      <c r="B320" s="181"/>
    </row>
    <row r="321" spans="1:2" ht="12">
      <c r="A321" s="181"/>
      <c r="B321" s="181"/>
    </row>
    <row r="322" spans="1:2" ht="12">
      <c r="A322" s="181"/>
      <c r="B322" s="181"/>
    </row>
  </sheetData>
  <mergeCells count="1">
    <mergeCell ref="A7:I7"/>
  </mergeCells>
  <pageMargins left="0.7" right="0.7" top="0.75" bottom="0.75" header="0.3" footer="0.3"/>
  <pageSetup horizontalDpi="300" verticalDpi="300" orientation="portrait" r:id="rId2"/>
  <headerFooter>
    <oddFooter>&amp;L&amp;"Times New Roman,Regular"&amp;9O3129680.v1</oddFooter>
  </headerFooter>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3:R89"/>
  <sheetViews>
    <sheetView zoomScale="80" zoomScaleNormal="80" workbookViewId="0" topLeftCell="A1"/>
  </sheetViews>
  <sheetFormatPr defaultColWidth="9.140625" defaultRowHeight="15"/>
  <cols>
    <col min="1" max="1" width="9.14285714285714" style="528"/>
    <col min="2" max="2" width="23.4285714285714" style="508" customWidth="1"/>
    <col min="3" max="3" width="5.85714285714286" style="508" customWidth="1"/>
    <col min="4" max="17" width="15.7142857142857" style="508" customWidth="1"/>
    <col min="18" max="18" width="15.7142857142857" style="508" bestFit="1" customWidth="1"/>
    <col min="19" max="16384" width="9.14285714285714" style="508"/>
  </cols>
  <sheetData>
    <row r="3" spans="1:16" ht="15">
      <c r="A3" s="530" t="s">
        <v>218</v>
      </c>
      <c r="B3" s="531" t="s">
        <v>219</v>
      </c>
      <c r="C3" s="532"/>
      <c r="D3" s="532" t="s">
        <v>281</v>
      </c>
      <c r="E3" s="532" t="s">
        <v>221</v>
      </c>
      <c r="F3" s="532" t="s">
        <v>222</v>
      </c>
      <c r="G3" s="532" t="s">
        <v>223</v>
      </c>
      <c r="H3" s="532" t="s">
        <v>224</v>
      </c>
      <c r="I3" s="532" t="s">
        <v>225</v>
      </c>
      <c r="J3" s="532" t="s">
        <v>226</v>
      </c>
      <c r="K3" s="532" t="s">
        <v>227</v>
      </c>
      <c r="L3" s="532" t="s">
        <v>228</v>
      </c>
      <c r="M3" s="532" t="s">
        <v>229</v>
      </c>
      <c r="N3" s="532" t="s">
        <v>230</v>
      </c>
      <c r="O3" s="532" t="s">
        <v>231</v>
      </c>
      <c r="P3" s="532" t="s">
        <v>220</v>
      </c>
    </row>
    <row r="4" spans="1:17" ht="15">
      <c r="A4" s="533">
        <v>1270</v>
      </c>
      <c r="B4" s="528" t="s">
        <v>233</v>
      </c>
      <c r="D4" s="529">
        <v>19458.88</v>
      </c>
      <c r="E4" s="529">
        <v>19458.88</v>
      </c>
      <c r="F4" s="529">
        <v>19458.88</v>
      </c>
      <c r="G4" s="529">
        <v>19458.88</v>
      </c>
      <c r="H4" s="529">
        <v>19458.88</v>
      </c>
      <c r="I4" s="529">
        <v>19458.88</v>
      </c>
      <c r="J4" s="529">
        <v>19458.88</v>
      </c>
      <c r="K4" s="529">
        <v>19458.88</v>
      </c>
      <c r="L4" s="529">
        <v>19458.88</v>
      </c>
      <c r="M4" s="529">
        <v>19458.88</v>
      </c>
      <c r="N4" s="529">
        <v>19458.88</v>
      </c>
      <c r="O4" s="529">
        <v>19458.88</v>
      </c>
      <c r="P4" s="529">
        <v>19458.88</v>
      </c>
      <c r="Q4" s="535">
        <f>+AVERAGE(D4:P4)</f>
        <v>19458.88</v>
      </c>
    </row>
    <row r="5" spans="1:17" ht="15">
      <c r="A5" s="533">
        <v>1300</v>
      </c>
      <c r="B5" s="528" t="s">
        <v>236</v>
      </c>
      <c r="D5" s="529">
        <v>2969397.29</v>
      </c>
      <c r="E5" s="529">
        <v>2969397.29</v>
      </c>
      <c r="F5" s="529">
        <v>2969397.29</v>
      </c>
      <c r="G5" s="529">
        <v>2969397.29</v>
      </c>
      <c r="H5" s="529">
        <v>2969397.29</v>
      </c>
      <c r="I5" s="529">
        <v>3203144.24</v>
      </c>
      <c r="J5" s="529">
        <v>3203144.24</v>
      </c>
      <c r="K5" s="529">
        <v>3203144.24</v>
      </c>
      <c r="L5" s="529">
        <v>3204725.84</v>
      </c>
      <c r="M5" s="529">
        <v>3204725.84</v>
      </c>
      <c r="N5" s="529">
        <v>3204725.84</v>
      </c>
      <c r="O5" s="529">
        <v>3204725.84</v>
      </c>
      <c r="P5" s="529">
        <v>3206215.84</v>
      </c>
      <c r="Q5" s="535">
        <f t="shared" si="0" ref="Q5:Q32">+AVERAGE(D5:P5)</f>
        <v>3113964.49</v>
      </c>
    </row>
    <row r="6" spans="1:17" ht="15">
      <c r="A6" s="533">
        <v>1330</v>
      </c>
      <c r="B6" s="528" t="s">
        <v>383</v>
      </c>
      <c r="D6" s="529">
        <v>906.94</v>
      </c>
      <c r="E6" s="529">
        <v>906.94</v>
      </c>
      <c r="F6" s="529">
        <v>906.94</v>
      </c>
      <c r="G6" s="529">
        <v>906.94</v>
      </c>
      <c r="H6" s="529">
        <v>906.94</v>
      </c>
      <c r="I6" s="529">
        <v>906.94</v>
      </c>
      <c r="J6" s="529">
        <v>906.94</v>
      </c>
      <c r="K6" s="529">
        <v>906.94</v>
      </c>
      <c r="L6" s="529">
        <v>906.94</v>
      </c>
      <c r="M6" s="529">
        <v>906.94</v>
      </c>
      <c r="N6" s="529">
        <v>906.94</v>
      </c>
      <c r="O6" s="529">
        <v>906.94</v>
      </c>
      <c r="P6" s="529">
        <v>906.94</v>
      </c>
      <c r="Q6" s="535">
        <f t="shared" si="0"/>
        <v>906.9400000000004</v>
      </c>
    </row>
    <row r="7" spans="1:17" ht="15">
      <c r="A7" s="533">
        <v>1395</v>
      </c>
      <c r="B7" s="528" t="s">
        <v>244</v>
      </c>
      <c r="D7" s="529">
        <v>104386.78</v>
      </c>
      <c r="E7" s="529">
        <v>104386.78</v>
      </c>
      <c r="F7" s="529">
        <v>104386.78</v>
      </c>
      <c r="G7" s="529">
        <v>104386.78</v>
      </c>
      <c r="H7" s="529">
        <v>104386.78</v>
      </c>
      <c r="I7" s="529">
        <v>104386.78</v>
      </c>
      <c r="J7" s="529">
        <v>104386.78</v>
      </c>
      <c r="K7" s="529">
        <v>104386.78</v>
      </c>
      <c r="L7" s="529">
        <v>104386.78</v>
      </c>
      <c r="M7" s="529">
        <v>104386.78</v>
      </c>
      <c r="N7" s="529">
        <v>104386.78</v>
      </c>
      <c r="O7" s="529">
        <v>104386.78</v>
      </c>
      <c r="P7" s="529">
        <v>104386.78</v>
      </c>
      <c r="Q7" s="535">
        <f t="shared" si="0"/>
        <v>104386.78000000001</v>
      </c>
    </row>
    <row r="8" spans="1:17" ht="15">
      <c r="A8" s="533">
        <v>1400</v>
      </c>
      <c r="B8" s="528" t="s">
        <v>245</v>
      </c>
      <c r="D8" s="529">
        <v>4322799.57</v>
      </c>
      <c r="E8" s="529">
        <v>4322799.57</v>
      </c>
      <c r="F8" s="529">
        <v>4329059.41</v>
      </c>
      <c r="G8" s="529">
        <v>4329059.41</v>
      </c>
      <c r="H8" s="529">
        <v>4329121.51</v>
      </c>
      <c r="I8" s="529">
        <v>4329580.9000000004</v>
      </c>
      <c r="J8" s="529">
        <v>4332009.01</v>
      </c>
      <c r="K8" s="529">
        <v>4333478.6100000003</v>
      </c>
      <c r="L8" s="529">
        <v>4336354.6100000003</v>
      </c>
      <c r="M8" s="529">
        <v>4336365.91</v>
      </c>
      <c r="N8" s="529">
        <v>4338540.42</v>
      </c>
      <c r="O8" s="529">
        <v>4339095.67</v>
      </c>
      <c r="P8" s="529">
        <v>4343221.97</v>
      </c>
      <c r="Q8" s="535">
        <f t="shared" si="0"/>
        <v>4332422.0438461537</v>
      </c>
    </row>
    <row r="9" spans="1:17" ht="15">
      <c r="A9" s="533">
        <v>1410</v>
      </c>
      <c r="B9" s="528" t="s">
        <v>384</v>
      </c>
      <c r="D9" s="529">
        <v>474095.26</v>
      </c>
      <c r="E9" s="529">
        <v>474095.26</v>
      </c>
      <c r="F9" s="529">
        <v>474095.26</v>
      </c>
      <c r="G9" s="529">
        <v>474095.26</v>
      </c>
      <c r="H9" s="529">
        <v>474095.26</v>
      </c>
      <c r="I9" s="529">
        <v>474095.26</v>
      </c>
      <c r="J9" s="529">
        <v>474095.26</v>
      </c>
      <c r="K9" s="529">
        <v>474095.26</v>
      </c>
      <c r="L9" s="529">
        <v>474095.26</v>
      </c>
      <c r="M9" s="529">
        <v>474095.26</v>
      </c>
      <c r="N9" s="529">
        <v>474095.26</v>
      </c>
      <c r="O9" s="529">
        <v>474095.26</v>
      </c>
      <c r="P9" s="529">
        <v>474095.26</v>
      </c>
      <c r="Q9" s="535">
        <f t="shared" si="0"/>
        <v>474095.25999999983</v>
      </c>
    </row>
    <row r="10" spans="1:17" ht="15">
      <c r="A10" s="533">
        <v>1420</v>
      </c>
      <c r="B10" s="528" t="s">
        <v>246</v>
      </c>
      <c r="D10" s="529">
        <v>2048.54</v>
      </c>
      <c r="E10" s="529">
        <v>2048.54</v>
      </c>
      <c r="F10" s="529">
        <v>2048.54</v>
      </c>
      <c r="G10" s="529">
        <v>2048.54</v>
      </c>
      <c r="H10" s="529">
        <v>2048.54</v>
      </c>
      <c r="I10" s="529">
        <v>2048.54</v>
      </c>
      <c r="J10" s="529">
        <v>2048.54</v>
      </c>
      <c r="K10" s="529">
        <v>2048.54</v>
      </c>
      <c r="L10" s="529">
        <v>2048.54</v>
      </c>
      <c r="M10" s="529">
        <v>2048.54</v>
      </c>
      <c r="N10" s="529">
        <v>2048.54</v>
      </c>
      <c r="O10" s="529">
        <v>2048.54</v>
      </c>
      <c r="P10" s="529">
        <v>2048.54</v>
      </c>
      <c r="Q10" s="535">
        <f t="shared" si="0"/>
        <v>2048.5400000000004</v>
      </c>
    </row>
    <row r="11" spans="1:17" ht="15">
      <c r="A11" s="534">
        <v>1440</v>
      </c>
      <c r="B11" s="528" t="s">
        <v>386</v>
      </c>
      <c r="D11" s="529"/>
      <c r="E11" s="529"/>
      <c r="F11" s="529"/>
      <c r="G11" s="529"/>
      <c r="H11" s="529"/>
      <c r="I11" s="529"/>
      <c r="J11" s="529"/>
      <c r="K11" s="529"/>
      <c r="L11" s="529"/>
      <c r="M11" s="529"/>
      <c r="N11" s="529"/>
      <c r="O11" s="529"/>
      <c r="P11" s="529"/>
      <c r="Q11" s="528"/>
    </row>
    <row r="12" spans="1:17" s="540" customFormat="1" ht="15">
      <c r="A12" s="569">
        <v>3500</v>
      </c>
      <c r="B12" s="546" t="s">
        <v>393</v>
      </c>
      <c r="C12" s="547"/>
      <c r="D12" s="548">
        <v>-1818276.11</v>
      </c>
      <c r="E12" s="548">
        <v>-1818276.11</v>
      </c>
      <c r="F12" s="548">
        <v>-1818276.11</v>
      </c>
      <c r="G12" s="548">
        <v>-1818276.11</v>
      </c>
      <c r="H12" s="548">
        <v>-1818276.11</v>
      </c>
      <c r="I12" s="548">
        <v>-1818276.11</v>
      </c>
      <c r="J12" s="548">
        <v>-1818276.11</v>
      </c>
      <c r="K12" s="548">
        <v>-1818276.11</v>
      </c>
      <c r="L12" s="548">
        <v>-1818276.11</v>
      </c>
      <c r="M12" s="548">
        <v>-1818276.11</v>
      </c>
      <c r="N12" s="548">
        <v>-1818276.11</v>
      </c>
      <c r="O12" s="548">
        <v>-1818276.11</v>
      </c>
      <c r="P12" s="548">
        <v>-1818276.11</v>
      </c>
      <c r="Q12" s="549">
        <f t="shared" si="0"/>
        <v>-1818276.1099999996</v>
      </c>
    </row>
    <row r="13" spans="1:17" s="540" customFormat="1" ht="15">
      <c r="A13" s="572">
        <v>3505</v>
      </c>
      <c r="B13" s="560" t="s">
        <v>481</v>
      </c>
      <c r="C13" s="561"/>
      <c r="D13" s="562">
        <v>-2221622.7999999998</v>
      </c>
      <c r="E13" s="562">
        <v>-2221622.7999999998</v>
      </c>
      <c r="F13" s="562">
        <v>-2221622.7999999998</v>
      </c>
      <c r="G13" s="562">
        <v>-2221622.7999999998</v>
      </c>
      <c r="H13" s="562">
        <v>-2221622.7999999998</v>
      </c>
      <c r="I13" s="562">
        <v>-2455369.75</v>
      </c>
      <c r="J13" s="562">
        <v>-2455369.75</v>
      </c>
      <c r="K13" s="562">
        <v>-2455369.75</v>
      </c>
      <c r="L13" s="562">
        <v>-2455369.75</v>
      </c>
      <c r="M13" s="562">
        <v>-2455369.75</v>
      </c>
      <c r="N13" s="562">
        <v>-2455369.75</v>
      </c>
      <c r="O13" s="562">
        <v>-2455369.75</v>
      </c>
      <c r="P13" s="562">
        <v>-2455369.75</v>
      </c>
      <c r="Q13" s="563">
        <f t="shared" si="0"/>
        <v>-2365467.076923077</v>
      </c>
    </row>
    <row r="14" spans="1:17" s="540" customFormat="1" ht="15">
      <c r="A14" s="569">
        <v>3550</v>
      </c>
      <c r="B14" s="541" t="s">
        <v>394</v>
      </c>
      <c r="C14" s="542"/>
      <c r="D14" s="543">
        <v>-1140640.23</v>
      </c>
      <c r="E14" s="543">
        <v>-1140640.23</v>
      </c>
      <c r="F14" s="543">
        <v>-1140640.23</v>
      </c>
      <c r="G14" s="543">
        <v>-1140640.23</v>
      </c>
      <c r="H14" s="543">
        <v>-1140640.23</v>
      </c>
      <c r="I14" s="543">
        <v>-1149982.9099999999</v>
      </c>
      <c r="J14" s="543">
        <v>-1149982.9099999999</v>
      </c>
      <c r="K14" s="543">
        <v>-1149982.9099999999</v>
      </c>
      <c r="L14" s="543">
        <v>-1149982.9099999999</v>
      </c>
      <c r="M14" s="543">
        <v>-1149982.9099999999</v>
      </c>
      <c r="N14" s="543">
        <v>-1149982.9099999999</v>
      </c>
      <c r="O14" s="543">
        <v>-1149982.9099999999</v>
      </c>
      <c r="P14" s="543">
        <v>-1149982.9099999999</v>
      </c>
      <c r="Q14" s="544">
        <f t="shared" si="0"/>
        <v>-1146389.5715384616</v>
      </c>
    </row>
    <row r="15" spans="1:17" s="540" customFormat="1" ht="15">
      <c r="A15" s="569">
        <v>3555</v>
      </c>
      <c r="B15" s="541" t="s">
        <v>395</v>
      </c>
      <c r="C15" s="542"/>
      <c r="D15" s="543">
        <v>-2396190.39</v>
      </c>
      <c r="E15" s="543">
        <v>-2396190.39</v>
      </c>
      <c r="F15" s="543">
        <v>-2396190.39</v>
      </c>
      <c r="G15" s="543">
        <v>-2482462.2400000002</v>
      </c>
      <c r="H15" s="543">
        <v>-2482462.2400000002</v>
      </c>
      <c r="I15" s="543">
        <v>-2710462.99</v>
      </c>
      <c r="J15" s="543">
        <v>-2710462.99</v>
      </c>
      <c r="K15" s="543">
        <v>-2815042.39</v>
      </c>
      <c r="L15" s="543">
        <v>-2815042.39</v>
      </c>
      <c r="M15" s="543">
        <v>-2815042.39</v>
      </c>
      <c r="N15" s="543">
        <v>-2815042.39</v>
      </c>
      <c r="O15" s="543">
        <v>-2815042.39</v>
      </c>
      <c r="P15" s="543">
        <v>-2815042.39</v>
      </c>
      <c r="Q15" s="544">
        <f t="shared" si="0"/>
        <v>-2651128.9207692314</v>
      </c>
    </row>
    <row r="16" spans="1:17" s="540" customFormat="1" ht="15">
      <c r="A16" s="569">
        <v>3557</v>
      </c>
      <c r="B16" s="541" t="s">
        <v>396</v>
      </c>
      <c r="C16" s="542"/>
      <c r="D16" s="543">
        <v>-1037222.77</v>
      </c>
      <c r="E16" s="543">
        <v>-1037222.77</v>
      </c>
      <c r="F16" s="543">
        <v>-1037222.77</v>
      </c>
      <c r="G16" s="543">
        <v>-1052537.77</v>
      </c>
      <c r="H16" s="543">
        <v>-1052537.77</v>
      </c>
      <c r="I16" s="543">
        <v>-1232334.05</v>
      </c>
      <c r="J16" s="543">
        <v>-1232334.05</v>
      </c>
      <c r="K16" s="543">
        <v>-1267619.05</v>
      </c>
      <c r="L16" s="543">
        <v>-1267619.05</v>
      </c>
      <c r="M16" s="543">
        <v>-1329648.23</v>
      </c>
      <c r="N16" s="543">
        <v>-1329648.23</v>
      </c>
      <c r="O16" s="543">
        <v>-1329648.23</v>
      </c>
      <c r="P16" s="543">
        <v>-1329648.23</v>
      </c>
      <c r="Q16" s="544">
        <f t="shared" si="0"/>
        <v>-1195018.6900000002</v>
      </c>
    </row>
    <row r="17" spans="1:17" s="540" customFormat="1" ht="15">
      <c r="A17" s="569">
        <v>3565</v>
      </c>
      <c r="B17" s="541" t="s">
        <v>397</v>
      </c>
      <c r="C17" s="542"/>
      <c r="D17" s="543">
        <v>-746278.13</v>
      </c>
      <c r="E17" s="543">
        <v>-746278.13</v>
      </c>
      <c r="F17" s="543">
        <v>-746278.13</v>
      </c>
      <c r="G17" s="543">
        <v>-807393.13</v>
      </c>
      <c r="H17" s="543">
        <v>-807393.13</v>
      </c>
      <c r="I17" s="543">
        <v>-922361.87</v>
      </c>
      <c r="J17" s="543">
        <v>-922361.87</v>
      </c>
      <c r="K17" s="543">
        <v>-961993.87</v>
      </c>
      <c r="L17" s="543">
        <v>-961993.87</v>
      </c>
      <c r="M17" s="543">
        <v>-1040400.99</v>
      </c>
      <c r="N17" s="543">
        <v>-1040400.99</v>
      </c>
      <c r="O17" s="543">
        <v>-1040400.99</v>
      </c>
      <c r="P17" s="543">
        <v>-1040400.99</v>
      </c>
      <c r="Q17" s="544">
        <f t="shared" si="0"/>
        <v>-906456.62230769231</v>
      </c>
    </row>
    <row r="18" spans="1:17" s="540" customFormat="1" ht="15">
      <c r="A18" s="571">
        <v>3590</v>
      </c>
      <c r="B18" s="550" t="s">
        <v>485</v>
      </c>
      <c r="C18" s="551"/>
      <c r="D18" s="552">
        <v>-13970.07</v>
      </c>
      <c r="E18" s="552">
        <v>-13970.07</v>
      </c>
      <c r="F18" s="552">
        <v>-13970.07</v>
      </c>
      <c r="G18" s="552">
        <v>-13970.07</v>
      </c>
      <c r="H18" s="552">
        <v>-13970.07</v>
      </c>
      <c r="I18" s="552">
        <v>-13970.07</v>
      </c>
      <c r="J18" s="552">
        <v>-13970.07</v>
      </c>
      <c r="K18" s="552">
        <v>-13970.07</v>
      </c>
      <c r="L18" s="552">
        <v>-13970.07</v>
      </c>
      <c r="M18" s="552">
        <v>-13970.07</v>
      </c>
      <c r="N18" s="552">
        <v>-13970.07</v>
      </c>
      <c r="O18" s="552">
        <v>-13970.07</v>
      </c>
      <c r="P18" s="552">
        <v>-13970.07</v>
      </c>
      <c r="Q18" s="553">
        <f t="shared" si="0"/>
        <v>-13970.070000000005</v>
      </c>
    </row>
    <row r="19" spans="1:17" s="540" customFormat="1" ht="15">
      <c r="A19" s="572">
        <v>3600</v>
      </c>
      <c r="B19" s="560" t="s">
        <v>398</v>
      </c>
      <c r="C19" s="561"/>
      <c r="D19" s="562">
        <v>-14951.39</v>
      </c>
      <c r="E19" s="562">
        <v>-14951.39</v>
      </c>
      <c r="F19" s="562">
        <v>-14951.39</v>
      </c>
      <c r="G19" s="562">
        <v>-14951.39</v>
      </c>
      <c r="H19" s="562">
        <v>-14951.39</v>
      </c>
      <c r="I19" s="562">
        <v>-14951.39</v>
      </c>
      <c r="J19" s="562">
        <v>-14951.39</v>
      </c>
      <c r="K19" s="562">
        <v>-14951.39</v>
      </c>
      <c r="L19" s="562">
        <v>-14951.39</v>
      </c>
      <c r="M19" s="562">
        <v>-14951.39</v>
      </c>
      <c r="N19" s="562">
        <v>-14951.39</v>
      </c>
      <c r="O19" s="562">
        <v>-14951.39</v>
      </c>
      <c r="P19" s="562">
        <v>-14951.39</v>
      </c>
      <c r="Q19" s="563">
        <f t="shared" si="0"/>
        <v>-14951.390000000005</v>
      </c>
    </row>
    <row r="20" spans="1:17" s="540" customFormat="1" ht="15">
      <c r="A20" s="572">
        <v>3605</v>
      </c>
      <c r="B20" s="560" t="s">
        <v>399</v>
      </c>
      <c r="C20" s="561"/>
      <c r="D20" s="562">
        <v>-207364.17</v>
      </c>
      <c r="E20" s="562">
        <v>-207364.17</v>
      </c>
      <c r="F20" s="562">
        <v>-207364.17</v>
      </c>
      <c r="G20" s="562">
        <v>-207364.17</v>
      </c>
      <c r="H20" s="562">
        <v>-207364.17</v>
      </c>
      <c r="I20" s="562">
        <v>-207364.17</v>
      </c>
      <c r="J20" s="562">
        <v>-207364.17</v>
      </c>
      <c r="K20" s="562">
        <v>-207364.17</v>
      </c>
      <c r="L20" s="562">
        <v>-207364.17</v>
      </c>
      <c r="M20" s="562">
        <v>-207364.17</v>
      </c>
      <c r="N20" s="562">
        <v>-207364.17</v>
      </c>
      <c r="O20" s="562">
        <v>-207364.17</v>
      </c>
      <c r="P20" s="562">
        <v>-207364.17</v>
      </c>
      <c r="Q20" s="563">
        <f t="shared" si="0"/>
        <v>-207364.16999999996</v>
      </c>
    </row>
    <row r="21" spans="1:17" s="540" customFormat="1" ht="15">
      <c r="A21" s="572">
        <v>3625</v>
      </c>
      <c r="B21" s="560" t="s">
        <v>486</v>
      </c>
      <c r="C21" s="561"/>
      <c r="D21" s="562">
        <v>-2368.89</v>
      </c>
      <c r="E21" s="562">
        <v>-2368.89</v>
      </c>
      <c r="F21" s="562">
        <v>-2368.89</v>
      </c>
      <c r="G21" s="562">
        <v>-2368.89</v>
      </c>
      <c r="H21" s="562">
        <v>-2368.89</v>
      </c>
      <c r="I21" s="562">
        <v>-2368.89</v>
      </c>
      <c r="J21" s="562">
        <v>-2368.89</v>
      </c>
      <c r="K21" s="562">
        <v>-2368.89</v>
      </c>
      <c r="L21" s="562">
        <v>-2368.89</v>
      </c>
      <c r="M21" s="562">
        <v>-2368.89</v>
      </c>
      <c r="N21" s="562">
        <v>-2368.89</v>
      </c>
      <c r="O21" s="562">
        <v>-2368.89</v>
      </c>
      <c r="P21" s="562">
        <v>-2368.89</v>
      </c>
      <c r="Q21" s="563">
        <f t="shared" si="0"/>
        <v>-2368.89</v>
      </c>
    </row>
    <row r="22" spans="1:17" s="540" customFormat="1" ht="15">
      <c r="A22" s="569">
        <v>3705</v>
      </c>
      <c r="B22" s="554" t="s">
        <v>256</v>
      </c>
      <c r="C22" s="555"/>
      <c r="D22" s="556">
        <v>-1091801.78</v>
      </c>
      <c r="E22" s="556">
        <v>-1091801.78</v>
      </c>
      <c r="F22" s="556">
        <v>-1091801.78</v>
      </c>
      <c r="G22" s="556">
        <v>-1091801.78</v>
      </c>
      <c r="H22" s="556">
        <v>-1091801.78</v>
      </c>
      <c r="I22" s="556">
        <v>-1091801.78</v>
      </c>
      <c r="J22" s="556">
        <v>-1091801.78</v>
      </c>
      <c r="K22" s="556">
        <v>-1091801.78</v>
      </c>
      <c r="L22" s="556">
        <v>-1091801.78</v>
      </c>
      <c r="M22" s="556">
        <v>-1091801.78</v>
      </c>
      <c r="N22" s="556">
        <v>-1091801.78</v>
      </c>
      <c r="O22" s="556">
        <v>-1091801.78</v>
      </c>
      <c r="P22" s="556">
        <v>-1091801.78</v>
      </c>
      <c r="Q22" s="557">
        <f t="shared" si="0"/>
        <v>-1091801.7799999998</v>
      </c>
    </row>
    <row r="23" spans="1:17" s="540" customFormat="1" ht="15">
      <c r="A23" s="571">
        <v>3712</v>
      </c>
      <c r="B23" s="550" t="s">
        <v>487</v>
      </c>
      <c r="C23" s="551"/>
      <c r="D23" s="552">
        <v>-633139.04</v>
      </c>
      <c r="E23" s="552">
        <v>-633139.04</v>
      </c>
      <c r="F23" s="552">
        <v>-633139.04</v>
      </c>
      <c r="G23" s="552">
        <v>-633139.04</v>
      </c>
      <c r="H23" s="552">
        <v>-748738.04</v>
      </c>
      <c r="I23" s="552">
        <v>-748738.04</v>
      </c>
      <c r="J23" s="552">
        <v>-748738.04</v>
      </c>
      <c r="K23" s="552">
        <v>-748738.04</v>
      </c>
      <c r="L23" s="552">
        <v>-748738.04</v>
      </c>
      <c r="M23" s="552">
        <v>-748738.04</v>
      </c>
      <c r="N23" s="552">
        <v>-748738.04</v>
      </c>
      <c r="O23" s="552">
        <v>-748738.04</v>
      </c>
      <c r="P23" s="552">
        <v>-808402.04</v>
      </c>
      <c r="Q23" s="553">
        <f t="shared" si="0"/>
        <v>-717758.6553846153</v>
      </c>
    </row>
    <row r="24" spans="1:17" s="540" customFormat="1" ht="15">
      <c r="A24" s="572">
        <v>3715</v>
      </c>
      <c r="B24" s="565" t="s">
        <v>400</v>
      </c>
      <c r="C24" s="566"/>
      <c r="D24" s="567">
        <v>-765484.49</v>
      </c>
      <c r="E24" s="567">
        <v>-765484.49</v>
      </c>
      <c r="F24" s="567">
        <v>-765484.49</v>
      </c>
      <c r="G24" s="567">
        <v>-765484.49</v>
      </c>
      <c r="H24" s="567">
        <v>-817378.49</v>
      </c>
      <c r="I24" s="567">
        <v>-817378.49</v>
      </c>
      <c r="J24" s="567">
        <v>-817378.49</v>
      </c>
      <c r="K24" s="567">
        <v>-817378.49</v>
      </c>
      <c r="L24" s="567">
        <v>-817378.49</v>
      </c>
      <c r="M24" s="567">
        <v>-817378.49</v>
      </c>
      <c r="N24" s="567">
        <v>-817378.49</v>
      </c>
      <c r="O24" s="567">
        <v>-817378.49</v>
      </c>
      <c r="P24" s="567">
        <v>-844162.49</v>
      </c>
      <c r="Q24" s="568">
        <f t="shared" si="0"/>
        <v>-803471.41307692311</v>
      </c>
    </row>
    <row r="25" spans="1:17" s="540" customFormat="1" ht="15">
      <c r="A25" s="572">
        <v>3720</v>
      </c>
      <c r="B25" s="565" t="s">
        <v>401</v>
      </c>
      <c r="C25" s="566"/>
      <c r="D25" s="567">
        <v>-28604.40</v>
      </c>
      <c r="E25" s="567">
        <v>-28604.40</v>
      </c>
      <c r="F25" s="567">
        <v>-28604.40</v>
      </c>
      <c r="G25" s="567">
        <v>-28604.40</v>
      </c>
      <c r="H25" s="567">
        <v>-28604.40</v>
      </c>
      <c r="I25" s="567">
        <v>-28604.40</v>
      </c>
      <c r="J25" s="567">
        <v>-28604.40</v>
      </c>
      <c r="K25" s="567">
        <v>-28604.40</v>
      </c>
      <c r="L25" s="567">
        <v>-28604.40</v>
      </c>
      <c r="M25" s="567">
        <v>-28604.40</v>
      </c>
      <c r="N25" s="567">
        <v>-28604.40</v>
      </c>
      <c r="O25" s="567">
        <v>-28604.40</v>
      </c>
      <c r="P25" s="567">
        <v>-28604.40</v>
      </c>
      <c r="Q25" s="568">
        <f t="shared" si="0"/>
        <v>-28604.400000000005</v>
      </c>
    </row>
    <row r="26" spans="1:17" s="540" customFormat="1" ht="15">
      <c r="A26" s="571">
        <v>3725</v>
      </c>
      <c r="B26" s="550" t="s">
        <v>488</v>
      </c>
      <c r="C26" s="551"/>
      <c r="D26" s="552">
        <v>-1847.43</v>
      </c>
      <c r="E26" s="552">
        <v>-1847.43</v>
      </c>
      <c r="F26" s="552">
        <v>-1847.43</v>
      </c>
      <c r="G26" s="552">
        <v>-1847.43</v>
      </c>
      <c r="H26" s="552">
        <v>-1847.43</v>
      </c>
      <c r="I26" s="552">
        <v>-1847.43</v>
      </c>
      <c r="J26" s="552">
        <v>-1847.43</v>
      </c>
      <c r="K26" s="552">
        <v>-1847.43</v>
      </c>
      <c r="L26" s="552">
        <v>-1847.43</v>
      </c>
      <c r="M26" s="552">
        <v>-1847.43</v>
      </c>
      <c r="N26" s="552">
        <v>-1847.43</v>
      </c>
      <c r="O26" s="552">
        <v>-1847.43</v>
      </c>
      <c r="P26" s="552">
        <v>-1847.43</v>
      </c>
      <c r="Q26" s="552">
        <f t="shared" si="0"/>
        <v>-1847.43</v>
      </c>
    </row>
    <row r="27" spans="1:17" s="540" customFormat="1" ht="15">
      <c r="A27" s="569">
        <v>3750</v>
      </c>
      <c r="B27" s="546" t="s">
        <v>503</v>
      </c>
      <c r="C27" s="547"/>
      <c r="D27" s="548">
        <v>-1634884.17</v>
      </c>
      <c r="E27" s="548">
        <v>-1634884.17</v>
      </c>
      <c r="F27" s="548">
        <v>-1634884.17</v>
      </c>
      <c r="G27" s="548">
        <v>-1634884.17</v>
      </c>
      <c r="H27" s="548">
        <v>-1634884.17</v>
      </c>
      <c r="I27" s="548">
        <v>-1974417.33</v>
      </c>
      <c r="J27" s="548">
        <v>-1974417.33</v>
      </c>
      <c r="K27" s="548">
        <v>-2061650.33</v>
      </c>
      <c r="L27" s="548">
        <v>-2061650.33</v>
      </c>
      <c r="M27" s="548">
        <v>-2115026.12</v>
      </c>
      <c r="N27" s="548">
        <v>-2115026.12</v>
      </c>
      <c r="O27" s="548">
        <v>-2115026.12</v>
      </c>
      <c r="P27" s="548">
        <v>-2115026.12</v>
      </c>
      <c r="Q27" s="548">
        <f t="shared" si="0"/>
        <v>-1900512.3576923078</v>
      </c>
    </row>
    <row r="28" spans="1:17" s="540" customFormat="1" ht="15">
      <c r="A28" s="569">
        <v>3760</v>
      </c>
      <c r="B28" s="546" t="s">
        <v>504</v>
      </c>
      <c r="C28" s="547"/>
      <c r="D28" s="548">
        <v>-2295</v>
      </c>
      <c r="E28" s="548">
        <v>-2295</v>
      </c>
      <c r="F28" s="548">
        <v>-2295</v>
      </c>
      <c r="G28" s="548">
        <v>-2295</v>
      </c>
      <c r="H28" s="548">
        <v>-2295</v>
      </c>
      <c r="I28" s="548">
        <v>-2295</v>
      </c>
      <c r="J28" s="548">
        <v>-2295</v>
      </c>
      <c r="K28" s="548">
        <v>-2295</v>
      </c>
      <c r="L28" s="548">
        <v>-2295</v>
      </c>
      <c r="M28" s="548">
        <v>-2295</v>
      </c>
      <c r="N28" s="548">
        <v>-2295</v>
      </c>
      <c r="O28" s="548">
        <v>-2295</v>
      </c>
      <c r="P28" s="548">
        <v>-2295</v>
      </c>
      <c r="Q28" s="548">
        <f t="shared" si="0"/>
        <v>-2295</v>
      </c>
    </row>
    <row r="29" spans="1:17" s="540" customFormat="1" ht="15">
      <c r="A29" s="569">
        <v>3765</v>
      </c>
      <c r="B29" s="546" t="s">
        <v>505</v>
      </c>
      <c r="C29" s="547"/>
      <c r="D29" s="548">
        <v>-219577.80</v>
      </c>
      <c r="E29" s="548">
        <v>-219577.80</v>
      </c>
      <c r="F29" s="548">
        <v>-219577.80</v>
      </c>
      <c r="G29" s="548">
        <v>-219577.80</v>
      </c>
      <c r="H29" s="548">
        <v>-219577.80</v>
      </c>
      <c r="I29" s="548">
        <v>-219577.80</v>
      </c>
      <c r="J29" s="548">
        <v>-219577.80</v>
      </c>
      <c r="K29" s="548">
        <v>-219577.80</v>
      </c>
      <c r="L29" s="548">
        <v>-219577.80</v>
      </c>
      <c r="M29" s="548">
        <v>-281267.40000000002</v>
      </c>
      <c r="N29" s="548">
        <v>-281267.40000000002</v>
      </c>
      <c r="O29" s="548">
        <v>-281267.40000000002</v>
      </c>
      <c r="P29" s="548">
        <v>-281267.40000000002</v>
      </c>
      <c r="Q29" s="548">
        <f t="shared" si="0"/>
        <v>-238559.21538461538</v>
      </c>
    </row>
    <row r="30" spans="1:17" ht="15">
      <c r="A30" s="570">
        <v>3770</v>
      </c>
      <c r="B30" s="558" t="s">
        <v>506</v>
      </c>
      <c r="C30" s="424"/>
      <c r="D30" s="559">
        <v>-1200</v>
      </c>
      <c r="E30" s="559">
        <v>-1200</v>
      </c>
      <c r="F30" s="559">
        <v>-1200</v>
      </c>
      <c r="G30" s="559">
        <v>-1200</v>
      </c>
      <c r="H30" s="559">
        <v>-1200</v>
      </c>
      <c r="I30" s="559">
        <v>-1200</v>
      </c>
      <c r="J30" s="559">
        <v>-1200</v>
      </c>
      <c r="K30" s="559">
        <v>-1200</v>
      </c>
      <c r="L30" s="559">
        <v>-1200</v>
      </c>
      <c r="M30" s="559">
        <v>-1200</v>
      </c>
      <c r="N30" s="559">
        <v>-1200</v>
      </c>
      <c r="O30" s="559">
        <v>-1200</v>
      </c>
      <c r="P30" s="559">
        <v>-1200</v>
      </c>
      <c r="Q30" s="559">
        <f t="shared" si="0"/>
        <v>-1200</v>
      </c>
    </row>
    <row r="31" spans="1:17" ht="15">
      <c r="A31" s="570">
        <v>3775</v>
      </c>
      <c r="B31" s="558" t="s">
        <v>507</v>
      </c>
      <c r="C31" s="424"/>
      <c r="D31" s="559">
        <v>-450</v>
      </c>
      <c r="E31" s="559">
        <v>-450</v>
      </c>
      <c r="F31" s="559">
        <v>-450</v>
      </c>
      <c r="G31" s="559">
        <v>-450</v>
      </c>
      <c r="H31" s="559">
        <v>-450</v>
      </c>
      <c r="I31" s="559">
        <v>-450</v>
      </c>
      <c r="J31" s="559">
        <v>-450</v>
      </c>
      <c r="K31" s="559">
        <v>-450</v>
      </c>
      <c r="L31" s="559">
        <v>-450</v>
      </c>
      <c r="M31" s="559">
        <v>-450</v>
      </c>
      <c r="N31" s="559">
        <v>-450</v>
      </c>
      <c r="O31" s="559">
        <v>-450</v>
      </c>
      <c r="P31" s="559">
        <v>-450</v>
      </c>
      <c r="Q31" s="559">
        <f t="shared" si="0"/>
        <v>-450</v>
      </c>
    </row>
    <row r="32" spans="1:18" ht="15">
      <c r="A32" s="570">
        <v>3790</v>
      </c>
      <c r="B32" s="558" t="s">
        <v>508</v>
      </c>
      <c r="C32" s="424"/>
      <c r="D32" s="559">
        <v>-11852</v>
      </c>
      <c r="E32" s="559">
        <v>-11852</v>
      </c>
      <c r="F32" s="559">
        <v>-11852</v>
      </c>
      <c r="G32" s="559">
        <v>-11852</v>
      </c>
      <c r="H32" s="559">
        <v>-11852</v>
      </c>
      <c r="I32" s="559">
        <v>-11852</v>
      </c>
      <c r="J32" s="559">
        <v>-11852</v>
      </c>
      <c r="K32" s="559">
        <v>-11852</v>
      </c>
      <c r="L32" s="559">
        <v>-11852</v>
      </c>
      <c r="M32" s="559">
        <v>-11852</v>
      </c>
      <c r="N32" s="559">
        <v>-11852</v>
      </c>
      <c r="O32" s="559">
        <v>-11852</v>
      </c>
      <c r="P32" s="559">
        <v>-11852</v>
      </c>
      <c r="Q32" s="559">
        <f t="shared" si="0"/>
        <v>-11852</v>
      </c>
      <c r="R32" s="284">
        <f>SUM(Q12:Q32)</f>
        <v>-15119743.763076922</v>
      </c>
    </row>
    <row r="33" spans="1:17" ht="15">
      <c r="A33" s="533">
        <v>2060</v>
      </c>
      <c r="B33" s="528" t="s">
        <v>259</v>
      </c>
      <c r="D33" s="529">
        <v>-1336480.8999999999</v>
      </c>
      <c r="E33" s="529">
        <v>-1344233.90</v>
      </c>
      <c r="F33" s="529">
        <v>-1351986.90</v>
      </c>
      <c r="G33" s="529">
        <v>-1359739.90</v>
      </c>
      <c r="H33" s="529">
        <v>-1367492.90</v>
      </c>
      <c r="I33" s="529">
        <v>-1375856.21</v>
      </c>
      <c r="J33" s="529">
        <v>-1384219.52</v>
      </c>
      <c r="K33" s="529">
        <v>-1392582.83</v>
      </c>
      <c r="L33" s="529">
        <v>-1398937.14</v>
      </c>
      <c r="M33" s="529">
        <v>-1407304.58</v>
      </c>
      <c r="N33" s="529">
        <v>-1415672.02</v>
      </c>
      <c r="O33" s="529">
        <v>-1424039.46</v>
      </c>
      <c r="P33" s="529">
        <v>-1432410.79</v>
      </c>
      <c r="Q33" s="535">
        <f>+AVERAGE(D33:P33)</f>
        <v>-1383919.7730769231</v>
      </c>
    </row>
    <row r="34" spans="1:17" ht="15">
      <c r="A34" s="533">
        <v>2090</v>
      </c>
      <c r="B34" s="528" t="s">
        <v>404</v>
      </c>
      <c r="D34" s="529">
        <v>-479.95</v>
      </c>
      <c r="E34" s="529">
        <v>-483.73</v>
      </c>
      <c r="F34" s="529">
        <v>-487.51</v>
      </c>
      <c r="G34" s="529">
        <v>-491.29</v>
      </c>
      <c r="H34" s="529">
        <v>-495.07</v>
      </c>
      <c r="I34" s="529">
        <v>-498.85</v>
      </c>
      <c r="J34" s="529">
        <v>-502.63</v>
      </c>
      <c r="K34" s="529">
        <v>-506.41</v>
      </c>
      <c r="L34" s="529">
        <v>-510.19</v>
      </c>
      <c r="M34" s="529">
        <v>-513.97</v>
      </c>
      <c r="N34" s="529">
        <v>-517.75</v>
      </c>
      <c r="O34" s="529">
        <v>-521.53</v>
      </c>
      <c r="P34" s="529">
        <v>-525.30999999999995</v>
      </c>
      <c r="Q34" s="535">
        <f t="shared" si="1" ref="Q34:Q65">+AVERAGE(D34:P34)</f>
        <v>-502.63000000000005</v>
      </c>
    </row>
    <row r="35" spans="1:17" ht="15">
      <c r="A35" s="533">
        <v>2155</v>
      </c>
      <c r="B35" s="528" t="s">
        <v>267</v>
      </c>
      <c r="D35" s="529">
        <v>-80450.600000000006</v>
      </c>
      <c r="E35" s="529">
        <v>-80933.87</v>
      </c>
      <c r="F35" s="529">
        <v>-81417.14</v>
      </c>
      <c r="G35" s="529">
        <v>-81900.41</v>
      </c>
      <c r="H35" s="529">
        <v>-82383.679999999993</v>
      </c>
      <c r="I35" s="529">
        <v>-82866.95</v>
      </c>
      <c r="J35" s="529">
        <v>-83350.22</v>
      </c>
      <c r="K35" s="529">
        <v>-83833.490000000005</v>
      </c>
      <c r="L35" s="529">
        <v>-84316.76</v>
      </c>
      <c r="M35" s="529">
        <v>-84800.03</v>
      </c>
      <c r="N35" s="529">
        <v>-85283.30</v>
      </c>
      <c r="O35" s="529">
        <v>-85766.57</v>
      </c>
      <c r="P35" s="529">
        <v>-86249.84</v>
      </c>
      <c r="Q35" s="535">
        <f t="shared" si="1"/>
        <v>-83350.22</v>
      </c>
    </row>
    <row r="36" spans="1:17" ht="15">
      <c r="A36" s="533">
        <v>2160</v>
      </c>
      <c r="B36" s="528" t="s">
        <v>268</v>
      </c>
      <c r="D36" s="529">
        <v>-1673296.40</v>
      </c>
      <c r="E36" s="529">
        <v>-1693309.35</v>
      </c>
      <c r="F36" s="529">
        <v>-1713102.22</v>
      </c>
      <c r="G36" s="529">
        <v>-1733144.15</v>
      </c>
      <c r="H36" s="529">
        <v>-1752979.43</v>
      </c>
      <c r="I36" s="529">
        <v>-1769723.08</v>
      </c>
      <c r="J36" s="529">
        <v>-1789778.67</v>
      </c>
      <c r="K36" s="529">
        <v>-1806802.24</v>
      </c>
      <c r="L36" s="529">
        <v>-1826877.95</v>
      </c>
      <c r="M36" s="529">
        <v>-1846953.71</v>
      </c>
      <c r="N36" s="529">
        <v>-1857920.30</v>
      </c>
      <c r="O36" s="529">
        <v>-1876309.29</v>
      </c>
      <c r="P36" s="529">
        <v>-1896407.08</v>
      </c>
      <c r="Q36" s="535">
        <f t="shared" si="1"/>
        <v>-1787431.0669230768</v>
      </c>
    </row>
    <row r="37" spans="1:17" ht="15">
      <c r="A37" s="533">
        <v>2170</v>
      </c>
      <c r="B37" s="528" t="s">
        <v>406</v>
      </c>
      <c r="D37" s="529">
        <v>30480.34</v>
      </c>
      <c r="E37" s="529">
        <v>29351.55</v>
      </c>
      <c r="F37" s="529">
        <v>28222.76</v>
      </c>
      <c r="G37" s="529">
        <v>27093.97</v>
      </c>
      <c r="H37" s="529">
        <v>25965.18</v>
      </c>
      <c r="I37" s="529">
        <v>24836.39</v>
      </c>
      <c r="J37" s="529">
        <v>23707.60</v>
      </c>
      <c r="K37" s="529">
        <v>22578.81</v>
      </c>
      <c r="L37" s="529">
        <v>21450.02</v>
      </c>
      <c r="M37" s="529">
        <v>20321.23</v>
      </c>
      <c r="N37" s="529">
        <v>19192.44</v>
      </c>
      <c r="O37" s="529">
        <v>18063.650000000001</v>
      </c>
      <c r="P37" s="529">
        <v>16934.86</v>
      </c>
      <c r="Q37" s="535">
        <f t="shared" si="1"/>
        <v>23707.60</v>
      </c>
    </row>
    <row r="38" spans="1:17" ht="15">
      <c r="A38" s="533">
        <v>2180</v>
      </c>
      <c r="B38" s="528" t="s">
        <v>269</v>
      </c>
      <c r="D38" s="529">
        <v>-530.66999999999996</v>
      </c>
      <c r="E38" s="529">
        <v>-536.35</v>
      </c>
      <c r="F38" s="529">
        <v>-542.03</v>
      </c>
      <c r="G38" s="529">
        <v>-547.71</v>
      </c>
      <c r="H38" s="529">
        <v>-553.39</v>
      </c>
      <c r="I38" s="529">
        <v>-559.07000000000005</v>
      </c>
      <c r="J38" s="529">
        <v>-564.75</v>
      </c>
      <c r="K38" s="529">
        <v>-570.42999999999995</v>
      </c>
      <c r="L38" s="529">
        <v>-576.11</v>
      </c>
      <c r="M38" s="529">
        <v>-581.79</v>
      </c>
      <c r="N38" s="529">
        <v>-587.47</v>
      </c>
      <c r="O38" s="529">
        <v>-593.16</v>
      </c>
      <c r="P38" s="529">
        <v>-598.85</v>
      </c>
      <c r="Q38" s="535">
        <f t="shared" si="1"/>
        <v>-564.7523076923078</v>
      </c>
    </row>
    <row r="39" spans="1:17" ht="15">
      <c r="A39" s="534">
        <v>4030</v>
      </c>
      <c r="B39" s="528" t="s">
        <v>414</v>
      </c>
      <c r="D39" s="529">
        <v>46286</v>
      </c>
      <c r="E39" s="529">
        <v>46286</v>
      </c>
      <c r="F39" s="529">
        <v>46286</v>
      </c>
      <c r="G39" s="529">
        <v>46286</v>
      </c>
      <c r="H39" s="529">
        <v>46286</v>
      </c>
      <c r="I39" s="529">
        <v>46286</v>
      </c>
      <c r="J39" s="529">
        <v>46286</v>
      </c>
      <c r="K39" s="529">
        <v>46286</v>
      </c>
      <c r="L39" s="529">
        <v>46286</v>
      </c>
      <c r="M39" s="529">
        <v>46286</v>
      </c>
      <c r="N39" s="529">
        <v>46286</v>
      </c>
      <c r="O39" s="529">
        <v>46286</v>
      </c>
      <c r="P39" s="529">
        <v>46286</v>
      </c>
      <c r="Q39" s="535">
        <f t="shared" si="1"/>
        <v>46286</v>
      </c>
    </row>
    <row r="40" spans="1:17" ht="15">
      <c r="A40" s="545">
        <v>4050</v>
      </c>
      <c r="B40" s="528" t="s">
        <v>415</v>
      </c>
      <c r="D40" s="529">
        <v>854117.71</v>
      </c>
      <c r="E40" s="529">
        <v>860178.63</v>
      </c>
      <c r="F40" s="529">
        <v>866239.55</v>
      </c>
      <c r="G40" s="529">
        <v>872300.47</v>
      </c>
      <c r="H40" s="529">
        <v>878361.39</v>
      </c>
      <c r="I40" s="529">
        <v>884422.31</v>
      </c>
      <c r="J40" s="529">
        <v>890483.23</v>
      </c>
      <c r="K40" s="529">
        <v>896544.15</v>
      </c>
      <c r="L40" s="529">
        <v>902605.07</v>
      </c>
      <c r="M40" s="529">
        <v>908665.99</v>
      </c>
      <c r="N40" s="529">
        <v>914726.91</v>
      </c>
      <c r="O40" s="529">
        <v>920787.83</v>
      </c>
      <c r="P40" s="529">
        <v>926848.75</v>
      </c>
      <c r="Q40" s="535">
        <f t="shared" si="1"/>
        <v>890483.23</v>
      </c>
    </row>
    <row r="41" spans="1:17" ht="15">
      <c r="A41" s="572">
        <v>4055</v>
      </c>
      <c r="B41" s="531" t="s">
        <v>482</v>
      </c>
      <c r="C41" s="430"/>
      <c r="D41" s="532">
        <v>936768.43</v>
      </c>
      <c r="E41" s="532">
        <v>942569.01</v>
      </c>
      <c r="F41" s="532">
        <v>948369.59</v>
      </c>
      <c r="G41" s="532">
        <v>954170.17</v>
      </c>
      <c r="H41" s="532">
        <v>959970.75</v>
      </c>
      <c r="I41" s="532">
        <v>966381.64</v>
      </c>
      <c r="J41" s="532">
        <v>972792.53</v>
      </c>
      <c r="K41" s="532">
        <v>979203.42</v>
      </c>
      <c r="L41" s="532">
        <v>985614.31</v>
      </c>
      <c r="M41" s="532">
        <v>992025.20</v>
      </c>
      <c r="N41" s="532">
        <v>998436.09</v>
      </c>
      <c r="O41" s="532">
        <v>1004846.98</v>
      </c>
      <c r="P41" s="532">
        <v>1011257.87</v>
      </c>
      <c r="Q41" s="575">
        <f t="shared" si="1"/>
        <v>973261.99923076911</v>
      </c>
    </row>
    <row r="42" spans="1:17" ht="15">
      <c r="A42" s="534">
        <v>4070</v>
      </c>
      <c r="B42" s="528" t="s">
        <v>416</v>
      </c>
      <c r="D42" s="529"/>
      <c r="E42" s="529"/>
      <c r="F42" s="529"/>
      <c r="G42" s="529"/>
      <c r="H42" s="529"/>
      <c r="I42" s="529"/>
      <c r="J42" s="529"/>
      <c r="K42" s="529"/>
      <c r="L42" s="529"/>
      <c r="M42" s="529"/>
      <c r="N42" s="529"/>
      <c r="O42" s="529"/>
      <c r="P42" s="529"/>
      <c r="Q42" s="535"/>
    </row>
    <row r="43" spans="1:17" ht="15">
      <c r="A43" s="534">
        <v>4075</v>
      </c>
      <c r="B43" s="528" t="s">
        <v>493</v>
      </c>
      <c r="D43" s="529"/>
      <c r="E43" s="529"/>
      <c r="F43" s="529"/>
      <c r="G43" s="529"/>
      <c r="H43" s="529"/>
      <c r="I43" s="529"/>
      <c r="J43" s="529"/>
      <c r="K43" s="529"/>
      <c r="L43" s="529"/>
      <c r="M43" s="529"/>
      <c r="N43" s="529"/>
      <c r="O43" s="529"/>
      <c r="P43" s="529"/>
      <c r="Q43" s="535"/>
    </row>
    <row r="44" spans="1:17" ht="15">
      <c r="A44" s="534">
        <v>4080</v>
      </c>
      <c r="B44" s="528" t="s">
        <v>494</v>
      </c>
      <c r="D44" s="529"/>
      <c r="E44" s="529"/>
      <c r="F44" s="529"/>
      <c r="G44" s="529"/>
      <c r="H44" s="529"/>
      <c r="I44" s="529"/>
      <c r="J44" s="529"/>
      <c r="K44" s="529"/>
      <c r="L44" s="529"/>
      <c r="M44" s="529"/>
      <c r="N44" s="529"/>
      <c r="O44" s="529"/>
      <c r="P44" s="529"/>
      <c r="Q44" s="535"/>
    </row>
    <row r="45" spans="1:17" ht="15">
      <c r="A45" s="534">
        <v>4085</v>
      </c>
      <c r="B45" s="528" t="s">
        <v>483</v>
      </c>
      <c r="D45" s="529"/>
      <c r="E45" s="529"/>
      <c r="F45" s="529"/>
      <c r="G45" s="529"/>
      <c r="H45" s="529"/>
      <c r="I45" s="529"/>
      <c r="J45" s="529"/>
      <c r="K45" s="529"/>
      <c r="L45" s="529"/>
      <c r="M45" s="529"/>
      <c r="N45" s="529"/>
      <c r="O45" s="529"/>
      <c r="P45" s="529"/>
      <c r="Q45" s="535"/>
    </row>
    <row r="46" spans="1:17" ht="15">
      <c r="A46" s="576">
        <v>4100</v>
      </c>
      <c r="B46" s="528" t="s">
        <v>417</v>
      </c>
      <c r="D46" s="529">
        <v>464343.42</v>
      </c>
      <c r="E46" s="529">
        <v>467511.87</v>
      </c>
      <c r="F46" s="529">
        <v>470680.32</v>
      </c>
      <c r="G46" s="529">
        <v>473848.77</v>
      </c>
      <c r="H46" s="529">
        <v>477017.22</v>
      </c>
      <c r="I46" s="529">
        <v>480211.62</v>
      </c>
      <c r="J46" s="529">
        <v>483406.02</v>
      </c>
      <c r="K46" s="529">
        <v>486600.42</v>
      </c>
      <c r="L46" s="529">
        <v>489794.82</v>
      </c>
      <c r="M46" s="529">
        <v>492989.22</v>
      </c>
      <c r="N46" s="529">
        <v>496183.62</v>
      </c>
      <c r="O46" s="529">
        <v>499378.02</v>
      </c>
      <c r="P46" s="529">
        <v>502572.42</v>
      </c>
      <c r="Q46" s="535">
        <f t="shared" si="1"/>
        <v>483425.98153846152</v>
      </c>
    </row>
    <row r="47" spans="1:17" ht="15">
      <c r="A47" s="576">
        <v>4105</v>
      </c>
      <c r="B47" s="528" t="s">
        <v>418</v>
      </c>
      <c r="D47" s="529">
        <v>655104.97</v>
      </c>
      <c r="E47" s="529">
        <v>659534.15</v>
      </c>
      <c r="F47" s="529">
        <v>663963.32999999996</v>
      </c>
      <c r="G47" s="529">
        <v>668551.98</v>
      </c>
      <c r="H47" s="529">
        <v>673140.63</v>
      </c>
      <c r="I47" s="529">
        <v>678150.72</v>
      </c>
      <c r="J47" s="529">
        <v>683160.81</v>
      </c>
      <c r="K47" s="529">
        <v>688364.21</v>
      </c>
      <c r="L47" s="529">
        <v>693567.61</v>
      </c>
      <c r="M47" s="529">
        <v>698771.01</v>
      </c>
      <c r="N47" s="529">
        <v>703974.41</v>
      </c>
      <c r="O47" s="529">
        <v>709177.81</v>
      </c>
      <c r="P47" s="529">
        <v>714381.21</v>
      </c>
      <c r="Q47" s="535">
        <f t="shared" si="1"/>
        <v>683834.06538461545</v>
      </c>
    </row>
    <row r="48" spans="1:17" ht="15">
      <c r="A48" s="576">
        <v>4107</v>
      </c>
      <c r="B48" s="528" t="s">
        <v>419</v>
      </c>
      <c r="D48" s="529">
        <v>411814.12</v>
      </c>
      <c r="E48" s="529">
        <v>414695.30</v>
      </c>
      <c r="F48" s="529">
        <v>417576.48</v>
      </c>
      <c r="G48" s="529">
        <v>420500.20</v>
      </c>
      <c r="H48" s="529">
        <v>423423.92</v>
      </c>
      <c r="I48" s="529">
        <v>426847.08</v>
      </c>
      <c r="J48" s="529">
        <v>430270.23</v>
      </c>
      <c r="K48" s="529">
        <v>433791.39</v>
      </c>
      <c r="L48" s="529">
        <v>437312.55</v>
      </c>
      <c r="M48" s="529">
        <v>441006.01</v>
      </c>
      <c r="N48" s="529">
        <v>444699.47</v>
      </c>
      <c r="O48" s="529">
        <v>448392.93</v>
      </c>
      <c r="P48" s="529">
        <v>452086.39</v>
      </c>
      <c r="Q48" s="535">
        <f t="shared" si="1"/>
        <v>430955.08230769221</v>
      </c>
    </row>
    <row r="49" spans="1:17" ht="15">
      <c r="A49" s="576">
        <v>4115</v>
      </c>
      <c r="B49" s="528" t="s">
        <v>420</v>
      </c>
      <c r="D49" s="529">
        <v>177692.61</v>
      </c>
      <c r="E49" s="529">
        <v>178868.94</v>
      </c>
      <c r="F49" s="529">
        <v>180045.27</v>
      </c>
      <c r="G49" s="529">
        <v>181355.63</v>
      </c>
      <c r="H49" s="529">
        <v>182665.99</v>
      </c>
      <c r="I49" s="529">
        <v>184228.47</v>
      </c>
      <c r="J49" s="529">
        <v>185790.95</v>
      </c>
      <c r="K49" s="529">
        <v>187440.34</v>
      </c>
      <c r="L49" s="529">
        <v>189089.73</v>
      </c>
      <c r="M49" s="529">
        <v>190911.07</v>
      </c>
      <c r="N49" s="529">
        <v>192732.41</v>
      </c>
      <c r="O49" s="529">
        <v>194553.75</v>
      </c>
      <c r="P49" s="529">
        <v>196375.09</v>
      </c>
      <c r="Q49" s="535">
        <f t="shared" si="1"/>
        <v>186288.48076923078</v>
      </c>
    </row>
    <row r="50" spans="1:17" ht="15">
      <c r="A50" s="564">
        <v>4140</v>
      </c>
      <c r="B50" s="531" t="s">
        <v>495</v>
      </c>
      <c r="D50" s="529">
        <v>1552.32</v>
      </c>
      <c r="E50" s="529">
        <v>1617</v>
      </c>
      <c r="F50" s="529">
        <v>1681.68</v>
      </c>
      <c r="G50" s="529">
        <v>1746.36</v>
      </c>
      <c r="H50" s="529">
        <v>1811.04</v>
      </c>
      <c r="I50" s="529">
        <v>1875.72</v>
      </c>
      <c r="J50" s="529">
        <v>1940.40</v>
      </c>
      <c r="K50" s="529">
        <v>2005.08</v>
      </c>
      <c r="L50" s="529">
        <v>2069.7600000000002</v>
      </c>
      <c r="M50" s="529">
        <v>2134.44</v>
      </c>
      <c r="N50" s="529">
        <v>2199.12</v>
      </c>
      <c r="O50" s="529">
        <v>2263.8000000000002</v>
      </c>
      <c r="P50" s="529">
        <v>2328.48</v>
      </c>
      <c r="Q50" s="535">
        <f t="shared" si="1"/>
        <v>1940.40</v>
      </c>
    </row>
    <row r="51" spans="1:17" ht="15">
      <c r="A51" s="572">
        <v>4150</v>
      </c>
      <c r="B51" s="531" t="s">
        <v>421</v>
      </c>
      <c r="C51" s="430"/>
      <c r="D51" s="532">
        <v>11675.41</v>
      </c>
      <c r="E51" s="532">
        <v>11744.63</v>
      </c>
      <c r="F51" s="532">
        <v>11813.85</v>
      </c>
      <c r="G51" s="532">
        <v>11883.07</v>
      </c>
      <c r="H51" s="532">
        <v>11952.29</v>
      </c>
      <c r="I51" s="532">
        <v>12021.51</v>
      </c>
      <c r="J51" s="532">
        <v>12090.73</v>
      </c>
      <c r="K51" s="532">
        <v>12159.95</v>
      </c>
      <c r="L51" s="532">
        <v>12229.17</v>
      </c>
      <c r="M51" s="532">
        <v>12298.39</v>
      </c>
      <c r="N51" s="532">
        <v>12367.61</v>
      </c>
      <c r="O51" s="532">
        <v>12436.83</v>
      </c>
      <c r="P51" s="532">
        <v>12506.05</v>
      </c>
      <c r="Q51" s="575">
        <f t="shared" si="1"/>
        <v>12090.729999999998</v>
      </c>
    </row>
    <row r="52" spans="1:17" ht="15">
      <c r="A52" s="572">
        <v>4155</v>
      </c>
      <c r="B52" s="531" t="s">
        <v>422</v>
      </c>
      <c r="C52" s="430"/>
      <c r="D52" s="532">
        <v>102168.75</v>
      </c>
      <c r="E52" s="532">
        <v>103128.77</v>
      </c>
      <c r="F52" s="532">
        <v>104088.79</v>
      </c>
      <c r="G52" s="532">
        <v>105048.81</v>
      </c>
      <c r="H52" s="532">
        <v>106008.83</v>
      </c>
      <c r="I52" s="532">
        <v>106968.85</v>
      </c>
      <c r="J52" s="532">
        <v>107928.87</v>
      </c>
      <c r="K52" s="532">
        <v>108888.89</v>
      </c>
      <c r="L52" s="532">
        <v>109848.91</v>
      </c>
      <c r="M52" s="532">
        <v>110808.93</v>
      </c>
      <c r="N52" s="532">
        <v>111768.95</v>
      </c>
      <c r="O52" s="532">
        <v>112728.97</v>
      </c>
      <c r="P52" s="532">
        <v>113688.99</v>
      </c>
      <c r="Q52" s="575">
        <f t="shared" si="1"/>
        <v>107928.87000000001</v>
      </c>
    </row>
    <row r="53" spans="1:17" ht="15">
      <c r="A53" s="572">
        <v>4175</v>
      </c>
      <c r="B53" s="531" t="s">
        <v>496</v>
      </c>
      <c r="C53" s="430"/>
      <c r="D53" s="532">
        <v>1263.51</v>
      </c>
      <c r="E53" s="532">
        <v>1270.0899999999999</v>
      </c>
      <c r="F53" s="532">
        <v>1276.67</v>
      </c>
      <c r="G53" s="532">
        <v>1283.25</v>
      </c>
      <c r="H53" s="532">
        <v>1289.83</v>
      </c>
      <c r="I53" s="532">
        <v>1296.4100000000001</v>
      </c>
      <c r="J53" s="532">
        <v>1302.99</v>
      </c>
      <c r="K53" s="532">
        <v>1309.57</v>
      </c>
      <c r="L53" s="532">
        <v>1316.15</v>
      </c>
      <c r="M53" s="532">
        <v>1322.73</v>
      </c>
      <c r="N53" s="532">
        <v>1329.31</v>
      </c>
      <c r="O53" s="532">
        <v>1335.89</v>
      </c>
      <c r="P53" s="532">
        <v>1342.47</v>
      </c>
      <c r="Q53" s="575">
        <f t="shared" si="1"/>
        <v>1302.99</v>
      </c>
    </row>
    <row r="54" spans="1:17" ht="15">
      <c r="A54" s="534">
        <v>4260</v>
      </c>
      <c r="B54" s="528" t="s">
        <v>278</v>
      </c>
      <c r="D54" s="529"/>
      <c r="E54" s="529"/>
      <c r="F54" s="529"/>
      <c r="G54" s="529"/>
      <c r="H54" s="529"/>
      <c r="I54" s="529"/>
      <c r="J54" s="529"/>
      <c r="K54" s="529"/>
      <c r="L54" s="529"/>
      <c r="M54" s="529"/>
      <c r="N54" s="529"/>
      <c r="O54" s="529"/>
      <c r="P54" s="529"/>
      <c r="Q54" s="535"/>
    </row>
    <row r="55" spans="1:17" ht="15">
      <c r="A55" s="534">
        <v>4265</v>
      </c>
      <c r="B55" s="528" t="s">
        <v>279</v>
      </c>
      <c r="D55" s="529">
        <v>805058.50</v>
      </c>
      <c r="E55" s="529">
        <v>807333.09</v>
      </c>
      <c r="F55" s="529">
        <v>809607.68</v>
      </c>
      <c r="G55" s="529">
        <v>811882.27</v>
      </c>
      <c r="H55" s="529">
        <v>814156.86</v>
      </c>
      <c r="I55" s="529">
        <v>816431.45</v>
      </c>
      <c r="J55" s="529">
        <v>818706.04</v>
      </c>
      <c r="K55" s="529">
        <v>820980.63</v>
      </c>
      <c r="L55" s="529">
        <v>823255.22</v>
      </c>
      <c r="M55" s="529">
        <v>825529.81</v>
      </c>
      <c r="N55" s="529">
        <v>827804.40</v>
      </c>
      <c r="O55" s="529">
        <v>830078.99</v>
      </c>
      <c r="P55" s="529">
        <v>832353.58</v>
      </c>
      <c r="Q55" s="535">
        <f t="shared" si="1"/>
        <v>818706.03999999992</v>
      </c>
    </row>
    <row r="56" spans="1:17" ht="15">
      <c r="A56" s="576">
        <v>4272</v>
      </c>
      <c r="B56" s="528" t="s">
        <v>497</v>
      </c>
      <c r="D56" s="529">
        <v>7117</v>
      </c>
      <c r="E56" s="529">
        <v>8436.0400000000009</v>
      </c>
      <c r="F56" s="529">
        <v>9755.08</v>
      </c>
      <c r="G56" s="529">
        <v>11074.12</v>
      </c>
      <c r="H56" s="529">
        <v>12633.99</v>
      </c>
      <c r="I56" s="529">
        <v>14193.86</v>
      </c>
      <c r="J56" s="529">
        <v>15753.73</v>
      </c>
      <c r="K56" s="529">
        <v>17313.60</v>
      </c>
      <c r="L56" s="529">
        <v>18873.47</v>
      </c>
      <c r="M56" s="529">
        <v>20433.34</v>
      </c>
      <c r="N56" s="529">
        <v>21993.21</v>
      </c>
      <c r="O56" s="529">
        <v>23553.08</v>
      </c>
      <c r="P56" s="529">
        <v>25237.25</v>
      </c>
      <c r="Q56" s="535">
        <f t="shared" si="1"/>
        <v>15874.443846153848</v>
      </c>
    </row>
    <row r="57" spans="1:17" ht="15">
      <c r="A57" s="572">
        <v>4275</v>
      </c>
      <c r="B57" s="531" t="s">
        <v>423</v>
      </c>
      <c r="C57" s="430"/>
      <c r="D57" s="532">
        <v>72147.62</v>
      </c>
      <c r="E57" s="532">
        <v>73742.38</v>
      </c>
      <c r="F57" s="532">
        <v>75337.14</v>
      </c>
      <c r="G57" s="532">
        <v>76931.899999999994</v>
      </c>
      <c r="H57" s="532">
        <v>78634.77</v>
      </c>
      <c r="I57" s="532">
        <v>80337.64</v>
      </c>
      <c r="J57" s="532">
        <v>82040.509999999995</v>
      </c>
      <c r="K57" s="532">
        <v>83743.38</v>
      </c>
      <c r="L57" s="532">
        <v>85446.25</v>
      </c>
      <c r="M57" s="532">
        <v>87149.12</v>
      </c>
      <c r="N57" s="532">
        <v>88851.99</v>
      </c>
      <c r="O57" s="532">
        <v>90554.86</v>
      </c>
      <c r="P57" s="532">
        <v>92313.53</v>
      </c>
      <c r="Q57" s="575">
        <f t="shared" si="1"/>
        <v>82094.699230769242</v>
      </c>
    </row>
    <row r="58" spans="1:17" ht="15">
      <c r="A58" s="572">
        <v>4280</v>
      </c>
      <c r="B58" s="531" t="s">
        <v>424</v>
      </c>
      <c r="C58" s="430"/>
      <c r="D58" s="532">
        <v>8162.81</v>
      </c>
      <c r="E58" s="532">
        <v>8222.40</v>
      </c>
      <c r="F58" s="532">
        <v>8281.99</v>
      </c>
      <c r="G58" s="532">
        <v>8341.58</v>
      </c>
      <c r="H58" s="532">
        <v>8401.17</v>
      </c>
      <c r="I58" s="532">
        <v>8460.76</v>
      </c>
      <c r="J58" s="532">
        <v>8520.35</v>
      </c>
      <c r="K58" s="532">
        <v>8579.94</v>
      </c>
      <c r="L58" s="532">
        <v>8639.5300000000007</v>
      </c>
      <c r="M58" s="532">
        <v>8699.1200000000008</v>
      </c>
      <c r="N58" s="532">
        <v>8758.7099999999991</v>
      </c>
      <c r="O58" s="532">
        <v>8818.2999999999993</v>
      </c>
      <c r="P58" s="532">
        <v>8877.89</v>
      </c>
      <c r="Q58" s="575">
        <f t="shared" si="1"/>
        <v>8520.3499999999985</v>
      </c>
    </row>
    <row r="59" spans="1:17" ht="15">
      <c r="A59" s="572">
        <v>4285</v>
      </c>
      <c r="B59" s="531" t="s">
        <v>498</v>
      </c>
      <c r="C59" s="430"/>
      <c r="D59" s="532">
        <v>48.54</v>
      </c>
      <c r="E59" s="532">
        <v>52.39</v>
      </c>
      <c r="F59" s="532">
        <v>56.24</v>
      </c>
      <c r="G59" s="532">
        <v>60.09</v>
      </c>
      <c r="H59" s="532">
        <v>63.94</v>
      </c>
      <c r="I59" s="532">
        <v>67.790000000000006</v>
      </c>
      <c r="J59" s="532">
        <v>71.64</v>
      </c>
      <c r="K59" s="532">
        <v>75.489999999999995</v>
      </c>
      <c r="L59" s="532">
        <v>79.34</v>
      </c>
      <c r="M59" s="532">
        <v>83.19</v>
      </c>
      <c r="N59" s="532">
        <v>87.04</v>
      </c>
      <c r="O59" s="532">
        <v>90.89</v>
      </c>
      <c r="P59" s="532">
        <v>94.74</v>
      </c>
      <c r="Q59" s="575">
        <f t="shared" si="1"/>
        <v>71.64</v>
      </c>
    </row>
    <row r="60" spans="1:17" ht="15">
      <c r="A60" s="580">
        <v>4310</v>
      </c>
      <c r="B60" s="611" t="s">
        <v>512</v>
      </c>
      <c r="C60" s="430"/>
      <c r="D60" s="612">
        <v>456373.99</v>
      </c>
      <c r="E60" s="612">
        <v>459780</v>
      </c>
      <c r="F60" s="612">
        <v>463186.01</v>
      </c>
      <c r="G60" s="612">
        <v>466592.02</v>
      </c>
      <c r="H60" s="612">
        <v>469998.03</v>
      </c>
      <c r="I60" s="612">
        <v>474111.40</v>
      </c>
      <c r="J60" s="612">
        <v>478224.77</v>
      </c>
      <c r="K60" s="612">
        <v>482519.88</v>
      </c>
      <c r="L60" s="612">
        <v>486814.99</v>
      </c>
      <c r="M60" s="612">
        <v>491221.30</v>
      </c>
      <c r="N60" s="612">
        <v>495627.61</v>
      </c>
      <c r="O60" s="612">
        <v>500033.92</v>
      </c>
      <c r="P60" s="612">
        <v>504440.23</v>
      </c>
      <c r="Q60" s="589">
        <f t="shared" si="1"/>
        <v>479148.01153846155</v>
      </c>
    </row>
    <row r="61" spans="1:17" ht="15">
      <c r="A61" s="580">
        <v>4320</v>
      </c>
      <c r="B61" s="611" t="s">
        <v>513</v>
      </c>
      <c r="C61" s="430"/>
      <c r="D61" s="612">
        <v>315.33</v>
      </c>
      <c r="E61" s="612">
        <v>320.50</v>
      </c>
      <c r="F61" s="612">
        <v>325.67</v>
      </c>
      <c r="G61" s="612">
        <v>330.84</v>
      </c>
      <c r="H61" s="612">
        <v>336.01</v>
      </c>
      <c r="I61" s="612">
        <v>341.18</v>
      </c>
      <c r="J61" s="612">
        <v>346.35</v>
      </c>
      <c r="K61" s="612">
        <v>351.52</v>
      </c>
      <c r="L61" s="612">
        <v>356.69</v>
      </c>
      <c r="M61" s="612">
        <v>361.86</v>
      </c>
      <c r="N61" s="612">
        <v>367.03</v>
      </c>
      <c r="O61" s="612">
        <v>372.20</v>
      </c>
      <c r="P61" s="612">
        <v>377.37</v>
      </c>
      <c r="Q61" s="589">
        <f t="shared" si="1"/>
        <v>346.35</v>
      </c>
    </row>
    <row r="62" spans="1:17" ht="15">
      <c r="A62" s="580">
        <v>4325</v>
      </c>
      <c r="B62" s="611" t="s">
        <v>514</v>
      </c>
      <c r="C62" s="430"/>
      <c r="D62" s="612">
        <v>17487.419999999998</v>
      </c>
      <c r="E62" s="612">
        <v>17913.78</v>
      </c>
      <c r="F62" s="612">
        <v>18340.14</v>
      </c>
      <c r="G62" s="612">
        <v>18766.50</v>
      </c>
      <c r="H62" s="612">
        <v>19192.86</v>
      </c>
      <c r="I62" s="612">
        <v>19619.22</v>
      </c>
      <c r="J62" s="612">
        <v>20045.580000000002</v>
      </c>
      <c r="K62" s="612">
        <v>20471.939999999999</v>
      </c>
      <c r="L62" s="612">
        <v>20898.30</v>
      </c>
      <c r="M62" s="612">
        <v>21444.45</v>
      </c>
      <c r="N62" s="612">
        <v>21990.60</v>
      </c>
      <c r="O62" s="612">
        <v>22536.75</v>
      </c>
      <c r="P62" s="612">
        <v>23082.90</v>
      </c>
      <c r="Q62" s="589">
        <f t="shared" si="1"/>
        <v>20137.726153846153</v>
      </c>
    </row>
    <row r="63" spans="1:17" ht="15">
      <c r="A63" s="580">
        <v>4330</v>
      </c>
      <c r="B63" s="611" t="s">
        <v>515</v>
      </c>
      <c r="C63" s="430"/>
      <c r="D63" s="612">
        <v>95</v>
      </c>
      <c r="E63" s="612">
        <v>97.50</v>
      </c>
      <c r="F63" s="612">
        <v>100</v>
      </c>
      <c r="G63" s="612">
        <v>102.50</v>
      </c>
      <c r="H63" s="612">
        <v>105</v>
      </c>
      <c r="I63" s="612">
        <v>107.50</v>
      </c>
      <c r="J63" s="612">
        <v>110</v>
      </c>
      <c r="K63" s="612">
        <v>112.50</v>
      </c>
      <c r="L63" s="612">
        <v>115</v>
      </c>
      <c r="M63" s="612">
        <v>117.50</v>
      </c>
      <c r="N63" s="612">
        <v>120</v>
      </c>
      <c r="O63" s="612">
        <v>122.50</v>
      </c>
      <c r="P63" s="612">
        <v>125</v>
      </c>
      <c r="Q63" s="589">
        <f t="shared" si="1"/>
        <v>110</v>
      </c>
    </row>
    <row r="64" spans="1:17" ht="15">
      <c r="A64" s="580">
        <v>4335</v>
      </c>
      <c r="B64" s="611" t="s">
        <v>516</v>
      </c>
      <c r="C64" s="430"/>
      <c r="D64" s="612">
        <v>65.69</v>
      </c>
      <c r="E64" s="612">
        <v>66.63</v>
      </c>
      <c r="F64" s="612">
        <v>67.569999999999993</v>
      </c>
      <c r="G64" s="612">
        <v>68.510000000000005</v>
      </c>
      <c r="H64" s="612">
        <v>69.45</v>
      </c>
      <c r="I64" s="612">
        <v>70.39</v>
      </c>
      <c r="J64" s="612">
        <v>71.33</v>
      </c>
      <c r="K64" s="612">
        <v>72.27</v>
      </c>
      <c r="L64" s="612">
        <v>73.209999999999994</v>
      </c>
      <c r="M64" s="612">
        <v>74.150000000000006</v>
      </c>
      <c r="N64" s="612">
        <v>75.09</v>
      </c>
      <c r="O64" s="612">
        <v>76.03</v>
      </c>
      <c r="P64" s="612">
        <v>76.97</v>
      </c>
      <c r="Q64" s="589">
        <f t="shared" si="1"/>
        <v>71.33</v>
      </c>
    </row>
    <row r="65" spans="1:18" ht="15">
      <c r="A65" s="580">
        <v>4350</v>
      </c>
      <c r="B65" s="611" t="s">
        <v>517</v>
      </c>
      <c r="C65" s="430"/>
      <c r="D65" s="612">
        <v>1022.62</v>
      </c>
      <c r="E65" s="612">
        <v>1047.31</v>
      </c>
      <c r="F65" s="612">
        <v>1072</v>
      </c>
      <c r="G65" s="612">
        <v>1096.69</v>
      </c>
      <c r="H65" s="612">
        <v>1121.3800000000001</v>
      </c>
      <c r="I65" s="612">
        <v>1146.07</v>
      </c>
      <c r="J65" s="612">
        <v>1170.76</v>
      </c>
      <c r="K65" s="612">
        <v>1195.45</v>
      </c>
      <c r="L65" s="612">
        <v>1220.1400000000001</v>
      </c>
      <c r="M65" s="612">
        <v>1244.83</v>
      </c>
      <c r="N65" s="612">
        <v>1269.52</v>
      </c>
      <c r="O65" s="612">
        <v>1294.21</v>
      </c>
      <c r="P65" s="612">
        <v>1318.90</v>
      </c>
      <c r="Q65" s="589">
        <f t="shared" si="1"/>
        <v>1170.76</v>
      </c>
      <c r="R65" s="284">
        <f>SUM(Q39:Q65)</f>
        <v>5244049.1799999988</v>
      </c>
    </row>
    <row r="66" spans="1:17" ht="15">
      <c r="A66" s="533">
        <v>6665</v>
      </c>
      <c r="B66" s="528" t="s">
        <v>425</v>
      </c>
      <c r="D66" s="529"/>
      <c r="E66" s="529">
        <v>7753</v>
      </c>
      <c r="F66" s="529">
        <v>7753</v>
      </c>
      <c r="G66" s="529">
        <v>7753</v>
      </c>
      <c r="H66" s="529">
        <v>7753</v>
      </c>
      <c r="I66" s="529">
        <v>8363.3100000000013</v>
      </c>
      <c r="J66" s="529">
        <v>8363.3100000000013</v>
      </c>
      <c r="K66" s="529">
        <v>8363.3100000000013</v>
      </c>
      <c r="L66" s="529">
        <v>8372.7100000000009</v>
      </c>
      <c r="M66" s="529">
        <v>8367.44</v>
      </c>
      <c r="N66" s="529">
        <v>8367.44</v>
      </c>
      <c r="O66" s="529">
        <v>8367.44</v>
      </c>
      <c r="P66" s="529">
        <v>8371.33</v>
      </c>
      <c r="Q66" s="535">
        <f>SUM(E66:P66)</f>
        <v>97948.29</v>
      </c>
    </row>
    <row r="67" spans="1:17" ht="15">
      <c r="A67" s="533">
        <v>6695</v>
      </c>
      <c r="B67" s="528" t="s">
        <v>428</v>
      </c>
      <c r="D67" s="529"/>
      <c r="E67" s="529">
        <v>3.78</v>
      </c>
      <c r="F67" s="529">
        <v>3.78</v>
      </c>
      <c r="G67" s="529">
        <v>3.78</v>
      </c>
      <c r="H67" s="529">
        <v>3.78</v>
      </c>
      <c r="I67" s="529">
        <v>3.78</v>
      </c>
      <c r="J67" s="529">
        <v>3.78</v>
      </c>
      <c r="K67" s="529">
        <v>3.78</v>
      </c>
      <c r="L67" s="529">
        <v>3.78</v>
      </c>
      <c r="M67" s="529">
        <v>3.78</v>
      </c>
      <c r="N67" s="529">
        <v>3.78</v>
      </c>
      <c r="O67" s="529">
        <v>3.78</v>
      </c>
      <c r="P67" s="529">
        <v>3.78</v>
      </c>
      <c r="Q67" s="535">
        <f t="shared" si="2" ref="Q67:Q89">SUM(E67:P67)</f>
        <v>45.360000000000007</v>
      </c>
    </row>
    <row r="68" spans="1:17" ht="15">
      <c r="A68" s="533">
        <v>6760</v>
      </c>
      <c r="B68" s="528" t="s">
        <v>284</v>
      </c>
      <c r="D68" s="529"/>
      <c r="E68" s="529">
        <v>483.27</v>
      </c>
      <c r="F68" s="529">
        <v>483.27</v>
      </c>
      <c r="G68" s="529">
        <v>483.27</v>
      </c>
      <c r="H68" s="529">
        <v>483.27</v>
      </c>
      <c r="I68" s="529">
        <v>483.27</v>
      </c>
      <c r="J68" s="529">
        <v>483.27</v>
      </c>
      <c r="K68" s="529">
        <v>483.27</v>
      </c>
      <c r="L68" s="529">
        <v>483.27</v>
      </c>
      <c r="M68" s="529">
        <v>483.27</v>
      </c>
      <c r="N68" s="529">
        <v>483.27</v>
      </c>
      <c r="O68" s="529">
        <v>483.27</v>
      </c>
      <c r="P68" s="529">
        <v>483.27</v>
      </c>
      <c r="Q68" s="535">
        <f t="shared" si="2"/>
        <v>5799.2400000000016</v>
      </c>
    </row>
    <row r="69" spans="1:17" ht="15">
      <c r="A69" s="533">
        <v>6765</v>
      </c>
      <c r="B69" s="528" t="s">
        <v>285</v>
      </c>
      <c r="D69" s="529"/>
      <c r="E69" s="529">
        <v>20012.949999999997</v>
      </c>
      <c r="F69" s="529">
        <v>20043.09</v>
      </c>
      <c r="G69" s="529">
        <v>20041.93</v>
      </c>
      <c r="H69" s="529">
        <v>20043.18</v>
      </c>
      <c r="I69" s="529">
        <v>20059.699999999997</v>
      </c>
      <c r="J69" s="529">
        <v>20055.59</v>
      </c>
      <c r="K69" s="529">
        <v>20076.519999999997</v>
      </c>
      <c r="L69" s="529">
        <v>20075.71</v>
      </c>
      <c r="M69" s="529">
        <v>20075.759999999998</v>
      </c>
      <c r="N69" s="529">
        <v>20128.239999999998</v>
      </c>
      <c r="O69" s="529">
        <v>20096.310000000001</v>
      </c>
      <c r="P69" s="529">
        <v>20097.790000000005</v>
      </c>
      <c r="Q69" s="535">
        <f t="shared" si="2"/>
        <v>240806.77</v>
      </c>
    </row>
    <row r="70" spans="1:17" ht="15">
      <c r="A70" s="533">
        <v>6775</v>
      </c>
      <c r="B70" s="528" t="s">
        <v>434</v>
      </c>
      <c r="D70" s="529"/>
      <c r="E70" s="529">
        <v>1128.79</v>
      </c>
      <c r="F70" s="529">
        <v>1128.79</v>
      </c>
      <c r="G70" s="529">
        <v>1128.79</v>
      </c>
      <c r="H70" s="529">
        <v>1128.79</v>
      </c>
      <c r="I70" s="529">
        <v>1128.79</v>
      </c>
      <c r="J70" s="529">
        <v>1128.79</v>
      </c>
      <c r="K70" s="529">
        <v>1128.79</v>
      </c>
      <c r="L70" s="529">
        <v>1128.79</v>
      </c>
      <c r="M70" s="529">
        <v>1128.79</v>
      </c>
      <c r="N70" s="529">
        <v>1128.79</v>
      </c>
      <c r="O70" s="529">
        <v>1128.79</v>
      </c>
      <c r="P70" s="529">
        <v>1128.79</v>
      </c>
      <c r="Q70" s="535">
        <f t="shared" si="2"/>
        <v>13545.480000000003</v>
      </c>
    </row>
    <row r="71" spans="1:17" ht="15">
      <c r="A71" s="533">
        <v>6785</v>
      </c>
      <c r="B71" s="528" t="s">
        <v>435</v>
      </c>
      <c r="D71" s="529"/>
      <c r="E71" s="529">
        <v>5.68</v>
      </c>
      <c r="F71" s="529">
        <v>5.68</v>
      </c>
      <c r="G71" s="529">
        <v>5.68</v>
      </c>
      <c r="H71" s="529">
        <v>5.68</v>
      </c>
      <c r="I71" s="529">
        <v>5.68</v>
      </c>
      <c r="J71" s="529">
        <v>5.68</v>
      </c>
      <c r="K71" s="529">
        <v>5.68</v>
      </c>
      <c r="L71" s="529">
        <v>5.68</v>
      </c>
      <c r="M71" s="529">
        <v>5.68</v>
      </c>
      <c r="N71" s="529">
        <v>5.68</v>
      </c>
      <c r="O71" s="529">
        <v>5.69</v>
      </c>
      <c r="P71" s="529">
        <v>5.69</v>
      </c>
      <c r="Q71" s="535">
        <f t="shared" si="2"/>
        <v>68.179999999999993</v>
      </c>
    </row>
    <row r="72" spans="1:17" ht="15">
      <c r="A72" s="534">
        <v>7225</v>
      </c>
      <c r="B72" s="528" t="s">
        <v>444</v>
      </c>
      <c r="D72" s="529"/>
      <c r="E72" s="529">
        <v>-6060.92</v>
      </c>
      <c r="F72" s="529">
        <v>-6060.92</v>
      </c>
      <c r="G72" s="529">
        <v>-6060.92</v>
      </c>
      <c r="H72" s="529">
        <v>-6060.92</v>
      </c>
      <c r="I72" s="529">
        <v>-6060.92</v>
      </c>
      <c r="J72" s="529">
        <v>-6060.92</v>
      </c>
      <c r="K72" s="529">
        <v>-6060.92</v>
      </c>
      <c r="L72" s="529">
        <v>-6060.92</v>
      </c>
      <c r="M72" s="529">
        <v>-6060.92</v>
      </c>
      <c r="N72" s="529">
        <v>-6060.92</v>
      </c>
      <c r="O72" s="529">
        <v>-6060.92</v>
      </c>
      <c r="P72" s="529">
        <v>-6060.92</v>
      </c>
      <c r="Q72" s="535">
        <f t="shared" si="2"/>
        <v>-72731.039999999994</v>
      </c>
    </row>
    <row r="73" spans="1:17" ht="15">
      <c r="A73" s="534">
        <v>7230</v>
      </c>
      <c r="B73" s="528" t="s">
        <v>484</v>
      </c>
      <c r="D73" s="529"/>
      <c r="E73" s="529">
        <v>-5800.58</v>
      </c>
      <c r="F73" s="529">
        <v>-5800.58</v>
      </c>
      <c r="G73" s="529">
        <v>-5800.58</v>
      </c>
      <c r="H73" s="529">
        <v>-5800.58</v>
      </c>
      <c r="I73" s="529">
        <v>-6410.8899999999994</v>
      </c>
      <c r="J73" s="529">
        <v>-6410.8899999999994</v>
      </c>
      <c r="K73" s="529">
        <v>-6410.8899999999994</v>
      </c>
      <c r="L73" s="529">
        <v>-6410.8899999999994</v>
      </c>
      <c r="M73" s="529">
        <v>-6410.8899999999994</v>
      </c>
      <c r="N73" s="529">
        <v>-6410.8899999999994</v>
      </c>
      <c r="O73" s="529">
        <v>-6410.8899999999994</v>
      </c>
      <c r="P73" s="529">
        <v>-6410.8899999999994</v>
      </c>
      <c r="Q73" s="535">
        <f t="shared" si="2"/>
        <v>-74489.439999999988</v>
      </c>
    </row>
    <row r="74" spans="1:17" ht="15">
      <c r="A74" s="534">
        <v>7275</v>
      </c>
      <c r="B74" s="528" t="s">
        <v>445</v>
      </c>
      <c r="D74" s="529"/>
      <c r="E74" s="529">
        <v>-3168.4500000000003</v>
      </c>
      <c r="F74" s="529">
        <v>-3168.4500000000003</v>
      </c>
      <c r="G74" s="529">
        <v>-3168.4500000000003</v>
      </c>
      <c r="H74" s="529">
        <v>-3168.4500000000003</v>
      </c>
      <c r="I74" s="529">
        <v>-3194.40</v>
      </c>
      <c r="J74" s="529">
        <v>-3194.40</v>
      </c>
      <c r="K74" s="529">
        <v>-3194.40</v>
      </c>
      <c r="L74" s="529">
        <v>-3194.40</v>
      </c>
      <c r="M74" s="529">
        <v>-3194.40</v>
      </c>
      <c r="N74" s="529">
        <v>-3194.40</v>
      </c>
      <c r="O74" s="529">
        <v>-3194.40</v>
      </c>
      <c r="P74" s="529">
        <v>-3194.40</v>
      </c>
      <c r="Q74" s="535">
        <f t="shared" si="2"/>
        <v>-38229.000000000007</v>
      </c>
    </row>
    <row r="75" spans="1:17" ht="15">
      <c r="A75" s="534">
        <v>7280</v>
      </c>
      <c r="B75" s="528" t="s">
        <v>446</v>
      </c>
      <c r="D75" s="529"/>
      <c r="E75" s="529">
        <v>-4429.1799999999994</v>
      </c>
      <c r="F75" s="529">
        <v>-4429.1799999999994</v>
      </c>
      <c r="G75" s="529">
        <v>-4588.6499999999987</v>
      </c>
      <c r="H75" s="529">
        <v>-4588.6499999999987</v>
      </c>
      <c r="I75" s="529">
        <v>-5010.0899999999992</v>
      </c>
      <c r="J75" s="529">
        <v>-5010.0899999999992</v>
      </c>
      <c r="K75" s="529">
        <v>-5203.3999999999996</v>
      </c>
      <c r="L75" s="529">
        <v>-5203.3999999999996</v>
      </c>
      <c r="M75" s="529">
        <v>-5203.3999999999996</v>
      </c>
      <c r="N75" s="529">
        <v>-5203.3999999999996</v>
      </c>
      <c r="O75" s="529">
        <v>-5203.3999999999996</v>
      </c>
      <c r="P75" s="529">
        <v>-5203.3999999999996</v>
      </c>
      <c r="Q75" s="535">
        <f t="shared" si="2"/>
        <v>-59276.240000000005</v>
      </c>
    </row>
    <row r="76" spans="1:17" ht="15">
      <c r="A76" s="534">
        <v>7283</v>
      </c>
      <c r="B76" s="528" t="s">
        <v>447</v>
      </c>
      <c r="D76" s="529"/>
      <c r="E76" s="529">
        <v>-2881.18</v>
      </c>
      <c r="F76" s="529">
        <v>-2881.18</v>
      </c>
      <c r="G76" s="529">
        <v>-2923.72</v>
      </c>
      <c r="H76" s="529">
        <v>-2923.72</v>
      </c>
      <c r="I76" s="529">
        <v>-3423.16</v>
      </c>
      <c r="J76" s="529">
        <v>-3423.1499999999996</v>
      </c>
      <c r="K76" s="529">
        <v>-3521.16</v>
      </c>
      <c r="L76" s="529">
        <v>-3521.16</v>
      </c>
      <c r="M76" s="529">
        <v>-3693.46</v>
      </c>
      <c r="N76" s="529">
        <v>-3693.46</v>
      </c>
      <c r="O76" s="529">
        <v>-3693.46</v>
      </c>
      <c r="P76" s="529">
        <v>-3693.46</v>
      </c>
      <c r="Q76" s="535">
        <f t="shared" si="2"/>
        <v>-40272.269999999997</v>
      </c>
    </row>
    <row r="77" spans="1:17" ht="15">
      <c r="A77" s="534">
        <v>7290</v>
      </c>
      <c r="B77" s="528" t="s">
        <v>448</v>
      </c>
      <c r="D77" s="529"/>
      <c r="E77" s="529">
        <v>-1176.33</v>
      </c>
      <c r="F77" s="529">
        <v>-1176.33</v>
      </c>
      <c r="G77" s="529">
        <v>-1310.3600000000001</v>
      </c>
      <c r="H77" s="529">
        <v>-1310.3600000000001</v>
      </c>
      <c r="I77" s="529">
        <v>-1562.48</v>
      </c>
      <c r="J77" s="529">
        <v>-1562.48</v>
      </c>
      <c r="K77" s="529">
        <v>-1649.39</v>
      </c>
      <c r="L77" s="529">
        <v>-1649.39</v>
      </c>
      <c r="M77" s="529">
        <v>-1821.34</v>
      </c>
      <c r="N77" s="529">
        <v>-1821.34</v>
      </c>
      <c r="O77" s="529">
        <v>-1821.34</v>
      </c>
      <c r="P77" s="529">
        <v>-1821.34</v>
      </c>
      <c r="Q77" s="535">
        <f t="shared" si="2"/>
        <v>-18682.48</v>
      </c>
    </row>
    <row r="78" spans="1:17" ht="15">
      <c r="A78" s="534">
        <v>7315</v>
      </c>
      <c r="B78" s="528" t="s">
        <v>489</v>
      </c>
      <c r="D78" s="529"/>
      <c r="E78" s="529">
        <v>-64.680000000000007</v>
      </c>
      <c r="F78" s="529">
        <v>-64.680000000000007</v>
      </c>
      <c r="G78" s="529">
        <v>-64.680000000000007</v>
      </c>
      <c r="H78" s="529">
        <v>-64.680000000000007</v>
      </c>
      <c r="I78" s="529">
        <v>-64.680000000000007</v>
      </c>
      <c r="J78" s="529">
        <v>-64.680000000000007</v>
      </c>
      <c r="K78" s="529">
        <v>-64.680000000000007</v>
      </c>
      <c r="L78" s="529">
        <v>-64.680000000000007</v>
      </c>
      <c r="M78" s="529">
        <v>-64.680000000000007</v>
      </c>
      <c r="N78" s="529">
        <v>-64.680000000000007</v>
      </c>
      <c r="O78" s="529">
        <v>-64.680000000000007</v>
      </c>
      <c r="P78" s="529">
        <v>-64.680000000000007</v>
      </c>
      <c r="Q78" s="535">
        <f t="shared" si="2"/>
        <v>-776.16000000000031</v>
      </c>
    </row>
    <row r="79" spans="1:17" ht="15">
      <c r="A79" s="534">
        <v>7325</v>
      </c>
      <c r="B79" s="528" t="s">
        <v>449</v>
      </c>
      <c r="D79" s="529"/>
      <c r="E79" s="529">
        <v>-69.22</v>
      </c>
      <c r="F79" s="529">
        <v>-69.22</v>
      </c>
      <c r="G79" s="529">
        <v>-69.22</v>
      </c>
      <c r="H79" s="529">
        <v>-69.22</v>
      </c>
      <c r="I79" s="529">
        <v>-69.22</v>
      </c>
      <c r="J79" s="529">
        <v>-69.22</v>
      </c>
      <c r="K79" s="529">
        <v>-69.22</v>
      </c>
      <c r="L79" s="529">
        <v>-69.22</v>
      </c>
      <c r="M79" s="529">
        <v>-69.22</v>
      </c>
      <c r="N79" s="529">
        <v>-69.22</v>
      </c>
      <c r="O79" s="529">
        <v>-69.22</v>
      </c>
      <c r="P79" s="529">
        <v>-69.22</v>
      </c>
      <c r="Q79" s="535">
        <f t="shared" si="2"/>
        <v>-830.64000000000021</v>
      </c>
    </row>
    <row r="80" spans="1:17" ht="15">
      <c r="A80" s="534">
        <v>7330</v>
      </c>
      <c r="B80" s="528" t="s">
        <v>449</v>
      </c>
      <c r="D80" s="529"/>
      <c r="E80" s="529">
        <v>-960.02</v>
      </c>
      <c r="F80" s="529">
        <v>-960.02</v>
      </c>
      <c r="G80" s="529">
        <v>-960.02</v>
      </c>
      <c r="H80" s="529">
        <v>-960.02</v>
      </c>
      <c r="I80" s="529">
        <v>-960.02</v>
      </c>
      <c r="J80" s="529">
        <v>-960.02</v>
      </c>
      <c r="K80" s="529">
        <v>-960.02</v>
      </c>
      <c r="L80" s="529">
        <v>-960.02</v>
      </c>
      <c r="M80" s="529">
        <v>-960.02</v>
      </c>
      <c r="N80" s="529">
        <v>-960.02</v>
      </c>
      <c r="O80" s="529">
        <v>-960.02</v>
      </c>
      <c r="P80" s="529">
        <v>-960.02</v>
      </c>
      <c r="Q80" s="535">
        <f t="shared" si="2"/>
        <v>-11520.240000000003</v>
      </c>
    </row>
    <row r="81" spans="1:17" ht="15">
      <c r="A81" s="534">
        <v>7350</v>
      </c>
      <c r="B81" s="528" t="s">
        <v>490</v>
      </c>
      <c r="D81" s="529"/>
      <c r="E81" s="529">
        <v>-6.58</v>
      </c>
      <c r="F81" s="529">
        <v>-6.58</v>
      </c>
      <c r="G81" s="529">
        <v>-6.58</v>
      </c>
      <c r="H81" s="529">
        <v>-6.58</v>
      </c>
      <c r="I81" s="529">
        <v>-6.58</v>
      </c>
      <c r="J81" s="529">
        <v>-6.58</v>
      </c>
      <c r="K81" s="529">
        <v>-6.58</v>
      </c>
      <c r="L81" s="529">
        <v>-6.58</v>
      </c>
      <c r="M81" s="529">
        <v>-6.58</v>
      </c>
      <c r="N81" s="529">
        <v>-6.58</v>
      </c>
      <c r="O81" s="529">
        <v>-6.58</v>
      </c>
      <c r="P81" s="529">
        <v>-6.58</v>
      </c>
      <c r="Q81" s="535">
        <f t="shared" si="2"/>
        <v>-78.959999999999994</v>
      </c>
    </row>
    <row r="82" spans="1:17" ht="15">
      <c r="A82" s="534">
        <v>7430</v>
      </c>
      <c r="B82" s="528" t="s">
        <v>286</v>
      </c>
      <c r="D82" s="529"/>
      <c r="E82" s="529">
        <v>-2274.59</v>
      </c>
      <c r="F82" s="529">
        <v>-2274.59</v>
      </c>
      <c r="G82" s="529">
        <v>-2274.59</v>
      </c>
      <c r="H82" s="529">
        <v>-2274.59</v>
      </c>
      <c r="I82" s="529">
        <v>-2274.59</v>
      </c>
      <c r="J82" s="529">
        <v>-2274.59</v>
      </c>
      <c r="K82" s="529">
        <v>-2274.59</v>
      </c>
      <c r="L82" s="529">
        <v>-2274.59</v>
      </c>
      <c r="M82" s="529">
        <v>-2274.59</v>
      </c>
      <c r="N82" s="529">
        <v>-2274.59</v>
      </c>
      <c r="O82" s="529">
        <v>-2274.59</v>
      </c>
      <c r="P82" s="529">
        <v>-2274.59</v>
      </c>
      <c r="Q82" s="535">
        <f t="shared" si="2"/>
        <v>-27295.08</v>
      </c>
    </row>
    <row r="83" spans="1:17" ht="15">
      <c r="A83" s="534">
        <v>7437</v>
      </c>
      <c r="B83" s="528" t="s">
        <v>491</v>
      </c>
      <c r="D83" s="529"/>
      <c r="E83" s="529">
        <v>-1319.04</v>
      </c>
      <c r="F83" s="529">
        <v>-1319.04</v>
      </c>
      <c r="G83" s="529">
        <v>-1319.04</v>
      </c>
      <c r="H83" s="529">
        <v>-1559.87</v>
      </c>
      <c r="I83" s="529">
        <v>-1559.87</v>
      </c>
      <c r="J83" s="529">
        <v>-1559.87</v>
      </c>
      <c r="K83" s="529">
        <v>-1559.87</v>
      </c>
      <c r="L83" s="529">
        <v>-1559.87</v>
      </c>
      <c r="M83" s="529">
        <v>-1559.87</v>
      </c>
      <c r="N83" s="529">
        <v>-1559.87</v>
      </c>
      <c r="O83" s="529">
        <v>-1559.87</v>
      </c>
      <c r="P83" s="529">
        <v>-1684.17</v>
      </c>
      <c r="Q83" s="535">
        <f t="shared" si="2"/>
        <v>-18120.249999999993</v>
      </c>
    </row>
    <row r="84" spans="1:17" ht="15">
      <c r="A84" s="534">
        <v>7440</v>
      </c>
      <c r="B84" s="528" t="s">
        <v>450</v>
      </c>
      <c r="D84" s="529"/>
      <c r="E84" s="529">
        <v>-1594.76</v>
      </c>
      <c r="F84" s="529">
        <v>-1594.76</v>
      </c>
      <c r="G84" s="529">
        <v>-1594.76</v>
      </c>
      <c r="H84" s="529">
        <v>-1702.87</v>
      </c>
      <c r="I84" s="529">
        <v>-1702.87</v>
      </c>
      <c r="J84" s="529">
        <v>-1702.87</v>
      </c>
      <c r="K84" s="529">
        <v>-1702.87</v>
      </c>
      <c r="L84" s="529">
        <v>-1702.87</v>
      </c>
      <c r="M84" s="529">
        <v>-1702.87</v>
      </c>
      <c r="N84" s="529">
        <v>-1702.87</v>
      </c>
      <c r="O84" s="529">
        <v>-1702.87</v>
      </c>
      <c r="P84" s="529">
        <v>-1758.67</v>
      </c>
      <c r="Q84" s="535">
        <f t="shared" si="2"/>
        <v>-20165.909999999996</v>
      </c>
    </row>
    <row r="85" spans="1:17" ht="15">
      <c r="A85" s="534">
        <v>7445</v>
      </c>
      <c r="B85" s="528" t="s">
        <v>451</v>
      </c>
      <c r="D85" s="529"/>
      <c r="E85" s="529">
        <v>-59.59</v>
      </c>
      <c r="F85" s="529">
        <v>-59.59</v>
      </c>
      <c r="G85" s="529">
        <v>-59.59</v>
      </c>
      <c r="H85" s="529">
        <v>-59.59</v>
      </c>
      <c r="I85" s="529">
        <v>-59.59</v>
      </c>
      <c r="J85" s="529">
        <v>-59.59</v>
      </c>
      <c r="K85" s="529">
        <v>-59.59</v>
      </c>
      <c r="L85" s="529">
        <v>-59.59</v>
      </c>
      <c r="M85" s="529">
        <v>-59.59</v>
      </c>
      <c r="N85" s="529">
        <v>-59.59</v>
      </c>
      <c r="O85" s="529">
        <v>-59.59</v>
      </c>
      <c r="P85" s="529">
        <v>-59.59</v>
      </c>
      <c r="Q85" s="535">
        <f t="shared" si="2"/>
        <v>-715.08000000000027</v>
      </c>
    </row>
    <row r="86" spans="1:17" ht="15">
      <c r="A86" s="534">
        <v>7450</v>
      </c>
      <c r="B86" s="528" t="s">
        <v>492</v>
      </c>
      <c r="D86" s="529"/>
      <c r="E86" s="529">
        <v>-3.85</v>
      </c>
      <c r="F86" s="529">
        <v>-3.85</v>
      </c>
      <c r="G86" s="529">
        <v>-3.85</v>
      </c>
      <c r="H86" s="529">
        <v>-3.85</v>
      </c>
      <c r="I86" s="529">
        <v>-3.85</v>
      </c>
      <c r="J86" s="529">
        <v>-3.85</v>
      </c>
      <c r="K86" s="529">
        <v>-3.85</v>
      </c>
      <c r="L86" s="529">
        <v>-3.85</v>
      </c>
      <c r="M86" s="529">
        <v>-3.85</v>
      </c>
      <c r="N86" s="529">
        <v>-3.85</v>
      </c>
      <c r="O86" s="529">
        <v>-3.85</v>
      </c>
      <c r="P86" s="529">
        <v>-3.85</v>
      </c>
      <c r="Q86" s="535">
        <f t="shared" si="2"/>
        <v>-46.20000000000001</v>
      </c>
    </row>
    <row r="87" spans="1:17" ht="15">
      <c r="A87" s="534">
        <v>7545</v>
      </c>
      <c r="B87" s="619" t="s">
        <v>453</v>
      </c>
      <c r="C87" s="619"/>
      <c r="D87" s="620"/>
      <c r="E87" s="620">
        <v>0</v>
      </c>
      <c r="F87" s="620">
        <v>0</v>
      </c>
      <c r="G87" s="620">
        <v>0</v>
      </c>
      <c r="H87" s="620">
        <v>0</v>
      </c>
      <c r="I87" s="620">
        <v>0</v>
      </c>
      <c r="J87" s="620">
        <v>0</v>
      </c>
      <c r="K87" s="620">
        <v>0</v>
      </c>
      <c r="L87" s="620">
        <v>0</v>
      </c>
      <c r="M87" s="620">
        <v>0</v>
      </c>
      <c r="N87" s="620">
        <v>0</v>
      </c>
      <c r="O87" s="620">
        <v>258768.96</v>
      </c>
      <c r="P87" s="620">
        <v>0</v>
      </c>
      <c r="Q87" s="535">
        <f t="shared" si="2"/>
        <v>258768.96</v>
      </c>
    </row>
    <row r="88" spans="1:17" ht="15">
      <c r="A88" s="534">
        <v>7550</v>
      </c>
      <c r="B88" s="619" t="s">
        <v>454</v>
      </c>
      <c r="C88" s="619"/>
      <c r="D88" s="620"/>
      <c r="E88" s="620">
        <v>-149474.41999999998</v>
      </c>
      <c r="F88" s="620">
        <v>40316.059999999954</v>
      </c>
      <c r="G88" s="620">
        <v>40330.76</v>
      </c>
      <c r="H88" s="620">
        <v>40302.080000000009</v>
      </c>
      <c r="I88" s="620">
        <v>40197.08</v>
      </c>
      <c r="J88" s="620">
        <v>40332.56</v>
      </c>
      <c r="K88" s="620">
        <v>-171863.86000000002</v>
      </c>
      <c r="L88" s="620">
        <v>40333.42</v>
      </c>
      <c r="M88" s="620">
        <v>40108.680000000008</v>
      </c>
      <c r="N88" s="620">
        <v>40329.839999999997</v>
      </c>
      <c r="O88" s="620">
        <v>-231632.75</v>
      </c>
      <c r="P88" s="620">
        <v>230745.10</v>
      </c>
      <c r="Q88" s="535">
        <f t="shared" si="2"/>
        <v>24.549999999959255</v>
      </c>
    </row>
    <row r="89" spans="1:17" ht="15">
      <c r="A89" s="534">
        <v>7555</v>
      </c>
      <c r="B89" s="619" t="s">
        <v>455</v>
      </c>
      <c r="C89" s="619"/>
      <c r="D89" s="620"/>
      <c r="E89" s="620">
        <v>0</v>
      </c>
      <c r="F89" s="620">
        <v>2472.58</v>
      </c>
      <c r="G89" s="620">
        <v>0</v>
      </c>
      <c r="H89" s="620">
        <v>0</v>
      </c>
      <c r="I89" s="620">
        <v>0</v>
      </c>
      <c r="J89" s="620">
        <v>0</v>
      </c>
      <c r="K89" s="620">
        <v>2200.4200000000005</v>
      </c>
      <c r="L89" s="620">
        <v>0</v>
      </c>
      <c r="M89" s="620">
        <v>0</v>
      </c>
      <c r="N89" s="620">
        <v>0</v>
      </c>
      <c r="O89" s="620">
        <v>13198.260000000002</v>
      </c>
      <c r="P89" s="620">
        <v>-5.5500000000000007</v>
      </c>
      <c r="Q89" s="535">
        <f t="shared" si="2"/>
        <v>17865.710000000003</v>
      </c>
    </row>
  </sheetData>
  <pageMargins left="0.7" right="0.7" top="0.75" bottom="0.75" header="0.3" footer="0.3"/>
  <pageSetup orientation="portrait" r:id="rId1"/>
  <headerFooter>
    <oddFooter>&amp;L&amp;"Times New Roman,Regular"&amp;9O3129680.v1</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R14"/>
  <sheetViews>
    <sheetView workbookViewId="0" topLeftCell="A1"/>
  </sheetViews>
  <sheetFormatPr defaultRowHeight="15"/>
  <cols>
    <col min="1" max="1" width="6.57142857142857" bestFit="1" customWidth="1"/>
    <col min="2" max="2" width="27" bestFit="1" customWidth="1"/>
    <col min="4" max="18" width="11.1428571428571" bestFit="1" customWidth="1"/>
  </cols>
  <sheetData>
    <row r="1" spans="1:17" s="664" customFormat="1" ht="15">
      <c r="A1" s="699" t="s">
        <v>218</v>
      </c>
      <c r="B1" s="700" t="s">
        <v>219</v>
      </c>
      <c r="C1" s="701"/>
      <c r="D1" s="701" t="s">
        <v>281</v>
      </c>
      <c r="E1" s="701" t="s">
        <v>221</v>
      </c>
      <c r="F1" s="701" t="s">
        <v>222</v>
      </c>
      <c r="G1" s="701" t="s">
        <v>223</v>
      </c>
      <c r="H1" s="701" t="s">
        <v>224</v>
      </c>
      <c r="I1" s="701" t="s">
        <v>225</v>
      </c>
      <c r="J1" s="701" t="s">
        <v>226</v>
      </c>
      <c r="K1" s="701" t="s">
        <v>227</v>
      </c>
      <c r="L1" s="701" t="s">
        <v>228</v>
      </c>
      <c r="M1" s="701" t="s">
        <v>229</v>
      </c>
      <c r="N1" s="701" t="s">
        <v>230</v>
      </c>
      <c r="O1" s="701" t="s">
        <v>231</v>
      </c>
      <c r="P1" s="701" t="s">
        <v>220</v>
      </c>
      <c r="Q1" s="702"/>
    </row>
    <row r="2" spans="1:18" s="664" customFormat="1" ht="15">
      <c r="A2" s="703">
        <v>1270</v>
      </c>
      <c r="B2" s="704" t="s">
        <v>233</v>
      </c>
      <c r="C2" s="702"/>
      <c r="D2" s="705">
        <v>19458.88</v>
      </c>
      <c r="E2" s="705">
        <v>19458.88</v>
      </c>
      <c r="F2" s="705">
        <v>19458.88</v>
      </c>
      <c r="G2" s="705">
        <v>19458.88</v>
      </c>
      <c r="H2" s="705">
        <v>19458.88</v>
      </c>
      <c r="I2" s="705">
        <v>19458.88</v>
      </c>
      <c r="J2" s="705">
        <v>19458.88</v>
      </c>
      <c r="K2" s="705">
        <v>19458.88</v>
      </c>
      <c r="L2" s="705">
        <v>19458.88</v>
      </c>
      <c r="M2" s="705">
        <v>19458.88</v>
      </c>
      <c r="N2" s="705">
        <v>19458.88</v>
      </c>
      <c r="O2" s="705">
        <v>19458.88</v>
      </c>
      <c r="P2" s="705">
        <v>19458.88</v>
      </c>
      <c r="R2" s="706">
        <f>+AVERAGE(D2:P2)</f>
        <v>19458.88</v>
      </c>
    </row>
    <row r="3" spans="1:18" s="664" customFormat="1" ht="15">
      <c r="A3" s="703">
        <v>1300</v>
      </c>
      <c r="B3" s="704" t="s">
        <v>236</v>
      </c>
      <c r="C3" s="702"/>
      <c r="D3" s="705">
        <v>2969397.29</v>
      </c>
      <c r="E3" s="705">
        <v>2969397.29</v>
      </c>
      <c r="F3" s="705">
        <v>2969397.29</v>
      </c>
      <c r="G3" s="705">
        <v>2969397.29</v>
      </c>
      <c r="H3" s="705">
        <v>2969397.29</v>
      </c>
      <c r="I3" s="705">
        <v>3203144.24</v>
      </c>
      <c r="J3" s="705">
        <v>3203144.24</v>
      </c>
      <c r="K3" s="705">
        <v>3203144.24</v>
      </c>
      <c r="L3" s="705">
        <v>3204725.84</v>
      </c>
      <c r="M3" s="705">
        <v>3204725.84</v>
      </c>
      <c r="N3" s="705">
        <v>3204725.84</v>
      </c>
      <c r="O3" s="705">
        <v>3204725.84</v>
      </c>
      <c r="P3" s="705">
        <v>3206215.84</v>
      </c>
      <c r="R3" s="706">
        <f>+AVERAGE(D3:P3)</f>
        <v>3113964.49</v>
      </c>
    </row>
    <row r="4" spans="1:18" s="711" customFormat="1" ht="11.25" customHeight="1">
      <c r="A4" s="707"/>
      <c r="B4" s="708" t="s">
        <v>654</v>
      </c>
      <c r="C4" s="708"/>
      <c r="D4" s="709"/>
      <c r="E4" s="709">
        <f t="shared" si="0" ref="E4:P4">+E3-D3</f>
        <v>0</v>
      </c>
      <c r="F4" s="709">
        <f t="shared" si="0"/>
        <v>0</v>
      </c>
      <c r="G4" s="709">
        <f t="shared" si="0"/>
        <v>0</v>
      </c>
      <c r="H4" s="709">
        <f t="shared" si="0"/>
        <v>0</v>
      </c>
      <c r="I4" s="709">
        <f t="shared" si="0"/>
        <v>233746.95000000019</v>
      </c>
      <c r="J4" s="709">
        <f t="shared" si="0"/>
        <v>0</v>
      </c>
      <c r="K4" s="709">
        <f t="shared" si="0"/>
        <v>0</v>
      </c>
      <c r="L4" s="709">
        <f t="shared" si="0"/>
        <v>1581.5999999996275</v>
      </c>
      <c r="M4" s="709">
        <f t="shared" si="0"/>
        <v>0</v>
      </c>
      <c r="N4" s="709">
        <f t="shared" si="0"/>
        <v>0</v>
      </c>
      <c r="O4" s="709">
        <f t="shared" si="0"/>
        <v>0</v>
      </c>
      <c r="P4" s="709">
        <f t="shared" si="0"/>
        <v>1490</v>
      </c>
      <c r="Q4" s="709"/>
      <c r="R4" s="710"/>
    </row>
    <row r="5" spans="1:18" s="711" customFormat="1" ht="11.25" customHeight="1">
      <c r="A5" s="707"/>
      <c r="B5" s="708" t="s">
        <v>655</v>
      </c>
      <c r="C5" s="708"/>
      <c r="D5" s="709"/>
      <c r="E5" s="709">
        <v>1</v>
      </c>
      <c r="F5" s="709">
        <v>2</v>
      </c>
      <c r="G5" s="709">
        <v>3</v>
      </c>
      <c r="H5" s="709">
        <v>4</v>
      </c>
      <c r="I5" s="709">
        <v>5</v>
      </c>
      <c r="J5" s="709">
        <v>6</v>
      </c>
      <c r="K5" s="709">
        <v>7</v>
      </c>
      <c r="L5" s="709">
        <v>8</v>
      </c>
      <c r="M5" s="709">
        <v>9</v>
      </c>
      <c r="N5" s="709">
        <v>10</v>
      </c>
      <c r="O5" s="709">
        <v>11</v>
      </c>
      <c r="P5" s="709">
        <v>12</v>
      </c>
      <c r="Q5" s="709"/>
      <c r="R5" s="710"/>
    </row>
    <row r="6" spans="1:18" s="711" customFormat="1" ht="11.25" customHeight="1">
      <c r="A6" s="707"/>
      <c r="B6" s="712">
        <v>0.03125</v>
      </c>
      <c r="C6" s="708"/>
      <c r="D6" s="709"/>
      <c r="E6" s="709">
        <f t="shared" si="1" ref="E6:P6">+E4*($B6/12)*E5</f>
        <v>0</v>
      </c>
      <c r="F6" s="709">
        <f t="shared" si="1"/>
        <v>0</v>
      </c>
      <c r="G6" s="709">
        <f t="shared" si="1"/>
        <v>0</v>
      </c>
      <c r="H6" s="709">
        <f t="shared" si="1"/>
        <v>0</v>
      </c>
      <c r="I6" s="709">
        <f t="shared" si="1"/>
        <v>3043.5800781250018</v>
      </c>
      <c r="J6" s="709">
        <f t="shared" si="1"/>
        <v>0</v>
      </c>
      <c r="K6" s="709">
        <f t="shared" si="1"/>
        <v>0</v>
      </c>
      <c r="L6" s="709">
        <f t="shared" si="1"/>
        <v>32.949999999992237</v>
      </c>
      <c r="M6" s="709">
        <f t="shared" si="1"/>
        <v>0</v>
      </c>
      <c r="N6" s="709">
        <f t="shared" si="1"/>
        <v>0</v>
      </c>
      <c r="O6" s="709">
        <f t="shared" si="1"/>
        <v>0</v>
      </c>
      <c r="P6" s="709">
        <f t="shared" si="1"/>
        <v>46.5625</v>
      </c>
      <c r="Q6" s="713">
        <f>SUM(E6:P6)</f>
        <v>3123.0925781249939</v>
      </c>
      <c r="R6" s="710"/>
    </row>
    <row r="7" spans="1:18" s="664" customFormat="1" ht="15">
      <c r="A7" s="703">
        <v>1330</v>
      </c>
      <c r="B7" s="704" t="s">
        <v>383</v>
      </c>
      <c r="C7" s="702"/>
      <c r="D7" s="705">
        <v>906.94</v>
      </c>
      <c r="E7" s="705">
        <v>906.94</v>
      </c>
      <c r="F7" s="705">
        <v>906.94</v>
      </c>
      <c r="G7" s="705">
        <v>906.94</v>
      </c>
      <c r="H7" s="705">
        <v>906.94</v>
      </c>
      <c r="I7" s="705">
        <v>906.94</v>
      </c>
      <c r="J7" s="705">
        <v>906.94</v>
      </c>
      <c r="K7" s="705">
        <v>906.94</v>
      </c>
      <c r="L7" s="705">
        <v>906.94</v>
      </c>
      <c r="M7" s="705">
        <v>906.94</v>
      </c>
      <c r="N7" s="705">
        <v>906.94</v>
      </c>
      <c r="O7" s="705">
        <v>906.94</v>
      </c>
      <c r="P7" s="705">
        <v>906.94</v>
      </c>
      <c r="R7" s="706">
        <f>+AVERAGE(D7:P7)</f>
        <v>906.9400000000004</v>
      </c>
    </row>
    <row r="8" spans="1:18" s="664" customFormat="1" ht="15">
      <c r="A8" s="703">
        <v>1395</v>
      </c>
      <c r="B8" s="704" t="s">
        <v>244</v>
      </c>
      <c r="C8" s="702"/>
      <c r="D8" s="705">
        <v>104386.78</v>
      </c>
      <c r="E8" s="705">
        <v>104386.78</v>
      </c>
      <c r="F8" s="705">
        <v>104386.78</v>
      </c>
      <c r="G8" s="705">
        <v>104386.78</v>
      </c>
      <c r="H8" s="705">
        <v>104386.78</v>
      </c>
      <c r="I8" s="705">
        <v>104386.78</v>
      </c>
      <c r="J8" s="705">
        <v>104386.78</v>
      </c>
      <c r="K8" s="705">
        <v>104386.78</v>
      </c>
      <c r="L8" s="705">
        <v>104386.78</v>
      </c>
      <c r="M8" s="705">
        <v>104386.78</v>
      </c>
      <c r="N8" s="705">
        <v>104386.78</v>
      </c>
      <c r="O8" s="705">
        <v>104386.78</v>
      </c>
      <c r="P8" s="705">
        <v>104386.78</v>
      </c>
      <c r="R8" s="706">
        <f>+AVERAGE(D8:P8)</f>
        <v>104386.78000000001</v>
      </c>
    </row>
    <row r="9" spans="1:18" s="664" customFormat="1" ht="15">
      <c r="A9" s="703">
        <v>1400</v>
      </c>
      <c r="B9" s="704" t="s">
        <v>245</v>
      </c>
      <c r="C9" s="702"/>
      <c r="D9" s="705">
        <v>4322799.57</v>
      </c>
      <c r="E9" s="705">
        <v>4322799.57</v>
      </c>
      <c r="F9" s="705">
        <v>4329059.41</v>
      </c>
      <c r="G9" s="705">
        <v>4329059.41</v>
      </c>
      <c r="H9" s="705">
        <v>4329121.51</v>
      </c>
      <c r="I9" s="705">
        <v>4329580.9000000004</v>
      </c>
      <c r="J9" s="705">
        <v>4332009.01</v>
      </c>
      <c r="K9" s="705">
        <v>4333478.6100000003</v>
      </c>
      <c r="L9" s="705">
        <v>4336354.6100000003</v>
      </c>
      <c r="M9" s="705">
        <v>4336365.91</v>
      </c>
      <c r="N9" s="705">
        <v>4338540.42</v>
      </c>
      <c r="O9" s="705">
        <v>4339095.67</v>
      </c>
      <c r="P9" s="705">
        <v>4343221.97</v>
      </c>
      <c r="R9" s="706">
        <f>+AVERAGE(D9:P9)</f>
        <v>4332422.0438461537</v>
      </c>
    </row>
    <row r="10" spans="1:18" s="711" customFormat="1" ht="11.25" customHeight="1">
      <c r="A10" s="707"/>
      <c r="B10" s="708" t="s">
        <v>654</v>
      </c>
      <c r="C10" s="708"/>
      <c r="D10" s="709"/>
      <c r="E10" s="709">
        <f t="shared" si="2" ref="E10">+E9-D9</f>
        <v>0</v>
      </c>
      <c r="F10" s="709">
        <f t="shared" si="3" ref="F10">+F9-E9</f>
        <v>6259.839999999851</v>
      </c>
      <c r="G10" s="709">
        <f t="shared" si="4" ref="G10">+G9-F9</f>
        <v>0</v>
      </c>
      <c r="H10" s="709">
        <f t="shared" si="5" ref="H10">+H9-G9</f>
        <v>62.099999999627471</v>
      </c>
      <c r="I10" s="709">
        <f t="shared" si="6" ref="I10">+I9-H9</f>
        <v>459.39000000059605</v>
      </c>
      <c r="J10" s="709">
        <f t="shared" si="7" ref="J10">+J9-I9</f>
        <v>2428.109999999404</v>
      </c>
      <c r="K10" s="709">
        <f t="shared" si="8" ref="K10">+K9-J9</f>
        <v>1469.6000000005588</v>
      </c>
      <c r="L10" s="709">
        <f t="shared" si="9" ref="L10">+L9-K9</f>
        <v>2876</v>
      </c>
      <c r="M10" s="709">
        <f t="shared" si="10" ref="M10">+M9-L9</f>
        <v>11.299999999813736</v>
      </c>
      <c r="N10" s="709">
        <f t="shared" si="11" ref="N10">+N9-M9</f>
        <v>2174.5099999997765</v>
      </c>
      <c r="O10" s="709">
        <f t="shared" si="12" ref="O10">+O9-N9</f>
        <v>555.25</v>
      </c>
      <c r="P10" s="709">
        <f t="shared" si="13" ref="P10">+P9-O9</f>
        <v>4126.2999999998137</v>
      </c>
      <c r="Q10" s="709"/>
      <c r="R10" s="710"/>
    </row>
    <row r="11" spans="1:18" s="711" customFormat="1" ht="11.25" customHeight="1">
      <c r="A11" s="707"/>
      <c r="B11" s="708" t="s">
        <v>655</v>
      </c>
      <c r="C11" s="708"/>
      <c r="D11" s="709"/>
      <c r="E11" s="709">
        <v>1</v>
      </c>
      <c r="F11" s="709">
        <v>2</v>
      </c>
      <c r="G11" s="709">
        <v>3</v>
      </c>
      <c r="H11" s="709">
        <v>4</v>
      </c>
      <c r="I11" s="709">
        <v>5</v>
      </c>
      <c r="J11" s="709">
        <v>6</v>
      </c>
      <c r="K11" s="709">
        <v>7</v>
      </c>
      <c r="L11" s="709">
        <v>8</v>
      </c>
      <c r="M11" s="709">
        <v>9</v>
      </c>
      <c r="N11" s="709">
        <v>10</v>
      </c>
      <c r="O11" s="709">
        <v>11</v>
      </c>
      <c r="P11" s="709">
        <v>12</v>
      </c>
      <c r="Q11" s="709"/>
      <c r="R11" s="710"/>
    </row>
    <row r="12" spans="1:18" s="711" customFormat="1" ht="11.25" customHeight="1">
      <c r="A12" s="707"/>
      <c r="B12" s="712">
        <v>0.055555555555555552</v>
      </c>
      <c r="C12" s="708"/>
      <c r="D12" s="709"/>
      <c r="E12" s="709">
        <f t="shared" si="14" ref="E12:P12">+E10*($B12/12)*E11</f>
        <v>0</v>
      </c>
      <c r="F12" s="709">
        <f t="shared" si="14"/>
        <v>57.961481481480099</v>
      </c>
      <c r="G12" s="709">
        <f t="shared" si="14"/>
        <v>0</v>
      </c>
      <c r="H12" s="709">
        <f t="shared" si="14"/>
        <v>1.1499999999931012</v>
      </c>
      <c r="I12" s="709">
        <f t="shared" si="14"/>
        <v>10.634027777791575</v>
      </c>
      <c r="J12" s="709">
        <f t="shared" si="14"/>
        <v>67.447499999983449</v>
      </c>
      <c r="K12" s="709">
        <f t="shared" si="14"/>
        <v>47.625925925944031</v>
      </c>
      <c r="L12" s="709">
        <f t="shared" si="14"/>
        <v>106.51851851851852</v>
      </c>
      <c r="M12" s="709">
        <f t="shared" si="14"/>
        <v>0.47083333332557231</v>
      </c>
      <c r="N12" s="709">
        <f t="shared" si="14"/>
        <v>100.67175925924892</v>
      </c>
      <c r="O12" s="709">
        <f t="shared" si="14"/>
        <v>28.276620370370367</v>
      </c>
      <c r="P12" s="709">
        <f t="shared" si="14"/>
        <v>229.23888888887854</v>
      </c>
      <c r="Q12" s="713">
        <f>SUM(E12:P12)</f>
        <v>649.99555555553422</v>
      </c>
      <c r="R12" s="710"/>
    </row>
    <row r="13" spans="1:18" s="664" customFormat="1" ht="15">
      <c r="A13" s="703">
        <v>1410</v>
      </c>
      <c r="B13" s="704" t="s">
        <v>384</v>
      </c>
      <c r="C13" s="702"/>
      <c r="D13" s="705">
        <v>474095.26</v>
      </c>
      <c r="E13" s="705">
        <v>474095.26</v>
      </c>
      <c r="F13" s="705">
        <v>474095.26</v>
      </c>
      <c r="G13" s="705">
        <v>474095.26</v>
      </c>
      <c r="H13" s="705">
        <v>474095.26</v>
      </c>
      <c r="I13" s="705">
        <v>474095.26</v>
      </c>
      <c r="J13" s="705">
        <v>474095.26</v>
      </c>
      <c r="K13" s="705">
        <v>474095.26</v>
      </c>
      <c r="L13" s="705">
        <v>474095.26</v>
      </c>
      <c r="M13" s="705">
        <v>474095.26</v>
      </c>
      <c r="N13" s="705">
        <v>474095.26</v>
      </c>
      <c r="O13" s="705">
        <v>474095.26</v>
      </c>
      <c r="P13" s="705">
        <v>474095.26</v>
      </c>
      <c r="R13" s="706">
        <f>+AVERAGE(D13:P13)</f>
        <v>474095.25999999983</v>
      </c>
    </row>
    <row r="14" spans="1:18" s="664" customFormat="1" ht="15">
      <c r="A14" s="703">
        <v>1420</v>
      </c>
      <c r="B14" s="704" t="s">
        <v>246</v>
      </c>
      <c r="C14" s="702"/>
      <c r="D14" s="705">
        <v>2048.54</v>
      </c>
      <c r="E14" s="705">
        <v>2048.54</v>
      </c>
      <c r="F14" s="705">
        <v>2048.54</v>
      </c>
      <c r="G14" s="705">
        <v>2048.54</v>
      </c>
      <c r="H14" s="705">
        <v>2048.54</v>
      </c>
      <c r="I14" s="705">
        <v>2048.54</v>
      </c>
      <c r="J14" s="705">
        <v>2048.54</v>
      </c>
      <c r="K14" s="705">
        <v>2048.54</v>
      </c>
      <c r="L14" s="705">
        <v>2048.54</v>
      </c>
      <c r="M14" s="705">
        <v>2048.54</v>
      </c>
      <c r="N14" s="705">
        <v>2048.54</v>
      </c>
      <c r="O14" s="705">
        <v>2048.54</v>
      </c>
      <c r="P14" s="705">
        <v>2048.54</v>
      </c>
      <c r="R14" s="706">
        <f>+AVERAGE(D14:P14)</f>
        <v>2048.5400000000004</v>
      </c>
    </row>
  </sheetData>
  <pageMargins left="0.7" right="0.7" top="0.75" bottom="0.75" header="0.3" footer="0.3"/>
  <pageSetup orientation="portrait" r:id="rId1"/>
  <headerFooter>
    <oddFooter>&amp;L&amp;"Times New Roman,Regular"&amp;9O3129680.v1</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108"/>
  <sheetViews>
    <sheetView zoomScale="115" zoomScaleNormal="115" workbookViewId="0" topLeftCell="A1"/>
  </sheetViews>
  <sheetFormatPr defaultColWidth="12.42578125" defaultRowHeight="12.75"/>
  <cols>
    <col min="1" max="1" width="12.4285714285714" style="357"/>
    <col min="2" max="2" width="36.8571428571429" style="357" customWidth="1"/>
    <col min="3" max="3" width="20.1428571428571" style="357" customWidth="1"/>
    <col min="4" max="6" width="15" style="357" customWidth="1"/>
    <col min="7" max="8" width="13.7142857142857" style="357" customWidth="1"/>
    <col min="9" max="9" width="15" style="357" customWidth="1"/>
    <col min="10" max="257" width="12.4285714285714" style="357"/>
    <col min="258" max="258" width="36.8571428571429" style="357" customWidth="1"/>
    <col min="259" max="259" width="20.1428571428571" style="357" customWidth="1"/>
    <col min="260" max="262" width="15" style="357" customWidth="1"/>
    <col min="263" max="264" width="13.7142857142857" style="357" customWidth="1"/>
    <col min="265" max="265" width="15" style="357" customWidth="1"/>
    <col min="266" max="513" width="12.4285714285714" style="357"/>
    <col min="514" max="514" width="36.8571428571429" style="357" customWidth="1"/>
    <col min="515" max="515" width="20.1428571428571" style="357" customWidth="1"/>
    <col min="516" max="518" width="15" style="357" customWidth="1"/>
    <col min="519" max="520" width="13.7142857142857" style="357" customWidth="1"/>
    <col min="521" max="521" width="15" style="357" customWidth="1"/>
    <col min="522" max="769" width="12.4285714285714" style="357"/>
    <col min="770" max="770" width="36.8571428571429" style="357" customWidth="1"/>
    <col min="771" max="771" width="20.1428571428571" style="357" customWidth="1"/>
    <col min="772" max="774" width="15" style="357" customWidth="1"/>
    <col min="775" max="776" width="13.7142857142857" style="357" customWidth="1"/>
    <col min="777" max="777" width="15" style="357" customWidth="1"/>
    <col min="778" max="1025" width="12.4285714285714" style="357"/>
    <col min="1026" max="1026" width="36.8571428571429" style="357" customWidth="1"/>
    <col min="1027" max="1027" width="20.1428571428571" style="357" customWidth="1"/>
    <col min="1028" max="1030" width="15" style="357" customWidth="1"/>
    <col min="1031" max="1032" width="13.7142857142857" style="357" customWidth="1"/>
    <col min="1033" max="1033" width="15" style="357" customWidth="1"/>
    <col min="1034" max="1281" width="12.4285714285714" style="357"/>
    <col min="1282" max="1282" width="36.8571428571429" style="357" customWidth="1"/>
    <col min="1283" max="1283" width="20.1428571428571" style="357" customWidth="1"/>
    <col min="1284" max="1286" width="15" style="357" customWidth="1"/>
    <col min="1287" max="1288" width="13.7142857142857" style="357" customWidth="1"/>
    <col min="1289" max="1289" width="15" style="357" customWidth="1"/>
    <col min="1290" max="1537" width="12.4285714285714" style="357"/>
    <col min="1538" max="1538" width="36.8571428571429" style="357" customWidth="1"/>
    <col min="1539" max="1539" width="20.1428571428571" style="357" customWidth="1"/>
    <col min="1540" max="1542" width="15" style="357" customWidth="1"/>
    <col min="1543" max="1544" width="13.7142857142857" style="357" customWidth="1"/>
    <col min="1545" max="1545" width="15" style="357" customWidth="1"/>
    <col min="1546" max="1793" width="12.4285714285714" style="357"/>
    <col min="1794" max="1794" width="36.8571428571429" style="357" customWidth="1"/>
    <col min="1795" max="1795" width="20.1428571428571" style="357" customWidth="1"/>
    <col min="1796" max="1798" width="15" style="357" customWidth="1"/>
    <col min="1799" max="1800" width="13.7142857142857" style="357" customWidth="1"/>
    <col min="1801" max="1801" width="15" style="357" customWidth="1"/>
    <col min="1802" max="2049" width="12.4285714285714" style="357"/>
    <col min="2050" max="2050" width="36.8571428571429" style="357" customWidth="1"/>
    <col min="2051" max="2051" width="20.1428571428571" style="357" customWidth="1"/>
    <col min="2052" max="2054" width="15" style="357" customWidth="1"/>
    <col min="2055" max="2056" width="13.7142857142857" style="357" customWidth="1"/>
    <col min="2057" max="2057" width="15" style="357" customWidth="1"/>
    <col min="2058" max="2305" width="12.4285714285714" style="357"/>
    <col min="2306" max="2306" width="36.8571428571429" style="357" customWidth="1"/>
    <col min="2307" max="2307" width="20.1428571428571" style="357" customWidth="1"/>
    <col min="2308" max="2310" width="15" style="357" customWidth="1"/>
    <col min="2311" max="2312" width="13.7142857142857" style="357" customWidth="1"/>
    <col min="2313" max="2313" width="15" style="357" customWidth="1"/>
    <col min="2314" max="2561" width="12.4285714285714" style="357"/>
    <col min="2562" max="2562" width="36.8571428571429" style="357" customWidth="1"/>
    <col min="2563" max="2563" width="20.1428571428571" style="357" customWidth="1"/>
    <col min="2564" max="2566" width="15" style="357" customWidth="1"/>
    <col min="2567" max="2568" width="13.7142857142857" style="357" customWidth="1"/>
    <col min="2569" max="2569" width="15" style="357" customWidth="1"/>
    <col min="2570" max="2817" width="12.4285714285714" style="357"/>
    <col min="2818" max="2818" width="36.8571428571429" style="357" customWidth="1"/>
    <col min="2819" max="2819" width="20.1428571428571" style="357" customWidth="1"/>
    <col min="2820" max="2822" width="15" style="357" customWidth="1"/>
    <col min="2823" max="2824" width="13.7142857142857" style="357" customWidth="1"/>
    <col min="2825" max="2825" width="15" style="357" customWidth="1"/>
    <col min="2826" max="3073" width="12.4285714285714" style="357"/>
    <col min="3074" max="3074" width="36.8571428571429" style="357" customWidth="1"/>
    <col min="3075" max="3075" width="20.1428571428571" style="357" customWidth="1"/>
    <col min="3076" max="3078" width="15" style="357" customWidth="1"/>
    <col min="3079" max="3080" width="13.7142857142857" style="357" customWidth="1"/>
    <col min="3081" max="3081" width="15" style="357" customWidth="1"/>
    <col min="3082" max="3329" width="12.4285714285714" style="357"/>
    <col min="3330" max="3330" width="36.8571428571429" style="357" customWidth="1"/>
    <col min="3331" max="3331" width="20.1428571428571" style="357" customWidth="1"/>
    <col min="3332" max="3334" width="15" style="357" customWidth="1"/>
    <col min="3335" max="3336" width="13.7142857142857" style="357" customWidth="1"/>
    <col min="3337" max="3337" width="15" style="357" customWidth="1"/>
    <col min="3338" max="3585" width="12.4285714285714" style="357"/>
    <col min="3586" max="3586" width="36.8571428571429" style="357" customWidth="1"/>
    <col min="3587" max="3587" width="20.1428571428571" style="357" customWidth="1"/>
    <col min="3588" max="3590" width="15" style="357" customWidth="1"/>
    <col min="3591" max="3592" width="13.7142857142857" style="357" customWidth="1"/>
    <col min="3593" max="3593" width="15" style="357" customWidth="1"/>
    <col min="3594" max="3841" width="12.4285714285714" style="357"/>
    <col min="3842" max="3842" width="36.8571428571429" style="357" customWidth="1"/>
    <col min="3843" max="3843" width="20.1428571428571" style="357" customWidth="1"/>
    <col min="3844" max="3846" width="15" style="357" customWidth="1"/>
    <col min="3847" max="3848" width="13.7142857142857" style="357" customWidth="1"/>
    <col min="3849" max="3849" width="15" style="357" customWidth="1"/>
    <col min="3850" max="4097" width="12.4285714285714" style="357"/>
    <col min="4098" max="4098" width="36.8571428571429" style="357" customWidth="1"/>
    <col min="4099" max="4099" width="20.1428571428571" style="357" customWidth="1"/>
    <col min="4100" max="4102" width="15" style="357" customWidth="1"/>
    <col min="4103" max="4104" width="13.7142857142857" style="357" customWidth="1"/>
    <col min="4105" max="4105" width="15" style="357" customWidth="1"/>
    <col min="4106" max="4353" width="12.4285714285714" style="357"/>
    <col min="4354" max="4354" width="36.8571428571429" style="357" customWidth="1"/>
    <col min="4355" max="4355" width="20.1428571428571" style="357" customWidth="1"/>
    <col min="4356" max="4358" width="15" style="357" customWidth="1"/>
    <col min="4359" max="4360" width="13.7142857142857" style="357" customWidth="1"/>
    <col min="4361" max="4361" width="15" style="357" customWidth="1"/>
    <col min="4362" max="4609" width="12.4285714285714" style="357"/>
    <col min="4610" max="4610" width="36.8571428571429" style="357" customWidth="1"/>
    <col min="4611" max="4611" width="20.1428571428571" style="357" customWidth="1"/>
    <col min="4612" max="4614" width="15" style="357" customWidth="1"/>
    <col min="4615" max="4616" width="13.7142857142857" style="357" customWidth="1"/>
    <col min="4617" max="4617" width="15" style="357" customWidth="1"/>
    <col min="4618" max="4865" width="12.4285714285714" style="357"/>
    <col min="4866" max="4866" width="36.8571428571429" style="357" customWidth="1"/>
    <col min="4867" max="4867" width="20.1428571428571" style="357" customWidth="1"/>
    <col min="4868" max="4870" width="15" style="357" customWidth="1"/>
    <col min="4871" max="4872" width="13.7142857142857" style="357" customWidth="1"/>
    <col min="4873" max="4873" width="15" style="357" customWidth="1"/>
    <col min="4874" max="5121" width="12.4285714285714" style="357"/>
    <col min="5122" max="5122" width="36.8571428571429" style="357" customWidth="1"/>
    <col min="5123" max="5123" width="20.1428571428571" style="357" customWidth="1"/>
    <col min="5124" max="5126" width="15" style="357" customWidth="1"/>
    <col min="5127" max="5128" width="13.7142857142857" style="357" customWidth="1"/>
    <col min="5129" max="5129" width="15" style="357" customWidth="1"/>
    <col min="5130" max="5377" width="12.4285714285714" style="357"/>
    <col min="5378" max="5378" width="36.8571428571429" style="357" customWidth="1"/>
    <col min="5379" max="5379" width="20.1428571428571" style="357" customWidth="1"/>
    <col min="5380" max="5382" width="15" style="357" customWidth="1"/>
    <col min="5383" max="5384" width="13.7142857142857" style="357" customWidth="1"/>
    <col min="5385" max="5385" width="15" style="357" customWidth="1"/>
    <col min="5386" max="5633" width="12.4285714285714" style="357"/>
    <col min="5634" max="5634" width="36.8571428571429" style="357" customWidth="1"/>
    <col min="5635" max="5635" width="20.1428571428571" style="357" customWidth="1"/>
    <col min="5636" max="5638" width="15" style="357" customWidth="1"/>
    <col min="5639" max="5640" width="13.7142857142857" style="357" customWidth="1"/>
    <col min="5641" max="5641" width="15" style="357" customWidth="1"/>
    <col min="5642" max="5889" width="12.4285714285714" style="357"/>
    <col min="5890" max="5890" width="36.8571428571429" style="357" customWidth="1"/>
    <col min="5891" max="5891" width="20.1428571428571" style="357" customWidth="1"/>
    <col min="5892" max="5894" width="15" style="357" customWidth="1"/>
    <col min="5895" max="5896" width="13.7142857142857" style="357" customWidth="1"/>
    <col min="5897" max="5897" width="15" style="357" customWidth="1"/>
    <col min="5898" max="6145" width="12.4285714285714" style="357"/>
    <col min="6146" max="6146" width="36.8571428571429" style="357" customWidth="1"/>
    <col min="6147" max="6147" width="20.1428571428571" style="357" customWidth="1"/>
    <col min="6148" max="6150" width="15" style="357" customWidth="1"/>
    <col min="6151" max="6152" width="13.7142857142857" style="357" customWidth="1"/>
    <col min="6153" max="6153" width="15" style="357" customWidth="1"/>
    <col min="6154" max="6401" width="12.4285714285714" style="357"/>
    <col min="6402" max="6402" width="36.8571428571429" style="357" customWidth="1"/>
    <col min="6403" max="6403" width="20.1428571428571" style="357" customWidth="1"/>
    <col min="6404" max="6406" width="15" style="357" customWidth="1"/>
    <col min="6407" max="6408" width="13.7142857142857" style="357" customWidth="1"/>
    <col min="6409" max="6409" width="15" style="357" customWidth="1"/>
    <col min="6410" max="6657" width="12.4285714285714" style="357"/>
    <col min="6658" max="6658" width="36.8571428571429" style="357" customWidth="1"/>
    <col min="6659" max="6659" width="20.1428571428571" style="357" customWidth="1"/>
    <col min="6660" max="6662" width="15" style="357" customWidth="1"/>
    <col min="6663" max="6664" width="13.7142857142857" style="357" customWidth="1"/>
    <col min="6665" max="6665" width="15" style="357" customWidth="1"/>
    <col min="6666" max="6913" width="12.4285714285714" style="357"/>
    <col min="6914" max="6914" width="36.8571428571429" style="357" customWidth="1"/>
    <col min="6915" max="6915" width="20.1428571428571" style="357" customWidth="1"/>
    <col min="6916" max="6918" width="15" style="357" customWidth="1"/>
    <col min="6919" max="6920" width="13.7142857142857" style="357" customWidth="1"/>
    <col min="6921" max="6921" width="15" style="357" customWidth="1"/>
    <col min="6922" max="7169" width="12.4285714285714" style="357"/>
    <col min="7170" max="7170" width="36.8571428571429" style="357" customWidth="1"/>
    <col min="7171" max="7171" width="20.1428571428571" style="357" customWidth="1"/>
    <col min="7172" max="7174" width="15" style="357" customWidth="1"/>
    <col min="7175" max="7176" width="13.7142857142857" style="357" customWidth="1"/>
    <col min="7177" max="7177" width="15" style="357" customWidth="1"/>
    <col min="7178" max="7425" width="12.4285714285714" style="357"/>
    <col min="7426" max="7426" width="36.8571428571429" style="357" customWidth="1"/>
    <col min="7427" max="7427" width="20.1428571428571" style="357" customWidth="1"/>
    <col min="7428" max="7430" width="15" style="357" customWidth="1"/>
    <col min="7431" max="7432" width="13.7142857142857" style="357" customWidth="1"/>
    <col min="7433" max="7433" width="15" style="357" customWidth="1"/>
    <col min="7434" max="7681" width="12.4285714285714" style="357"/>
    <col min="7682" max="7682" width="36.8571428571429" style="357" customWidth="1"/>
    <col min="7683" max="7683" width="20.1428571428571" style="357" customWidth="1"/>
    <col min="7684" max="7686" width="15" style="357" customWidth="1"/>
    <col min="7687" max="7688" width="13.7142857142857" style="357" customWidth="1"/>
    <col min="7689" max="7689" width="15" style="357" customWidth="1"/>
    <col min="7690" max="7937" width="12.4285714285714" style="357"/>
    <col min="7938" max="7938" width="36.8571428571429" style="357" customWidth="1"/>
    <col min="7939" max="7939" width="20.1428571428571" style="357" customWidth="1"/>
    <col min="7940" max="7942" width="15" style="357" customWidth="1"/>
    <col min="7943" max="7944" width="13.7142857142857" style="357" customWidth="1"/>
    <col min="7945" max="7945" width="15" style="357" customWidth="1"/>
    <col min="7946" max="8193" width="12.4285714285714" style="357"/>
    <col min="8194" max="8194" width="36.8571428571429" style="357" customWidth="1"/>
    <col min="8195" max="8195" width="20.1428571428571" style="357" customWidth="1"/>
    <col min="8196" max="8198" width="15" style="357" customWidth="1"/>
    <col min="8199" max="8200" width="13.7142857142857" style="357" customWidth="1"/>
    <col min="8201" max="8201" width="15" style="357" customWidth="1"/>
    <col min="8202" max="8449" width="12.4285714285714" style="357"/>
    <col min="8450" max="8450" width="36.8571428571429" style="357" customWidth="1"/>
    <col min="8451" max="8451" width="20.1428571428571" style="357" customWidth="1"/>
    <col min="8452" max="8454" width="15" style="357" customWidth="1"/>
    <col min="8455" max="8456" width="13.7142857142857" style="357" customWidth="1"/>
    <col min="8457" max="8457" width="15" style="357" customWidth="1"/>
    <col min="8458" max="8705" width="12.4285714285714" style="357"/>
    <col min="8706" max="8706" width="36.8571428571429" style="357" customWidth="1"/>
    <col min="8707" max="8707" width="20.1428571428571" style="357" customWidth="1"/>
    <col min="8708" max="8710" width="15" style="357" customWidth="1"/>
    <col min="8711" max="8712" width="13.7142857142857" style="357" customWidth="1"/>
    <col min="8713" max="8713" width="15" style="357" customWidth="1"/>
    <col min="8714" max="8961" width="12.4285714285714" style="357"/>
    <col min="8962" max="8962" width="36.8571428571429" style="357" customWidth="1"/>
    <col min="8963" max="8963" width="20.1428571428571" style="357" customWidth="1"/>
    <col min="8964" max="8966" width="15" style="357" customWidth="1"/>
    <col min="8967" max="8968" width="13.7142857142857" style="357" customWidth="1"/>
    <col min="8969" max="8969" width="15" style="357" customWidth="1"/>
    <col min="8970" max="9217" width="12.4285714285714" style="357"/>
    <col min="9218" max="9218" width="36.8571428571429" style="357" customWidth="1"/>
    <col min="9219" max="9219" width="20.1428571428571" style="357" customWidth="1"/>
    <col min="9220" max="9222" width="15" style="357" customWidth="1"/>
    <col min="9223" max="9224" width="13.7142857142857" style="357" customWidth="1"/>
    <col min="9225" max="9225" width="15" style="357" customWidth="1"/>
    <col min="9226" max="9473" width="12.4285714285714" style="357"/>
    <col min="9474" max="9474" width="36.8571428571429" style="357" customWidth="1"/>
    <col min="9475" max="9475" width="20.1428571428571" style="357" customWidth="1"/>
    <col min="9476" max="9478" width="15" style="357" customWidth="1"/>
    <col min="9479" max="9480" width="13.7142857142857" style="357" customWidth="1"/>
    <col min="9481" max="9481" width="15" style="357" customWidth="1"/>
    <col min="9482" max="9729" width="12.4285714285714" style="357"/>
    <col min="9730" max="9730" width="36.8571428571429" style="357" customWidth="1"/>
    <col min="9731" max="9731" width="20.1428571428571" style="357" customWidth="1"/>
    <col min="9732" max="9734" width="15" style="357" customWidth="1"/>
    <col min="9735" max="9736" width="13.7142857142857" style="357" customWidth="1"/>
    <col min="9737" max="9737" width="15" style="357" customWidth="1"/>
    <col min="9738" max="9985" width="12.4285714285714" style="357"/>
    <col min="9986" max="9986" width="36.8571428571429" style="357" customWidth="1"/>
    <col min="9987" max="9987" width="20.1428571428571" style="357" customWidth="1"/>
    <col min="9988" max="9990" width="15" style="357" customWidth="1"/>
    <col min="9991" max="9992" width="13.7142857142857" style="357" customWidth="1"/>
    <col min="9993" max="9993" width="15" style="357" customWidth="1"/>
    <col min="9994" max="10241" width="12.4285714285714" style="357"/>
    <col min="10242" max="10242" width="36.8571428571429" style="357" customWidth="1"/>
    <col min="10243" max="10243" width="20.1428571428571" style="357" customWidth="1"/>
    <col min="10244" max="10246" width="15" style="357" customWidth="1"/>
    <col min="10247" max="10248" width="13.7142857142857" style="357" customWidth="1"/>
    <col min="10249" max="10249" width="15" style="357" customWidth="1"/>
    <col min="10250" max="10497" width="12.4285714285714" style="357"/>
    <col min="10498" max="10498" width="36.8571428571429" style="357" customWidth="1"/>
    <col min="10499" max="10499" width="20.1428571428571" style="357" customWidth="1"/>
    <col min="10500" max="10502" width="15" style="357" customWidth="1"/>
    <col min="10503" max="10504" width="13.7142857142857" style="357" customWidth="1"/>
    <col min="10505" max="10505" width="15" style="357" customWidth="1"/>
    <col min="10506" max="10753" width="12.4285714285714" style="357"/>
    <col min="10754" max="10754" width="36.8571428571429" style="357" customWidth="1"/>
    <col min="10755" max="10755" width="20.1428571428571" style="357" customWidth="1"/>
    <col min="10756" max="10758" width="15" style="357" customWidth="1"/>
    <col min="10759" max="10760" width="13.7142857142857" style="357" customWidth="1"/>
    <col min="10761" max="10761" width="15" style="357" customWidth="1"/>
    <col min="10762" max="11009" width="12.4285714285714" style="357"/>
    <col min="11010" max="11010" width="36.8571428571429" style="357" customWidth="1"/>
    <col min="11011" max="11011" width="20.1428571428571" style="357" customWidth="1"/>
    <col min="11012" max="11014" width="15" style="357" customWidth="1"/>
    <col min="11015" max="11016" width="13.7142857142857" style="357" customWidth="1"/>
    <col min="11017" max="11017" width="15" style="357" customWidth="1"/>
    <col min="11018" max="11265" width="12.4285714285714" style="357"/>
    <col min="11266" max="11266" width="36.8571428571429" style="357" customWidth="1"/>
    <col min="11267" max="11267" width="20.1428571428571" style="357" customWidth="1"/>
    <col min="11268" max="11270" width="15" style="357" customWidth="1"/>
    <col min="11271" max="11272" width="13.7142857142857" style="357" customWidth="1"/>
    <col min="11273" max="11273" width="15" style="357" customWidth="1"/>
    <col min="11274" max="11521" width="12.4285714285714" style="357"/>
    <col min="11522" max="11522" width="36.8571428571429" style="357" customWidth="1"/>
    <col min="11523" max="11523" width="20.1428571428571" style="357" customWidth="1"/>
    <col min="11524" max="11526" width="15" style="357" customWidth="1"/>
    <col min="11527" max="11528" width="13.7142857142857" style="357" customWidth="1"/>
    <col min="11529" max="11529" width="15" style="357" customWidth="1"/>
    <col min="11530" max="11777" width="12.4285714285714" style="357"/>
    <col min="11778" max="11778" width="36.8571428571429" style="357" customWidth="1"/>
    <col min="11779" max="11779" width="20.1428571428571" style="357" customWidth="1"/>
    <col min="11780" max="11782" width="15" style="357" customWidth="1"/>
    <col min="11783" max="11784" width="13.7142857142857" style="357" customWidth="1"/>
    <col min="11785" max="11785" width="15" style="357" customWidth="1"/>
    <col min="11786" max="12033" width="12.4285714285714" style="357"/>
    <col min="12034" max="12034" width="36.8571428571429" style="357" customWidth="1"/>
    <col min="12035" max="12035" width="20.1428571428571" style="357" customWidth="1"/>
    <col min="12036" max="12038" width="15" style="357" customWidth="1"/>
    <col min="12039" max="12040" width="13.7142857142857" style="357" customWidth="1"/>
    <col min="12041" max="12041" width="15" style="357" customWidth="1"/>
    <col min="12042" max="12289" width="12.4285714285714" style="357"/>
    <col min="12290" max="12290" width="36.8571428571429" style="357" customWidth="1"/>
    <col min="12291" max="12291" width="20.1428571428571" style="357" customWidth="1"/>
    <col min="12292" max="12294" width="15" style="357" customWidth="1"/>
    <col min="12295" max="12296" width="13.7142857142857" style="357" customWidth="1"/>
    <col min="12297" max="12297" width="15" style="357" customWidth="1"/>
    <col min="12298" max="12545" width="12.4285714285714" style="357"/>
    <col min="12546" max="12546" width="36.8571428571429" style="357" customWidth="1"/>
    <col min="12547" max="12547" width="20.1428571428571" style="357" customWidth="1"/>
    <col min="12548" max="12550" width="15" style="357" customWidth="1"/>
    <col min="12551" max="12552" width="13.7142857142857" style="357" customWidth="1"/>
    <col min="12553" max="12553" width="15" style="357" customWidth="1"/>
    <col min="12554" max="12801" width="12.4285714285714" style="357"/>
    <col min="12802" max="12802" width="36.8571428571429" style="357" customWidth="1"/>
    <col min="12803" max="12803" width="20.1428571428571" style="357" customWidth="1"/>
    <col min="12804" max="12806" width="15" style="357" customWidth="1"/>
    <col min="12807" max="12808" width="13.7142857142857" style="357" customWidth="1"/>
    <col min="12809" max="12809" width="15" style="357" customWidth="1"/>
    <col min="12810" max="13057" width="12.4285714285714" style="357"/>
    <col min="13058" max="13058" width="36.8571428571429" style="357" customWidth="1"/>
    <col min="13059" max="13059" width="20.1428571428571" style="357" customWidth="1"/>
    <col min="13060" max="13062" width="15" style="357" customWidth="1"/>
    <col min="13063" max="13064" width="13.7142857142857" style="357" customWidth="1"/>
    <col min="13065" max="13065" width="15" style="357" customWidth="1"/>
    <col min="13066" max="13313" width="12.4285714285714" style="357"/>
    <col min="13314" max="13314" width="36.8571428571429" style="357" customWidth="1"/>
    <col min="13315" max="13315" width="20.1428571428571" style="357" customWidth="1"/>
    <col min="13316" max="13318" width="15" style="357" customWidth="1"/>
    <col min="13319" max="13320" width="13.7142857142857" style="357" customWidth="1"/>
    <col min="13321" max="13321" width="15" style="357" customWidth="1"/>
    <col min="13322" max="13569" width="12.4285714285714" style="357"/>
    <col min="13570" max="13570" width="36.8571428571429" style="357" customWidth="1"/>
    <col min="13571" max="13571" width="20.1428571428571" style="357" customWidth="1"/>
    <col min="13572" max="13574" width="15" style="357" customWidth="1"/>
    <col min="13575" max="13576" width="13.7142857142857" style="357" customWidth="1"/>
    <col min="13577" max="13577" width="15" style="357" customWidth="1"/>
    <col min="13578" max="13825" width="12.4285714285714" style="357"/>
    <col min="13826" max="13826" width="36.8571428571429" style="357" customWidth="1"/>
    <col min="13827" max="13827" width="20.1428571428571" style="357" customWidth="1"/>
    <col min="13828" max="13830" width="15" style="357" customWidth="1"/>
    <col min="13831" max="13832" width="13.7142857142857" style="357" customWidth="1"/>
    <col min="13833" max="13833" width="15" style="357" customWidth="1"/>
    <col min="13834" max="14081" width="12.4285714285714" style="357"/>
    <col min="14082" max="14082" width="36.8571428571429" style="357" customWidth="1"/>
    <col min="14083" max="14083" width="20.1428571428571" style="357" customWidth="1"/>
    <col min="14084" max="14086" width="15" style="357" customWidth="1"/>
    <col min="14087" max="14088" width="13.7142857142857" style="357" customWidth="1"/>
    <col min="14089" max="14089" width="15" style="357" customWidth="1"/>
    <col min="14090" max="14337" width="12.4285714285714" style="357"/>
    <col min="14338" max="14338" width="36.8571428571429" style="357" customWidth="1"/>
    <col min="14339" max="14339" width="20.1428571428571" style="357" customWidth="1"/>
    <col min="14340" max="14342" width="15" style="357" customWidth="1"/>
    <col min="14343" max="14344" width="13.7142857142857" style="357" customWidth="1"/>
    <col min="14345" max="14345" width="15" style="357" customWidth="1"/>
    <col min="14346" max="14593" width="12.4285714285714" style="357"/>
    <col min="14594" max="14594" width="36.8571428571429" style="357" customWidth="1"/>
    <col min="14595" max="14595" width="20.1428571428571" style="357" customWidth="1"/>
    <col min="14596" max="14598" width="15" style="357" customWidth="1"/>
    <col min="14599" max="14600" width="13.7142857142857" style="357" customWidth="1"/>
    <col min="14601" max="14601" width="15" style="357" customWidth="1"/>
    <col min="14602" max="14849" width="12.4285714285714" style="357"/>
    <col min="14850" max="14850" width="36.8571428571429" style="357" customWidth="1"/>
    <col min="14851" max="14851" width="20.1428571428571" style="357" customWidth="1"/>
    <col min="14852" max="14854" width="15" style="357" customWidth="1"/>
    <col min="14855" max="14856" width="13.7142857142857" style="357" customWidth="1"/>
    <col min="14857" max="14857" width="15" style="357" customWidth="1"/>
    <col min="14858" max="15105" width="12.4285714285714" style="357"/>
    <col min="15106" max="15106" width="36.8571428571429" style="357" customWidth="1"/>
    <col min="15107" max="15107" width="20.1428571428571" style="357" customWidth="1"/>
    <col min="15108" max="15110" width="15" style="357" customWidth="1"/>
    <col min="15111" max="15112" width="13.7142857142857" style="357" customWidth="1"/>
    <col min="15113" max="15113" width="15" style="357" customWidth="1"/>
    <col min="15114" max="15361" width="12.4285714285714" style="357"/>
    <col min="15362" max="15362" width="36.8571428571429" style="357" customWidth="1"/>
    <col min="15363" max="15363" width="20.1428571428571" style="357" customWidth="1"/>
    <col min="15364" max="15366" width="15" style="357" customWidth="1"/>
    <col min="15367" max="15368" width="13.7142857142857" style="357" customWidth="1"/>
    <col min="15369" max="15369" width="15" style="357" customWidth="1"/>
    <col min="15370" max="15617" width="12.4285714285714" style="357"/>
    <col min="15618" max="15618" width="36.8571428571429" style="357" customWidth="1"/>
    <col min="15619" max="15619" width="20.1428571428571" style="357" customWidth="1"/>
    <col min="15620" max="15622" width="15" style="357" customWidth="1"/>
    <col min="15623" max="15624" width="13.7142857142857" style="357" customWidth="1"/>
    <col min="15625" max="15625" width="15" style="357" customWidth="1"/>
    <col min="15626" max="15873" width="12.4285714285714" style="357"/>
    <col min="15874" max="15874" width="36.8571428571429" style="357" customWidth="1"/>
    <col min="15875" max="15875" width="20.1428571428571" style="357" customWidth="1"/>
    <col min="15876" max="15878" width="15" style="357" customWidth="1"/>
    <col min="15879" max="15880" width="13.7142857142857" style="357" customWidth="1"/>
    <col min="15881" max="15881" width="15" style="357" customWidth="1"/>
    <col min="15882" max="16129" width="12.4285714285714" style="357"/>
    <col min="16130" max="16130" width="36.8571428571429" style="357" customWidth="1"/>
    <col min="16131" max="16131" width="20.1428571428571" style="357" customWidth="1"/>
    <col min="16132" max="16134" width="15" style="357" customWidth="1"/>
    <col min="16135" max="16136" width="13.7142857142857" style="357" customWidth="1"/>
    <col min="16137" max="16137" width="15" style="357" customWidth="1"/>
    <col min="16138" max="16384" width="12.4285714285714" style="357"/>
  </cols>
  <sheetData>
    <row r="1" spans="1:5" ht="12.75">
      <c r="A1" s="386" t="s">
        <v>588</v>
      </c>
      <c r="B1" s="386"/>
      <c r="C1" s="387"/>
      <c r="D1" s="388"/>
      <c r="E1" s="389" t="s">
        <v>1</v>
      </c>
    </row>
    <row r="2" spans="1:5" ht="12.75">
      <c r="A2" s="386"/>
      <c r="B2" s="386"/>
      <c r="C2" s="689" t="s">
        <v>629</v>
      </c>
      <c r="D2" s="388"/>
      <c r="E2" s="389"/>
    </row>
    <row r="3" spans="1:5" ht="12.75">
      <c r="A3" s="137" t="s">
        <v>585</v>
      </c>
      <c r="B3" s="386"/>
      <c r="C3" s="387"/>
      <c r="D3" s="388"/>
      <c r="E3" s="390" t="s">
        <v>580</v>
      </c>
    </row>
    <row r="4" spans="1:5" ht="12.75">
      <c r="A4" s="386" t="s">
        <v>586</v>
      </c>
      <c r="B4" s="386"/>
      <c r="C4" s="387"/>
      <c r="D4" s="388"/>
      <c r="E4" s="389" t="s">
        <v>326</v>
      </c>
    </row>
    <row r="5" spans="1:5" ht="12.75">
      <c r="A5" s="386" t="s">
        <v>458</v>
      </c>
      <c r="B5" s="386"/>
      <c r="C5" s="386"/>
      <c r="D5" s="388"/>
      <c r="E5" s="389" t="s">
        <v>157</v>
      </c>
    </row>
    <row r="6" spans="1:5" ht="12.75">
      <c r="A6" s="386"/>
      <c r="B6" s="386"/>
      <c r="C6" s="386"/>
      <c r="D6" s="386"/>
      <c r="E6" s="386"/>
    </row>
    <row r="7" spans="1:5" ht="12.75">
      <c r="A7" s="724" t="s">
        <v>327</v>
      </c>
      <c r="B7" s="725"/>
      <c r="C7" s="725"/>
      <c r="D7" s="725"/>
      <c r="E7" s="725"/>
    </row>
    <row r="8" spans="1:5" ht="12.75">
      <c r="A8" s="725"/>
      <c r="B8" s="725"/>
      <c r="C8" s="725"/>
      <c r="D8" s="725"/>
      <c r="E8" s="725"/>
    </row>
    <row r="9" spans="1:5" ht="13.5" thickBot="1">
      <c r="A9" s="391"/>
      <c r="B9" s="391"/>
      <c r="C9" s="391"/>
      <c r="D9" s="391"/>
      <c r="E9" s="391"/>
    </row>
    <row r="10" spans="1:5" ht="12.75">
      <c r="A10" s="386"/>
      <c r="B10" s="392" t="s">
        <v>7</v>
      </c>
      <c r="C10" s="392" t="s">
        <v>293</v>
      </c>
      <c r="D10" s="392" t="s">
        <v>124</v>
      </c>
      <c r="E10" s="392" t="s">
        <v>328</v>
      </c>
    </row>
    <row r="11" spans="1:5" ht="12.75">
      <c r="A11" s="392" t="s">
        <v>91</v>
      </c>
      <c r="B11" s="386"/>
      <c r="C11" s="392" t="s">
        <v>329</v>
      </c>
      <c r="D11" s="392" t="s">
        <v>330</v>
      </c>
      <c r="E11" s="392" t="s">
        <v>177</v>
      </c>
    </row>
    <row r="12" spans="1:5" ht="15">
      <c r="A12" s="393" t="s">
        <v>94</v>
      </c>
      <c r="B12" s="394" t="s">
        <v>219</v>
      </c>
      <c r="C12" s="394" t="s">
        <v>331</v>
      </c>
      <c r="D12" s="394" t="s">
        <v>105</v>
      </c>
      <c r="E12" s="394" t="s">
        <v>332</v>
      </c>
    </row>
    <row r="13" spans="1:5" ht="12.75">
      <c r="A13" s="395"/>
      <c r="B13" s="388"/>
      <c r="C13" s="396"/>
      <c r="D13" s="397"/>
      <c r="E13" s="396"/>
    </row>
    <row r="14" spans="1:5" ht="12.75">
      <c r="A14" s="395">
        <v>1</v>
      </c>
      <c r="B14" s="386" t="s">
        <v>296</v>
      </c>
      <c r="C14" s="398" t="s">
        <v>152</v>
      </c>
      <c r="D14" s="398" t="s">
        <v>152</v>
      </c>
      <c r="E14" s="398" t="s">
        <v>152</v>
      </c>
    </row>
    <row r="15" spans="1:5" ht="12.75">
      <c r="A15" s="395">
        <f>A14+1</f>
        <v>2</v>
      </c>
      <c r="B15" s="386"/>
      <c r="C15" s="398"/>
      <c r="D15" s="398"/>
      <c r="E15" s="398"/>
    </row>
    <row r="16" spans="1:5" ht="12.75">
      <c r="A16" s="395">
        <f t="shared" si="0" ref="A16:A51">A15+1</f>
        <v>3</v>
      </c>
      <c r="B16" s="386" t="s">
        <v>333</v>
      </c>
      <c r="C16" s="61"/>
      <c r="D16" s="61"/>
      <c r="E16" s="65"/>
    </row>
    <row r="17" spans="1:5" ht="12.75">
      <c r="A17" s="395">
        <f t="shared" si="0"/>
        <v>4</v>
      </c>
      <c r="B17" s="386"/>
      <c r="C17" s="65"/>
      <c r="D17" s="65"/>
      <c r="E17" s="65"/>
    </row>
    <row r="18" spans="1:5" ht="12.75">
      <c r="A18" s="395">
        <f t="shared" si="0"/>
        <v>5</v>
      </c>
      <c r="B18" s="386" t="s">
        <v>334</v>
      </c>
      <c r="C18" s="65"/>
      <c r="D18" s="65"/>
      <c r="E18" s="65"/>
    </row>
    <row r="19" spans="1:5" ht="12.75">
      <c r="A19" s="395">
        <f t="shared" si="0"/>
        <v>6</v>
      </c>
      <c r="B19" s="386"/>
      <c r="C19" s="65"/>
      <c r="D19" s="65"/>
      <c r="E19" s="65"/>
    </row>
    <row r="20" spans="1:5" ht="12.75">
      <c r="A20" s="395">
        <f t="shared" si="0"/>
        <v>7</v>
      </c>
      <c r="B20" s="386" t="s">
        <v>335</v>
      </c>
      <c r="C20" s="65"/>
      <c r="D20" s="65"/>
      <c r="E20" s="65"/>
    </row>
    <row r="21" spans="1:5" ht="12.75">
      <c r="A21" s="395">
        <f t="shared" si="0"/>
        <v>8</v>
      </c>
      <c r="B21" s="386"/>
      <c r="C21" s="65"/>
      <c r="D21" s="65"/>
      <c r="E21" s="65"/>
    </row>
    <row r="22" spans="1:5" ht="12.75">
      <c r="A22" s="395">
        <f t="shared" si="0"/>
        <v>9</v>
      </c>
      <c r="B22" s="386" t="s">
        <v>179</v>
      </c>
      <c r="C22" s="65"/>
      <c r="D22" s="65"/>
      <c r="E22" s="65"/>
    </row>
    <row r="23" spans="1:5" ht="12.75">
      <c r="A23" s="395">
        <f t="shared" si="0"/>
        <v>10</v>
      </c>
      <c r="B23" s="386"/>
      <c r="C23" s="398"/>
      <c r="D23" s="398"/>
      <c r="E23" s="398"/>
    </row>
    <row r="24" spans="1:5" ht="12.75">
      <c r="A24" s="395">
        <f t="shared" si="0"/>
        <v>11</v>
      </c>
      <c r="B24" s="386" t="s">
        <v>336</v>
      </c>
      <c r="C24" s="399"/>
      <c r="D24" s="399"/>
      <c r="E24" s="65"/>
    </row>
    <row r="25" spans="1:5" ht="12.75">
      <c r="A25" s="395">
        <f t="shared" si="0"/>
        <v>12</v>
      </c>
      <c r="B25" s="386"/>
      <c r="C25" s="65"/>
      <c r="D25" s="65"/>
      <c r="E25" s="65"/>
    </row>
    <row r="26" spans="1:5" ht="12.75">
      <c r="A26" s="395">
        <f t="shared" si="0"/>
        <v>13</v>
      </c>
      <c r="B26" s="386" t="s">
        <v>337</v>
      </c>
      <c r="C26" s="399"/>
      <c r="D26" s="399"/>
      <c r="E26" s="65"/>
    </row>
    <row r="27" spans="1:5" ht="12.75">
      <c r="A27" s="395">
        <f t="shared" si="0"/>
        <v>14</v>
      </c>
      <c r="B27" s="386"/>
      <c r="C27" s="65"/>
      <c r="D27" s="65"/>
      <c r="E27" s="65"/>
    </row>
    <row r="28" spans="1:5" ht="12.75">
      <c r="A28" s="395">
        <f t="shared" si="0"/>
        <v>15</v>
      </c>
      <c r="B28" s="386" t="s">
        <v>338</v>
      </c>
      <c r="C28" s="399"/>
      <c r="D28" s="399"/>
      <c r="E28" s="65"/>
    </row>
    <row r="29" spans="1:5" ht="12.75">
      <c r="A29" s="395">
        <f t="shared" si="0"/>
        <v>16</v>
      </c>
      <c r="B29" s="386"/>
      <c r="C29" s="61"/>
      <c r="D29" s="61"/>
      <c r="E29" s="61"/>
    </row>
    <row r="30" spans="1:5" ht="13.5" thickBot="1">
      <c r="A30" s="395">
        <f t="shared" si="0"/>
        <v>17</v>
      </c>
      <c r="B30" s="386" t="s">
        <v>300</v>
      </c>
      <c r="C30" s="400" t="s">
        <v>152</v>
      </c>
      <c r="D30" s="400" t="s">
        <v>152</v>
      </c>
      <c r="E30" s="400" t="s">
        <v>152</v>
      </c>
    </row>
    <row r="31" spans="1:5" ht="13.5" thickTop="1">
      <c r="A31" s="395">
        <f t="shared" si="0"/>
        <v>18</v>
      </c>
      <c r="B31" s="386"/>
      <c r="C31" s="401"/>
      <c r="D31" s="401"/>
      <c r="E31" s="401"/>
    </row>
    <row r="32" spans="1:5" ht="12.75">
      <c r="A32" s="395">
        <f t="shared" si="0"/>
        <v>19</v>
      </c>
      <c r="B32" s="386" t="s">
        <v>339</v>
      </c>
      <c r="C32" s="401"/>
      <c r="D32" s="401"/>
      <c r="E32" s="401"/>
    </row>
    <row r="33" spans="1:5" ht="12.75">
      <c r="A33" s="395">
        <f t="shared" si="0"/>
        <v>20</v>
      </c>
      <c r="B33" s="386"/>
      <c r="C33" s="65"/>
      <c r="D33" s="65"/>
      <c r="E33" s="65"/>
    </row>
    <row r="34" spans="1:5" ht="12.75">
      <c r="A34" s="395">
        <f t="shared" si="0"/>
        <v>21</v>
      </c>
      <c r="B34" s="386"/>
      <c r="C34" s="65"/>
      <c r="D34" s="65"/>
      <c r="E34" s="65"/>
    </row>
    <row r="35" spans="1:5" ht="12.75">
      <c r="A35" s="395">
        <f t="shared" si="0"/>
        <v>22</v>
      </c>
      <c r="B35" s="386" t="s">
        <v>164</v>
      </c>
      <c r="C35" s="398"/>
      <c r="D35" s="398"/>
      <c r="E35" s="398"/>
    </row>
    <row r="36" spans="1:5" ht="12.75">
      <c r="A36" s="395">
        <f t="shared" si="0"/>
        <v>23</v>
      </c>
      <c r="B36" s="386"/>
      <c r="C36" s="65"/>
      <c r="D36" s="65"/>
      <c r="E36" s="65"/>
    </row>
    <row r="37" spans="1:6" ht="12.75">
      <c r="A37" s="395">
        <f t="shared" si="0"/>
        <v>24</v>
      </c>
      <c r="B37" s="386" t="s">
        <v>333</v>
      </c>
      <c r="C37" s="65">
        <f>+'MARION A 6'!H75-C39</f>
        <v>26073</v>
      </c>
      <c r="D37" s="65"/>
      <c r="E37" s="65"/>
      <c r="F37" s="655">
        <f>-E90</f>
        <v>38603.399340000004</v>
      </c>
    </row>
    <row r="38" spans="1:6" ht="12.75">
      <c r="A38" s="395">
        <f t="shared" si="0"/>
        <v>25</v>
      </c>
      <c r="B38" s="386"/>
      <c r="C38" s="398"/>
      <c r="D38" s="398"/>
      <c r="E38" s="398"/>
      <c r="F38" s="398"/>
    </row>
    <row r="39" spans="1:6" ht="12.75">
      <c r="A39" s="395">
        <f t="shared" si="0"/>
        <v>26</v>
      </c>
      <c r="B39" s="386" t="s">
        <v>334</v>
      </c>
      <c r="C39" s="399">
        <f>+'MARION A 6'!H35</f>
        <v>2173</v>
      </c>
      <c r="D39" s="399"/>
      <c r="E39" s="65"/>
      <c r="F39" s="399">
        <v>0</v>
      </c>
    </row>
    <row r="40" spans="1:6" ht="12.75">
      <c r="A40" s="395">
        <f t="shared" si="0"/>
        <v>27</v>
      </c>
      <c r="B40" s="386"/>
      <c r="C40" s="65"/>
      <c r="D40" s="65"/>
      <c r="E40" s="65"/>
      <c r="F40" s="65"/>
    </row>
    <row r="41" spans="1:6" ht="12.75">
      <c r="A41" s="395">
        <f t="shared" si="0"/>
        <v>28</v>
      </c>
      <c r="B41" s="386" t="s">
        <v>335</v>
      </c>
      <c r="C41" s="399">
        <f>-'MARION A 10'!H75</f>
        <v>-18414</v>
      </c>
      <c r="D41" s="399"/>
      <c r="E41" s="65"/>
      <c r="F41" s="399">
        <f>-E92</f>
        <v>-20269.027413408658</v>
      </c>
    </row>
    <row r="42" spans="1:6" ht="12.75">
      <c r="A42" s="395">
        <f t="shared" si="0"/>
        <v>29</v>
      </c>
      <c r="B42" s="386"/>
      <c r="C42" s="399"/>
      <c r="D42" s="399"/>
      <c r="E42" s="65"/>
      <c r="F42" s="399"/>
    </row>
    <row r="43" spans="1:6" ht="12.75">
      <c r="A43" s="395">
        <f t="shared" si="0"/>
        <v>30</v>
      </c>
      <c r="B43" s="386" t="s">
        <v>179</v>
      </c>
      <c r="C43" s="399">
        <f>-'MARION A 12'!G46</f>
        <v>-1552</v>
      </c>
      <c r="D43" s="399"/>
      <c r="E43" s="65"/>
      <c r="F43" s="399">
        <f>-E93</f>
        <v>-2257.1999999999998</v>
      </c>
    </row>
    <row r="44" spans="1:6" ht="12.75">
      <c r="A44" s="395">
        <f t="shared" si="0"/>
        <v>31</v>
      </c>
      <c r="B44" s="386"/>
      <c r="C44" s="399"/>
      <c r="D44" s="399"/>
      <c r="E44" s="65"/>
      <c r="F44" s="399"/>
    </row>
    <row r="45" spans="1:6" ht="12.75">
      <c r="A45" s="395">
        <f t="shared" si="0"/>
        <v>32</v>
      </c>
      <c r="B45" s="386" t="s">
        <v>336</v>
      </c>
      <c r="C45" s="399">
        <f>+'MARION A 12'!G95</f>
        <v>538</v>
      </c>
      <c r="D45" s="399"/>
      <c r="E45" s="65"/>
      <c r="F45" s="399">
        <f>-E94</f>
        <v>563.98649999999998</v>
      </c>
    </row>
    <row r="46" spans="1:5" ht="12.75">
      <c r="A46" s="395">
        <f t="shared" si="0"/>
        <v>33</v>
      </c>
      <c r="B46" s="386"/>
      <c r="C46" s="398"/>
      <c r="D46" s="398"/>
      <c r="E46" s="398"/>
    </row>
    <row r="47" spans="1:5" ht="12.75">
      <c r="A47" s="395">
        <f t="shared" si="0"/>
        <v>34</v>
      </c>
      <c r="B47" s="386" t="s">
        <v>337</v>
      </c>
      <c r="C47" s="399"/>
      <c r="D47" s="399"/>
      <c r="E47" s="65"/>
    </row>
    <row r="48" spans="1:5" ht="12.75">
      <c r="A48" s="395">
        <f t="shared" si="0"/>
        <v>35</v>
      </c>
      <c r="B48" s="386"/>
      <c r="C48" s="398"/>
      <c r="D48" s="398"/>
      <c r="E48" s="398"/>
    </row>
    <row r="49" spans="1:5" ht="12.75">
      <c r="A49" s="395">
        <f t="shared" si="0"/>
        <v>36</v>
      </c>
      <c r="B49" s="386" t="s">
        <v>338</v>
      </c>
      <c r="C49" s="399"/>
      <c r="D49" s="399"/>
      <c r="E49" s="65"/>
    </row>
    <row r="50" spans="1:5" ht="12.75">
      <c r="A50" s="395">
        <f t="shared" si="0"/>
        <v>37</v>
      </c>
      <c r="B50" s="386"/>
      <c r="C50" s="398"/>
      <c r="D50" s="398"/>
      <c r="E50" s="398"/>
    </row>
    <row r="51" spans="1:6" ht="13.5" thickBot="1">
      <c r="A51" s="395">
        <f t="shared" si="0"/>
        <v>38</v>
      </c>
      <c r="B51" s="386" t="s">
        <v>300</v>
      </c>
      <c r="C51" s="400">
        <f>SUM(C37:C50)</f>
        <v>8818</v>
      </c>
      <c r="D51" s="400">
        <f>SUM(D37:D50)</f>
        <v>0</v>
      </c>
      <c r="E51" s="400">
        <f>SUM(E37:E50)</f>
        <v>0</v>
      </c>
      <c r="F51" s="659">
        <f>SUM(F37:F50)</f>
        <v>16641.158426591344</v>
      </c>
    </row>
    <row r="52" spans="1:5" ht="13.5" thickTop="1">
      <c r="A52" s="395"/>
      <c r="B52" s="386"/>
      <c r="C52" s="399"/>
      <c r="D52" s="399"/>
      <c r="E52" s="399"/>
    </row>
    <row r="53" spans="1:5" ht="12.75">
      <c r="A53" s="395"/>
      <c r="B53" s="386" t="s">
        <v>340</v>
      </c>
      <c r="C53" s="388"/>
      <c r="D53" s="388"/>
      <c r="E53" s="388"/>
    </row>
    <row r="54" spans="2:6" ht="12.75">
      <c r="B54" s="395"/>
      <c r="C54" s="386" t="s">
        <v>341</v>
      </c>
      <c r="D54" s="388"/>
      <c r="E54" s="388"/>
      <c r="F54" s="388"/>
    </row>
    <row r="57" spans="1:7" ht="15">
      <c r="A57" s="402"/>
      <c r="B57" s="408" t="s">
        <v>324</v>
      </c>
      <c r="C57" s="399">
        <f>+'Marion B 14'!H75</f>
        <v>1427</v>
      </c>
      <c r="E57" s="399">
        <f>+C57+D57</f>
        <v>1427</v>
      </c>
      <c r="F57" s="659">
        <f>-E100</f>
        <v>2067.1215102083338</v>
      </c>
      <c r="G57" s="403"/>
    </row>
    <row r="58" spans="1:7" ht="15">
      <c r="A58" s="402"/>
      <c r="B58" s="408" t="s">
        <v>325</v>
      </c>
      <c r="C58" s="399">
        <f>+'Marion B 14'!H77</f>
        <v>-39</v>
      </c>
      <c r="E58" s="399">
        <f>+C58+D58</f>
        <v>-39</v>
      </c>
      <c r="F58" s="659">
        <f>-E101</f>
        <v>-56.43</v>
      </c>
      <c r="G58" s="403"/>
    </row>
    <row r="59" spans="1:7" ht="15.75" thickBot="1">
      <c r="A59" s="402"/>
      <c r="B59" s="409" t="s">
        <v>366</v>
      </c>
      <c r="C59" s="404">
        <f>SUM(C57:C58)</f>
        <v>1388</v>
      </c>
      <c r="E59" s="404">
        <f>E57+E58</f>
        <v>1388</v>
      </c>
      <c r="F59" s="659">
        <f>SUM(F57:F58)</f>
        <v>2010.6915102083337</v>
      </c>
      <c r="G59" s="403"/>
    </row>
    <row r="60" ht="13.5" thickTop="1"/>
    <row r="61" spans="2:6" ht="12.75">
      <c r="B61" s="410" t="s">
        <v>319</v>
      </c>
      <c r="C61" s="399">
        <f>+C70</f>
        <v>947.81756756756761</v>
      </c>
      <c r="E61" s="399">
        <f>+C61+D61</f>
        <v>947.81756756756761</v>
      </c>
      <c r="F61" s="406">
        <f>+E105</f>
        <v>907</v>
      </c>
    </row>
    <row r="62" spans="2:8" ht="12.75">
      <c r="B62" s="410" t="s">
        <v>321</v>
      </c>
      <c r="C62" s="586">
        <v>0.1542</v>
      </c>
      <c r="E62" s="586">
        <f>+C62</f>
        <v>0.1542</v>
      </c>
      <c r="F62" s="666">
        <f>+E106</f>
        <v>0.1542</v>
      </c>
      <c r="G62" s="671" t="s">
        <v>589</v>
      </c>
      <c r="H62" s="671"/>
    </row>
    <row r="63" spans="2:6" ht="13.5" thickBot="1">
      <c r="B63" s="411" t="s">
        <v>322</v>
      </c>
      <c r="C63" s="404">
        <f>+C62*C61</f>
        <v>146.15346891891892</v>
      </c>
      <c r="E63" s="404">
        <f>(E62*E61)</f>
        <v>146.15346891891892</v>
      </c>
      <c r="F63" s="406">
        <f>+F61*F62</f>
        <v>139.85939999999999</v>
      </c>
    </row>
    <row r="64" spans="2:5" ht="13.5" thickTop="1">
      <c r="B64" s="395"/>
      <c r="C64" s="399"/>
      <c r="E64" s="399"/>
    </row>
    <row r="65" spans="2:3" ht="12.75">
      <c r="B65" s="395"/>
      <c r="C65" s="399"/>
    </row>
    <row r="67" spans="2:6" ht="12.75">
      <c r="B67" s="433" t="s">
        <v>370</v>
      </c>
      <c r="C67" s="433"/>
      <c r="D67" s="433"/>
      <c r="E67" s="433"/>
      <c r="F67" s="433"/>
    </row>
    <row r="68" spans="2:6" ht="12.75">
      <c r="B68" s="433" t="s">
        <v>71</v>
      </c>
      <c r="C68" s="433">
        <v>3852</v>
      </c>
      <c r="D68" s="433"/>
      <c r="E68" s="433"/>
      <c r="F68" s="433"/>
    </row>
    <row r="69" spans="2:6" ht="12.75">
      <c r="B69" s="434" t="s">
        <v>379</v>
      </c>
      <c r="C69" s="435">
        <f>+C68*F72</f>
        <v>2904.1824324324325</v>
      </c>
      <c r="D69" s="433"/>
      <c r="E69" s="433"/>
      <c r="F69" s="433"/>
    </row>
    <row r="70" spans="2:6" ht="12.75">
      <c r="B70" s="434" t="s">
        <v>380</v>
      </c>
      <c r="C70" s="435">
        <f>+C68*F73</f>
        <v>947.81756756756761</v>
      </c>
      <c r="D70" s="433"/>
      <c r="E70" s="433"/>
      <c r="F70" s="433"/>
    </row>
    <row r="71" spans="2:6" ht="25.5">
      <c r="B71" s="433" t="s">
        <v>372</v>
      </c>
      <c r="C71" s="433" t="s">
        <v>375</v>
      </c>
      <c r="D71" s="436" t="s">
        <v>377</v>
      </c>
      <c r="E71" s="433" t="s">
        <v>376</v>
      </c>
      <c r="F71" s="433"/>
    </row>
    <row r="72" spans="2:6" ht="12.75">
      <c r="B72" s="437" t="s">
        <v>373</v>
      </c>
      <c r="C72" s="433">
        <v>2881</v>
      </c>
      <c r="D72" s="433">
        <v>-203</v>
      </c>
      <c r="E72" s="433">
        <f>+C72+D72</f>
        <v>2678</v>
      </c>
      <c r="F72" s="438">
        <f>+E72/E74</f>
        <v>0.75394144144144148</v>
      </c>
    </row>
    <row r="73" spans="2:6" ht="12.75">
      <c r="B73" s="437" t="s">
        <v>374</v>
      </c>
      <c r="C73" s="433">
        <v>907</v>
      </c>
      <c r="D73" s="433">
        <v>-33</v>
      </c>
      <c r="E73" s="433">
        <f>+C73+D73</f>
        <v>874</v>
      </c>
      <c r="F73" s="438">
        <f>+E73/E74</f>
        <v>0.24605855855855857</v>
      </c>
    </row>
    <row r="74" spans="2:6" ht="13.5" thickBot="1">
      <c r="B74" s="434" t="s">
        <v>378</v>
      </c>
      <c r="C74" s="439">
        <f>SUM(C72:C73)</f>
        <v>3788</v>
      </c>
      <c r="D74" s="439">
        <f>SUM(D72:D73)</f>
        <v>-236</v>
      </c>
      <c r="E74" s="439">
        <f>SUM(E72:E73)</f>
        <v>3552</v>
      </c>
      <c r="F74" s="433"/>
    </row>
    <row r="75" spans="2:6" ht="13.5" thickTop="1">
      <c r="B75" s="433" t="s">
        <v>371</v>
      </c>
      <c r="C75" s="433"/>
      <c r="D75" s="433"/>
      <c r="E75" s="433"/>
      <c r="F75" s="433"/>
    </row>
    <row r="76" spans="2:6" ht="12.75">
      <c r="B76" s="433"/>
      <c r="C76" s="433"/>
      <c r="D76" s="433"/>
      <c r="E76" s="433"/>
      <c r="F76" s="433"/>
    </row>
    <row r="77" spans="2:6" ht="12.75">
      <c r="B77" s="433"/>
      <c r="C77" s="433"/>
      <c r="D77" s="433"/>
      <c r="E77" s="433"/>
      <c r="F77" s="433"/>
    </row>
    <row r="78" spans="1:6" ht="15">
      <c r="A78" s="402"/>
      <c r="B78" s="440" t="s">
        <v>319</v>
      </c>
      <c r="C78" s="441">
        <v>907</v>
      </c>
      <c r="D78" s="433"/>
      <c r="E78" s="441">
        <f>(C78+F78)</f>
        <v>907</v>
      </c>
      <c r="F78" s="442"/>
    </row>
    <row r="79" spans="1:6" ht="15">
      <c r="A79" s="402"/>
      <c r="B79" s="443" t="s">
        <v>367</v>
      </c>
      <c r="C79" s="441">
        <f>SUM(C37:C41)</f>
        <v>9832</v>
      </c>
      <c r="D79" s="433"/>
      <c r="E79" s="441"/>
      <c r="F79" s="442"/>
    </row>
    <row r="80" spans="1:6" ht="15">
      <c r="A80" s="402"/>
      <c r="B80" s="443" t="s">
        <v>369</v>
      </c>
      <c r="C80" s="444" t="e">
        <f>+#REF!</f>
        <v>#REF!</v>
      </c>
      <c r="D80" s="433"/>
      <c r="E80" s="441"/>
      <c r="F80" s="442"/>
    </row>
    <row r="81" spans="1:7" ht="15">
      <c r="A81" s="402"/>
      <c r="B81" s="443"/>
      <c r="C81" s="441" t="e">
        <f>+C79*C80</f>
        <v>#REF!</v>
      </c>
      <c r="D81" s="433"/>
      <c r="E81" s="441"/>
      <c r="F81" s="442"/>
      <c r="G81" s="403"/>
    </row>
    <row r="82" spans="1:7" ht="15">
      <c r="A82" s="402"/>
      <c r="B82" s="443" t="s">
        <v>368</v>
      </c>
      <c r="C82" s="445">
        <f>+'MARION A 6'!G38</f>
        <v>0.21560000000000001</v>
      </c>
      <c r="D82" s="433"/>
      <c r="E82" s="446"/>
      <c r="F82" s="442"/>
      <c r="G82" s="403"/>
    </row>
    <row r="83" spans="1:7" ht="15.75" thickBot="1">
      <c r="A83" s="402"/>
      <c r="B83" s="443" t="s">
        <v>322</v>
      </c>
      <c r="C83" s="447">
        <v>0</v>
      </c>
      <c r="D83" s="433"/>
      <c r="E83" s="447">
        <f>(E82*E78)</f>
        <v>0</v>
      </c>
      <c r="F83" s="442"/>
      <c r="G83" s="403"/>
    </row>
    <row r="84" spans="1:5" ht="16.5" thickTop="1">
      <c r="A84" s="402"/>
      <c r="B84" s="395"/>
      <c r="C84" s="399"/>
      <c r="E84" s="371"/>
    </row>
    <row r="85" spans="2:9" ht="15.75">
      <c r="B85" s="358" t="s">
        <v>587</v>
      </c>
      <c r="C85" s="359"/>
      <c r="D85" s="360" t="s">
        <v>306</v>
      </c>
      <c r="E85" s="359"/>
      <c r="F85" s="361"/>
      <c r="G85" s="361"/>
      <c r="H85" s="361"/>
      <c r="I85" s="362"/>
    </row>
    <row r="86" spans="2:9" ht="15.75">
      <c r="B86" s="363" t="s">
        <v>307</v>
      </c>
      <c r="C86" s="364"/>
      <c r="D86" s="365" t="s">
        <v>308</v>
      </c>
      <c r="E86" s="365" t="s">
        <v>308</v>
      </c>
      <c r="F86" s="366" t="s">
        <v>309</v>
      </c>
      <c r="G86" s="367"/>
      <c r="H86" s="368"/>
      <c r="I86" s="362"/>
    </row>
    <row r="87" spans="2:9" ht="15.75">
      <c r="B87" s="363"/>
      <c r="C87" s="364"/>
      <c r="D87" s="365" t="s">
        <v>310</v>
      </c>
      <c r="E87" s="365" t="s">
        <v>310</v>
      </c>
      <c r="F87" s="366" t="s">
        <v>310</v>
      </c>
      <c r="G87" s="367"/>
      <c r="H87" s="368"/>
      <c r="I87" s="362"/>
    </row>
    <row r="88" spans="2:9" ht="15.75">
      <c r="B88" s="369" t="s">
        <v>164</v>
      </c>
      <c r="D88" s="370" t="s">
        <v>323</v>
      </c>
      <c r="H88" s="371"/>
      <c r="I88" s="362"/>
    </row>
    <row r="89" spans="2:9" ht="15.75">
      <c r="B89" s="363"/>
      <c r="H89" s="371"/>
      <c r="I89" s="362"/>
    </row>
    <row r="90" spans="2:9" ht="15.75">
      <c r="B90" s="363" t="s">
        <v>311</v>
      </c>
      <c r="D90" s="372">
        <v>0</v>
      </c>
      <c r="E90" s="373">
        <v>-38603.399340000004</v>
      </c>
      <c r="F90" s="373">
        <f t="shared" si="1" ref="F90:F96">E90-D90</f>
        <v>-38603.399340000004</v>
      </c>
      <c r="H90" s="371"/>
      <c r="I90" s="362"/>
    </row>
    <row r="91" spans="2:9" ht="15.75">
      <c r="B91" s="363" t="s">
        <v>312</v>
      </c>
      <c r="D91" s="374">
        <v>0</v>
      </c>
      <c r="E91" s="375">
        <v>0</v>
      </c>
      <c r="F91" s="375">
        <f t="shared" si="1"/>
        <v>0</v>
      </c>
      <c r="H91" s="371"/>
      <c r="I91" s="362"/>
    </row>
    <row r="92" spans="2:9" ht="15.75">
      <c r="B92" s="363" t="s">
        <v>313</v>
      </c>
      <c r="D92" s="376">
        <v>0</v>
      </c>
      <c r="E92" s="377">
        <v>20269.027413408658</v>
      </c>
      <c r="F92" s="377">
        <f t="shared" si="1"/>
        <v>20269.027413408658</v>
      </c>
      <c r="H92" s="371"/>
      <c r="I92" s="362"/>
    </row>
    <row r="93" spans="2:9" ht="15.75">
      <c r="B93" s="363" t="s">
        <v>179</v>
      </c>
      <c r="D93" s="376">
        <v>0</v>
      </c>
      <c r="E93" s="377">
        <v>2257.1999999999998</v>
      </c>
      <c r="F93" s="377">
        <f t="shared" si="1"/>
        <v>2257.1999999999998</v>
      </c>
      <c r="H93" s="371"/>
      <c r="I93" s="362"/>
    </row>
    <row r="94" spans="2:9" ht="15.75">
      <c r="B94" s="363" t="s">
        <v>314</v>
      </c>
      <c r="D94" s="376">
        <v>0</v>
      </c>
      <c r="E94" s="377">
        <v>-563.98649999999998</v>
      </c>
      <c r="F94" s="377">
        <f t="shared" si="1"/>
        <v>-563.98649999999998</v>
      </c>
      <c r="H94" s="371"/>
      <c r="I94" s="362"/>
    </row>
    <row r="95" spans="2:9" ht="15.75">
      <c r="B95" s="363" t="s">
        <v>315</v>
      </c>
      <c r="D95" s="376">
        <v>0</v>
      </c>
      <c r="E95" s="375">
        <v>0</v>
      </c>
      <c r="F95" s="375">
        <f t="shared" si="1"/>
        <v>0</v>
      </c>
      <c r="H95" s="371"/>
      <c r="I95" s="362"/>
    </row>
    <row r="96" spans="2:9" ht="15.75">
      <c r="B96" s="363" t="s">
        <v>316</v>
      </c>
      <c r="D96" s="378">
        <v>0</v>
      </c>
      <c r="E96" s="379">
        <v>0</v>
      </c>
      <c r="F96" s="379">
        <f t="shared" si="1"/>
        <v>0</v>
      </c>
      <c r="H96" s="371"/>
      <c r="I96" s="362"/>
    </row>
    <row r="97" spans="2:9" ht="15.75">
      <c r="B97" s="363"/>
      <c r="D97" s="380"/>
      <c r="E97" s="375"/>
      <c r="F97" s="375"/>
      <c r="H97" s="371"/>
      <c r="I97" s="362"/>
    </row>
    <row r="98" spans="2:9" ht="15.75">
      <c r="B98" s="381" t="s">
        <v>317</v>
      </c>
      <c r="D98" s="382">
        <f>SUM(D90:D96)</f>
        <v>0</v>
      </c>
      <c r="E98" s="382">
        <f>SUM(E90:E96)</f>
        <v>-16641.158426591344</v>
      </c>
      <c r="F98" s="382">
        <f>SUM(F90:F96)</f>
        <v>-16641.158426591344</v>
      </c>
      <c r="H98" s="371"/>
      <c r="I98" s="362"/>
    </row>
    <row r="99" spans="2:9" ht="15.75">
      <c r="B99" s="363"/>
      <c r="D99" s="375"/>
      <c r="E99" s="375"/>
      <c r="F99" s="375"/>
      <c r="H99" s="371"/>
      <c r="I99" s="362"/>
    </row>
    <row r="100" spans="2:9" ht="15.75">
      <c r="B100" s="363" t="s">
        <v>324</v>
      </c>
      <c r="D100" s="372">
        <v>0</v>
      </c>
      <c r="E100" s="373">
        <v>-2067.1215102083338</v>
      </c>
      <c r="F100" s="373">
        <f>E100-D100</f>
        <v>-2067.1215102083338</v>
      </c>
      <c r="H100" s="371"/>
      <c r="I100" s="362"/>
    </row>
    <row r="101" spans="2:9" ht="15.75">
      <c r="B101" s="363" t="s">
        <v>325</v>
      </c>
      <c r="D101" s="378">
        <v>0</v>
      </c>
      <c r="E101" s="383">
        <v>56.43</v>
      </c>
      <c r="F101" s="383">
        <f>E101-D101</f>
        <v>56.43</v>
      </c>
      <c r="H101" s="371"/>
      <c r="I101" s="362"/>
    </row>
    <row r="102" spans="2:9" ht="15.75">
      <c r="B102" s="381" t="s">
        <v>318</v>
      </c>
      <c r="D102" s="382">
        <f>-D100+D101</f>
        <v>0</v>
      </c>
      <c r="E102" s="382">
        <f>E100+E101</f>
        <v>-2010.6915102083337</v>
      </c>
      <c r="F102" s="382">
        <f>F100+F101</f>
        <v>-2010.6915102083337</v>
      </c>
      <c r="H102" s="371"/>
      <c r="I102" s="362"/>
    </row>
    <row r="103" spans="2:9" ht="15.75">
      <c r="B103" s="363"/>
      <c r="D103" s="375"/>
      <c r="E103" s="375"/>
      <c r="F103" s="375"/>
      <c r="H103" s="371"/>
      <c r="I103" s="362"/>
    </row>
    <row r="104" spans="2:9" ht="15.75">
      <c r="B104" s="363"/>
      <c r="D104" s="375"/>
      <c r="E104" s="375"/>
      <c r="F104" s="375"/>
      <c r="H104" s="371"/>
      <c r="I104" s="362"/>
    </row>
    <row r="105" spans="2:9" ht="15.75">
      <c r="B105" s="381" t="s">
        <v>319</v>
      </c>
      <c r="D105" s="372">
        <v>907</v>
      </c>
      <c r="E105" s="373">
        <f>(D105+F105)</f>
        <v>907</v>
      </c>
      <c r="F105" s="382">
        <v>0</v>
      </c>
      <c r="G105" s="371" t="s">
        <v>320</v>
      </c>
      <c r="H105" s="371"/>
      <c r="I105" s="362"/>
    </row>
    <row r="106" spans="2:9" ht="15.75">
      <c r="B106" s="363" t="s">
        <v>321</v>
      </c>
      <c r="D106" s="379"/>
      <c r="E106" s="384">
        <v>0.1542</v>
      </c>
      <c r="F106" s="375"/>
      <c r="H106" s="371"/>
      <c r="I106" s="362"/>
    </row>
    <row r="107" spans="2:9" ht="15.75">
      <c r="B107" s="363" t="s">
        <v>322</v>
      </c>
      <c r="D107" s="385">
        <v>0</v>
      </c>
      <c r="E107" s="382">
        <f>(E106*E105)</f>
        <v>139.85939999999999</v>
      </c>
      <c r="F107" s="382">
        <f>-E107+D107</f>
        <v>-139.85939999999999</v>
      </c>
      <c r="H107" s="371"/>
      <c r="I107" s="362"/>
    </row>
    <row r="108" spans="2:9" ht="15.75">
      <c r="B108" s="363"/>
      <c r="C108" s="371"/>
      <c r="D108" s="371"/>
      <c r="E108" s="371"/>
      <c r="F108" s="371"/>
      <c r="G108" s="371"/>
      <c r="H108" s="371"/>
      <c r="I108" s="362"/>
    </row>
  </sheetData>
  <mergeCells count="1">
    <mergeCell ref="A7:E8"/>
  </mergeCells>
  <pageMargins left="0.7" right="0.7" top="0.75" bottom="0.75" header="0.3" footer="0.3"/>
  <pageSetup orientation="portrait" r:id="rId1"/>
  <headerFooter>
    <oddFooter>&amp;L&amp;"Times New Roman,Regular"&amp;9O3129680.v1</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8F0ADEFFB48B849A10AE4A239DAFBBF" ma:contentTypeVersion="4" ma:contentTypeDescription="Create a new document." ma:contentTypeScope="" ma:versionID="86b35d2ed01004755a6c537f978e0e4c">
  <xsd:schema xmlns:xsd="http://www.w3.org/2001/XMLSchema" xmlns:xs="http://www.w3.org/2001/XMLSchema" xmlns:p="http://schemas.microsoft.com/office/2006/metadata/properties" xmlns:ns2="39ab288a-8589-4c39-bdd2-e9c983f1a4bf" targetNamespace="http://schemas.microsoft.com/office/2006/metadata/properties" ma:root="true" ma:fieldsID="9fc5664b8ad7a484f020b06b08969e53" ns2:_="">
    <xsd:import namespace="39ab288a-8589-4c39-bdd2-e9c983f1a4b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b288a-8589-4c39-bdd2-e9c983f1a4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F10A34-479F-4503-BDD9-FC10B040A950}">
  <ds:schemaRefs>
    <ds:schemaRef ds:uri="39ab288a-8589-4c39-bdd2-e9c983f1a4bf"/>
    <ds:schemaRef ds:uri="http://purl.org/dc/dcmitype/"/>
    <ds:schemaRef ds:uri="http://purl.org/dc/term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6D7305FA-DBBF-41CB-9164-6C2C07BA7353}">
  <ds:schemaRefs>
    <ds:schemaRef ds:uri="http://schemas.microsoft.com/sharepoint/v3/contenttype/forms"/>
  </ds:schemaRefs>
</ds:datastoreItem>
</file>

<file path=customXml/itemProps3.xml><?xml version="1.0" encoding="utf-8"?>
<ds:datastoreItem xmlns:ds="http://schemas.openxmlformats.org/officeDocument/2006/customXml" ds:itemID="{7F256394-1086-4302-8EB9-423DA27F2C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ab288a-8589-4c39-bdd2-e9c983f1a4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Template/>
  <Manager/>
  <Company/>
  <TotalTime>60</TotalTime>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Deborah Swain</dc:creator>
  <cp:keywords/>
  <dc:description/>
  <cp:lastModifiedBy>Martin S. Friedman</cp:lastModifiedBy>
  <dcterms:created xsi:type="dcterms:W3CDTF">2021-01-04T13:55:06Z</dcterms:created>
  <dcterms:modified xsi:type="dcterms:W3CDTF">2021-01-04T13:55:06Z</dcterms:modified>
  <cp:category/>
  <cp:contentType/>
  <cp:contentStatus/>
  <cp:revision>1</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0x01010028F0ADEFFB48B849A10AE4A239DAFBBF</vt:lpwstr>
  </property>
  <property fmtid="{D5CDD505-2E9C-101B-9397-08002B2CF9AE}" pid="3" name="CUS_DocIDActiveBits">
    <vt:lpwstr>520192</vt:lpwstr>
  </property>
  <property fmtid="{D5CDD505-2E9C-101B-9397-08002B2CF9AE}" pid="4" name="CUS_DocIDLocation">
    <vt:lpwstr>EVERY_PAGE</vt:lpwstr>
  </property>
  <property fmtid="{D5CDD505-2E9C-101B-9397-08002B2CF9AE}" pid="5" name="CUS_DocIDPosition">
    <vt:lpwstr>Left</vt:lpwstr>
  </property>
  <property fmtid="{D5CDD505-2E9C-101B-9397-08002B2CF9AE}" pid="6" name="CUS_DocIDSheetRef">
    <vt:lpwstr>21</vt:lpwstr>
  </property>
  <property fmtid="{D5CDD505-2E9C-101B-9397-08002B2CF9AE}" pid="7" name="CUS_DocIDString">
    <vt:lpwstr>&amp;"Times New Roman,Regular"&amp;9O3129680.v1</vt:lpwstr>
  </property>
  <property fmtid="{D5CDD505-2E9C-101B-9397-08002B2CF9AE}" pid="8" name="CUS_DocIDChunk0">
    <vt:lpwstr>&amp;"Times New Roman,Regular"&amp;9</vt:lpwstr>
  </property>
  <property fmtid="{D5CDD505-2E9C-101B-9397-08002B2CF9AE}" pid="9" name="CUS_DocIDChunk1">
    <vt:lpwstr>O3129680.v1</vt:lpwstr>
  </property>
</Properties>
</file>